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ohncrye/Desktop/PLCY798N/John Crye - Food Waste Final Term Paper Submission/"/>
    </mc:Choice>
  </mc:AlternateContent>
  <xr:revisionPtr revIDLastSave="0" documentId="13_ncr:1_{9575A4B7-3902-7C4D-B405-F8572F311D7B}" xr6:coauthVersionLast="47" xr6:coauthVersionMax="47" xr10:uidLastSave="{00000000-0000-0000-0000-000000000000}"/>
  <bookViews>
    <workbookView xWindow="12160" yWindow="500" windowWidth="26240" windowHeight="21100" activeTab="5" xr2:uid="{1D2560BB-AAFF-4149-8CAF-DAB67D4E1758}"/>
  </bookViews>
  <sheets>
    <sheet name="Cover Sheet" sheetId="2" r:id="rId1"/>
    <sheet name="Variables" sheetId="4" r:id="rId2"/>
    <sheet name="References" sheetId="3" r:id="rId3"/>
    <sheet name="Database" sheetId="1" r:id="rId4"/>
    <sheet name="Household Estimates" sheetId="5" r:id="rId5"/>
    <sheet name="Food Service Estimates" sheetId="6" r:id="rId6"/>
    <sheet name="Retail Estimates" sheetId="7" r:id="rId7"/>
    <sheet name="Country Code M49"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5" hidden="1">'Food Service Estimates'!$A$1:$H$216</definedName>
    <definedName name="_xlnm._FilterDatabase" localSheetId="4" hidden="1">'Household Estimates'!$A$1:$H$217</definedName>
    <definedName name="_xlnm._FilterDatabase" localSheetId="6" hidden="1">'Retail Estimates'!$A$1:$K$216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 i="6"/>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 i="5"/>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 i="6"/>
  <c r="E1" i="6"/>
  <c r="M58" i="7" l="1"/>
  <c r="M42" i="7"/>
  <c r="M18" i="7"/>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61" i="5"/>
  <c r="D53" i="5"/>
  <c r="D54" i="5"/>
  <c r="D157" i="5"/>
  <c r="D158" i="5"/>
  <c r="D56" i="5"/>
  <c r="D57" i="5"/>
  <c r="D58" i="5"/>
  <c r="D59" i="5"/>
  <c r="D60" i="5"/>
  <c r="D55" i="5"/>
  <c r="D62" i="5"/>
  <c r="D63" i="5"/>
  <c r="D52" i="5"/>
  <c r="D65" i="5"/>
  <c r="D66" i="5"/>
  <c r="D67" i="5"/>
  <c r="D68" i="5"/>
  <c r="D69" i="5"/>
  <c r="D70" i="5"/>
  <c r="D71" i="5"/>
  <c r="D72" i="5"/>
  <c r="D73" i="5"/>
  <c r="D64" i="5"/>
  <c r="D75" i="5"/>
  <c r="D76" i="5"/>
  <c r="D77" i="5"/>
  <c r="D78" i="5"/>
  <c r="D79" i="5"/>
  <c r="D80" i="5"/>
  <c r="D81" i="5"/>
  <c r="D82" i="5"/>
  <c r="D83" i="5"/>
  <c r="D84" i="5"/>
  <c r="D85" i="5"/>
  <c r="D86" i="5"/>
  <c r="D87" i="5"/>
  <c r="D88" i="5"/>
  <c r="D89" i="5"/>
  <c r="D90" i="5"/>
  <c r="D91" i="5"/>
  <c r="D92" i="5"/>
  <c r="D74" i="5"/>
  <c r="D94" i="5"/>
  <c r="D95" i="5"/>
  <c r="D96" i="5"/>
  <c r="D97" i="5"/>
  <c r="D98" i="5"/>
  <c r="D99" i="5"/>
  <c r="D100" i="5"/>
  <c r="D101" i="5"/>
  <c r="D102" i="5"/>
  <c r="D103" i="5"/>
  <c r="D104" i="5"/>
  <c r="D105" i="5"/>
  <c r="D93" i="5"/>
  <c r="D106" i="5"/>
  <c r="D108" i="5"/>
  <c r="D109" i="5"/>
  <c r="D110" i="5"/>
  <c r="D111" i="5"/>
  <c r="D112" i="5"/>
  <c r="D113" i="5"/>
  <c r="D114" i="5"/>
  <c r="D115" i="5"/>
  <c r="D116" i="5"/>
  <c r="D117" i="5"/>
  <c r="D118" i="5"/>
  <c r="D119" i="5"/>
  <c r="D120" i="5"/>
  <c r="D121" i="5"/>
  <c r="D122" i="5"/>
  <c r="D123" i="5"/>
  <c r="D124" i="5"/>
  <c r="D125" i="5"/>
  <c r="D107"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26"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 i="5"/>
  <c r="D207" i="6"/>
  <c r="D96" i="6"/>
  <c r="D42" i="6"/>
  <c r="D189" i="6"/>
  <c r="D104" i="6"/>
  <c r="D13" i="6"/>
  <c r="D103" i="6"/>
  <c r="D107" i="6"/>
  <c r="J107" i="6" s="1"/>
  <c r="D191" i="6"/>
  <c r="D199" i="6"/>
  <c r="D210" i="6"/>
  <c r="H210" i="6" s="1"/>
  <c r="D55" i="6"/>
  <c r="H55" i="6" s="1"/>
  <c r="D129" i="6"/>
  <c r="D19" i="6"/>
  <c r="D31" i="6"/>
  <c r="D159" i="6"/>
  <c r="D161" i="6"/>
  <c r="D203" i="6"/>
  <c r="J203" i="6" s="1"/>
  <c r="D9" i="6"/>
  <c r="D21" i="6"/>
  <c r="D25" i="6"/>
  <c r="D28" i="6"/>
  <c r="D45" i="6"/>
  <c r="D48" i="6"/>
  <c r="D51" i="6"/>
  <c r="J51" i="6" s="1"/>
  <c r="D59" i="6"/>
  <c r="J59" i="6" s="1"/>
  <c r="D60" i="6"/>
  <c r="D61" i="6"/>
  <c r="D63" i="6"/>
  <c r="D82" i="6"/>
  <c r="D84" i="6"/>
  <c r="D87" i="6"/>
  <c r="H87" i="6" s="1"/>
  <c r="D88" i="6"/>
  <c r="H88" i="6" s="1"/>
  <c r="D89" i="6"/>
  <c r="H89" i="6" s="1"/>
  <c r="D100" i="6"/>
  <c r="D126" i="6"/>
  <c r="D140" i="6"/>
  <c r="D151" i="6"/>
  <c r="D152" i="6"/>
  <c r="D164" i="6"/>
  <c r="D166" i="6"/>
  <c r="D187" i="6"/>
  <c r="D212" i="6"/>
  <c r="D70" i="6"/>
  <c r="D150" i="6"/>
  <c r="D179" i="6"/>
  <c r="D211" i="6"/>
  <c r="D105" i="6"/>
  <c r="H105" i="6" s="1"/>
  <c r="D123" i="6"/>
  <c r="D127" i="6"/>
  <c r="H127" i="6" s="1"/>
  <c r="D4" i="6"/>
  <c r="D62" i="6"/>
  <c r="D113" i="6"/>
  <c r="H113" i="6" s="1"/>
  <c r="D131" i="6"/>
  <c r="D186" i="6"/>
  <c r="D197" i="6"/>
  <c r="D5" i="6"/>
  <c r="D167" i="6"/>
  <c r="H167" i="6" s="1"/>
  <c r="D195" i="6"/>
  <c r="D201" i="6"/>
  <c r="H201" i="6" s="1"/>
  <c r="D35" i="6"/>
  <c r="D93" i="6"/>
  <c r="D108" i="6"/>
  <c r="D133" i="6"/>
  <c r="D153" i="6"/>
  <c r="H153" i="6" s="1"/>
  <c r="D192" i="6"/>
  <c r="H192" i="6" s="1"/>
  <c r="D193" i="6"/>
  <c r="H193" i="6" s="1"/>
  <c r="D213" i="6"/>
  <c r="D2" i="6"/>
  <c r="H2" i="6" s="1"/>
  <c r="D24" i="6"/>
  <c r="D92" i="6"/>
  <c r="D94" i="6"/>
  <c r="D120" i="6"/>
  <c r="H120" i="6" s="1"/>
  <c r="D136" i="6"/>
  <c r="H136" i="6" s="1"/>
  <c r="D147" i="6"/>
  <c r="D184" i="6"/>
  <c r="H184" i="6" s="1"/>
  <c r="D3" i="6"/>
  <c r="D26" i="6"/>
  <c r="D130" i="6"/>
  <c r="D143" i="6"/>
  <c r="H143" i="6" s="1"/>
  <c r="D7" i="6"/>
  <c r="J7" i="6" s="1"/>
  <c r="D22" i="6"/>
  <c r="D27" i="6"/>
  <c r="D32" i="6"/>
  <c r="H32" i="6" s="1"/>
  <c r="D33" i="6"/>
  <c r="H33" i="6" s="1"/>
  <c r="D34" i="6"/>
  <c r="D36" i="6"/>
  <c r="D39" i="6"/>
  <c r="H39" i="6" s="1"/>
  <c r="D40" i="6"/>
  <c r="H40" i="6" s="1"/>
  <c r="D46" i="6"/>
  <c r="D47" i="6"/>
  <c r="H47" i="6" s="1"/>
  <c r="D49" i="6"/>
  <c r="H49" i="6" s="1"/>
  <c r="D56" i="6"/>
  <c r="H56" i="6" s="1"/>
  <c r="D58" i="6"/>
  <c r="D64" i="6"/>
  <c r="D65" i="6"/>
  <c r="H65" i="6" s="1"/>
  <c r="D67" i="6"/>
  <c r="D68" i="6"/>
  <c r="D74" i="6"/>
  <c r="H74" i="6" s="1"/>
  <c r="D75" i="6"/>
  <c r="D78" i="6"/>
  <c r="D85" i="6"/>
  <c r="D86" i="6"/>
  <c r="D111" i="6"/>
  <c r="H111" i="6" s="1"/>
  <c r="D112" i="6"/>
  <c r="H112" i="6" s="1"/>
  <c r="D117" i="6"/>
  <c r="D118" i="6"/>
  <c r="D121" i="6"/>
  <c r="H121" i="6" s="1"/>
  <c r="D124" i="6"/>
  <c r="D132" i="6"/>
  <c r="D134" i="6"/>
  <c r="D141" i="6"/>
  <c r="D142" i="6"/>
  <c r="D162" i="6"/>
  <c r="H162" i="6" s="1"/>
  <c r="D169" i="6"/>
  <c r="H169" i="6" s="1"/>
  <c r="D171" i="6"/>
  <c r="D174" i="6"/>
  <c r="D180" i="6"/>
  <c r="D181" i="6"/>
  <c r="D182" i="6"/>
  <c r="D194" i="6"/>
  <c r="H194" i="6" s="1"/>
  <c r="D202" i="6"/>
  <c r="H202" i="6" s="1"/>
  <c r="D206" i="6"/>
  <c r="H206" i="6" s="1"/>
  <c r="D215" i="6"/>
  <c r="H215" i="6" s="1"/>
  <c r="D216" i="6"/>
  <c r="H216" i="6" s="1"/>
  <c r="D10" i="6"/>
  <c r="D14" i="6"/>
  <c r="D76" i="6"/>
  <c r="D95" i="6"/>
  <c r="H95" i="6" s="1"/>
  <c r="D102" i="6"/>
  <c r="D110" i="6"/>
  <c r="D185" i="6"/>
  <c r="H185" i="6" s="1"/>
  <c r="D190" i="6"/>
  <c r="D198" i="6"/>
  <c r="D214" i="6"/>
  <c r="D98" i="6"/>
  <c r="H98" i="6" s="1"/>
  <c r="D139" i="6"/>
  <c r="D43" i="6"/>
  <c r="D44" i="6"/>
  <c r="D158" i="6"/>
  <c r="D54" i="6"/>
  <c r="D90" i="6"/>
  <c r="D154" i="6"/>
  <c r="D160" i="6"/>
  <c r="H160" i="6" s="1"/>
  <c r="D177" i="6"/>
  <c r="H177" i="6" s="1"/>
  <c r="D8" i="6"/>
  <c r="J8" i="6" s="1"/>
  <c r="D11" i="6"/>
  <c r="D15" i="6"/>
  <c r="J15" i="6" s="1"/>
  <c r="D18" i="6"/>
  <c r="H18" i="6" s="1"/>
  <c r="D29" i="6"/>
  <c r="D38" i="6"/>
  <c r="D41" i="6"/>
  <c r="H41" i="6" s="1"/>
  <c r="D52" i="6"/>
  <c r="D149" i="6"/>
  <c r="D156" i="6"/>
  <c r="D163" i="6"/>
  <c r="D165" i="6"/>
  <c r="D176" i="6"/>
  <c r="D196" i="6"/>
  <c r="D200" i="6"/>
  <c r="H200" i="6" s="1"/>
  <c r="D208" i="6"/>
  <c r="H208" i="6" s="1"/>
  <c r="D209" i="6"/>
  <c r="H209" i="6" s="1"/>
  <c r="D138" i="6"/>
  <c r="H138" i="6" s="1"/>
  <c r="D83" i="6"/>
  <c r="D135" i="6"/>
  <c r="H135" i="6" s="1"/>
  <c r="D144" i="6"/>
  <c r="D148" i="6"/>
  <c r="D23" i="6"/>
  <c r="H23" i="6" s="1"/>
  <c r="D37" i="6"/>
  <c r="D81" i="6"/>
  <c r="H81" i="6" s="1"/>
  <c r="D69" i="6"/>
  <c r="D91" i="6"/>
  <c r="D97" i="6"/>
  <c r="H97" i="6" s="1"/>
  <c r="D109" i="6"/>
  <c r="D115" i="6"/>
  <c r="D73" i="6"/>
  <c r="H73" i="6" s="1"/>
  <c r="D30" i="6"/>
  <c r="D175" i="6"/>
  <c r="H175" i="6" s="1"/>
  <c r="D6" i="6"/>
  <c r="D50" i="6"/>
  <c r="H50" i="6" s="1"/>
  <c r="D79" i="6"/>
  <c r="H79" i="6" s="1"/>
  <c r="D80" i="6"/>
  <c r="D99" i="6"/>
  <c r="D122" i="6"/>
  <c r="H122" i="6" s="1"/>
  <c r="D155" i="6"/>
  <c r="D168" i="6"/>
  <c r="H168" i="6" s="1"/>
  <c r="D183" i="6"/>
  <c r="H183" i="6" s="1"/>
  <c r="D125" i="6"/>
  <c r="D173" i="6"/>
  <c r="D16" i="6"/>
  <c r="J16" i="6" s="1"/>
  <c r="D53" i="6"/>
  <c r="D106" i="6"/>
  <c r="H106" i="6" s="1"/>
  <c r="D146" i="6"/>
  <c r="H146" i="6" s="1"/>
  <c r="D157" i="6"/>
  <c r="D170" i="6"/>
  <c r="H170" i="6" s="1"/>
  <c r="D204" i="6"/>
  <c r="D114" i="6"/>
  <c r="H114" i="6" s="1"/>
  <c r="D128" i="6"/>
  <c r="D137" i="6"/>
  <c r="D72" i="6"/>
  <c r="H72" i="6" s="1"/>
  <c r="D71" i="6"/>
  <c r="H71" i="6" s="1"/>
  <c r="D12" i="6"/>
  <c r="D116" i="6"/>
  <c r="D57" i="6"/>
  <c r="H57" i="6" s="1"/>
  <c r="D77" i="6"/>
  <c r="D188" i="6"/>
  <c r="D178" i="6"/>
  <c r="D20" i="6"/>
  <c r="D66" i="6"/>
  <c r="H66" i="6" s="1"/>
  <c r="D205" i="6"/>
  <c r="D101" i="6"/>
  <c r="D172" i="6"/>
  <c r="D145" i="6"/>
  <c r="H145" i="6" s="1"/>
  <c r="D17" i="6"/>
  <c r="D119" i="6"/>
  <c r="C98" i="7"/>
  <c r="J98" i="7" s="1"/>
  <c r="C57" i="7"/>
  <c r="C72" i="7"/>
  <c r="J72" i="7" s="1"/>
  <c r="C170" i="7"/>
  <c r="C207" i="7"/>
  <c r="C42" i="7"/>
  <c r="J42" i="7" s="1"/>
  <c r="C92" i="7"/>
  <c r="M126" i="7" s="1"/>
  <c r="C93" i="7"/>
  <c r="J93" i="7" s="1"/>
  <c r="C147" i="7"/>
  <c r="C28" i="7"/>
  <c r="C142" i="7"/>
  <c r="J142" i="7" s="1"/>
  <c r="C17" i="7"/>
  <c r="J17" i="7" s="1"/>
  <c r="C126" i="7"/>
  <c r="J126" i="7" s="1"/>
  <c r="C68" i="7"/>
  <c r="M150" i="7" s="1"/>
  <c r="C153" i="7"/>
  <c r="J153" i="7" s="1"/>
  <c r="C62" i="7"/>
  <c r="J62" i="7" s="1"/>
  <c r="C213" i="7"/>
  <c r="C56" i="7"/>
  <c r="C198" i="7"/>
  <c r="J198" i="7" s="1"/>
  <c r="C94" i="7"/>
  <c r="J94" i="7" s="1"/>
  <c r="C192" i="7"/>
  <c r="C181" i="7"/>
  <c r="C206" i="7"/>
  <c r="J206" i="7" s="1"/>
  <c r="C133" i="7"/>
  <c r="C45" i="7"/>
  <c r="I45" i="7" s="1"/>
  <c r="C9" i="7"/>
  <c r="C202" i="7"/>
  <c r="J202" i="7" s="1"/>
  <c r="C203" i="7"/>
  <c r="C4" i="7"/>
  <c r="C186" i="7"/>
  <c r="J186" i="7" s="1"/>
  <c r="C95" i="7"/>
  <c r="I95" i="7" s="1"/>
  <c r="C2" i="7"/>
  <c r="J2" i="7" s="1"/>
  <c r="C131" i="7"/>
  <c r="C210" i="7"/>
  <c r="C152" i="7"/>
  <c r="J152" i="7" s="1"/>
  <c r="C7" i="7"/>
  <c r="C78" i="7"/>
  <c r="C132" i="7"/>
  <c r="C214" i="7"/>
  <c r="C136" i="7"/>
  <c r="J136" i="7" s="1"/>
  <c r="C212" i="7"/>
  <c r="C117" i="7"/>
  <c r="C36" i="7"/>
  <c r="C49" i="7"/>
  <c r="J49" i="7" s="1"/>
  <c r="C55" i="7"/>
  <c r="C141" i="7"/>
  <c r="C184" i="7"/>
  <c r="J184" i="7" s="1"/>
  <c r="C32" i="7"/>
  <c r="J32" i="7" s="1"/>
  <c r="C121" i="7"/>
  <c r="J121" i="7" s="1"/>
  <c r="C118" i="7"/>
  <c r="J118" i="7" s="1"/>
  <c r="C103" i="7"/>
  <c r="J103" i="7" s="1"/>
  <c r="C215" i="7"/>
  <c r="C84" i="7"/>
  <c r="C61" i="7"/>
  <c r="I61" i="7" s="1"/>
  <c r="C190" i="7"/>
  <c r="J190" i="7" s="1"/>
  <c r="C35" i="7"/>
  <c r="C171" i="7"/>
  <c r="C40" i="7"/>
  <c r="C180" i="7"/>
  <c r="C216" i="7"/>
  <c r="J216" i="7" s="1"/>
  <c r="C85" i="7"/>
  <c r="C162" i="7"/>
  <c r="J162" i="7" s="1"/>
  <c r="C22" i="7"/>
  <c r="J22" i="7" s="1"/>
  <c r="C197" i="7"/>
  <c r="C33" i="7"/>
  <c r="J33" i="7" s="1"/>
  <c r="C25" i="7"/>
  <c r="J25" i="7" s="1"/>
  <c r="C51" i="7"/>
  <c r="C88" i="7"/>
  <c r="C182" i="7"/>
  <c r="C60" i="7"/>
  <c r="C102" i="7"/>
  <c r="J102" i="7" s="1"/>
  <c r="C14" i="7"/>
  <c r="J14" i="7" s="1"/>
  <c r="C89" i="7"/>
  <c r="J89" i="7" s="1"/>
  <c r="C19" i="7"/>
  <c r="C191" i="7"/>
  <c r="J191" i="7" s="1"/>
  <c r="C150" i="7"/>
  <c r="J150" i="7" s="1"/>
  <c r="C172" i="7"/>
  <c r="C194" i="7"/>
  <c r="J194" i="7" s="1"/>
  <c r="C174" i="7"/>
  <c r="J174" i="7" s="1"/>
  <c r="C108" i="7"/>
  <c r="J108" i="7" s="1"/>
  <c r="C151" i="7"/>
  <c r="J151" i="7" s="1"/>
  <c r="C31" i="7"/>
  <c r="J31" i="7" s="1"/>
  <c r="C110" i="7"/>
  <c r="J110" i="7" s="1"/>
  <c r="C113" i="7"/>
  <c r="C140" i="7"/>
  <c r="C63" i="7"/>
  <c r="J63" i="7" s="1"/>
  <c r="C107" i="7"/>
  <c r="C199" i="7"/>
  <c r="J199" i="7" s="1"/>
  <c r="C47" i="7"/>
  <c r="J47" i="7" s="1"/>
  <c r="C48" i="7"/>
  <c r="C185" i="7"/>
  <c r="J185" i="7" s="1"/>
  <c r="C112" i="7"/>
  <c r="C39" i="7"/>
  <c r="C124" i="7"/>
  <c r="M94" i="7" s="1"/>
  <c r="C159" i="7"/>
  <c r="J159" i="7" s="1"/>
  <c r="C76" i="7"/>
  <c r="C65" i="7"/>
  <c r="J65" i="7" s="1"/>
  <c r="C26" i="7"/>
  <c r="J26" i="7" s="1"/>
  <c r="C129" i="7"/>
  <c r="J129" i="7" s="1"/>
  <c r="C10" i="7"/>
  <c r="C100" i="7"/>
  <c r="M118" i="7" s="1"/>
  <c r="C3" i="7"/>
  <c r="C134" i="7"/>
  <c r="J134" i="7" s="1"/>
  <c r="C75" i="7"/>
  <c r="J75" i="7" s="1"/>
  <c r="C27" i="7"/>
  <c r="I27" i="7" s="1"/>
  <c r="C74" i="7"/>
  <c r="J74" i="7" s="1"/>
  <c r="C111" i="7"/>
  <c r="J111" i="7" s="1"/>
  <c r="C143" i="7"/>
  <c r="J143" i="7" s="1"/>
  <c r="C86" i="7"/>
  <c r="C64" i="7"/>
  <c r="C193" i="7"/>
  <c r="J193" i="7" s="1"/>
  <c r="C67" i="7"/>
  <c r="J67" i="7" s="1"/>
  <c r="C58" i="7"/>
  <c r="J58" i="7" s="1"/>
  <c r="C70" i="7"/>
  <c r="J70" i="7" s="1"/>
  <c r="C46" i="7"/>
  <c r="J46" i="7" s="1"/>
  <c r="C87" i="7"/>
  <c r="C24" i="7"/>
  <c r="C179" i="7"/>
  <c r="C130" i="7"/>
  <c r="J130" i="7" s="1"/>
  <c r="C187" i="7"/>
  <c r="M31" i="7" s="1"/>
  <c r="C34" i="7"/>
  <c r="J34" i="7" s="1"/>
  <c r="C120" i="7"/>
  <c r="C21" i="7"/>
  <c r="C211" i="7"/>
  <c r="C169" i="7"/>
  <c r="M49" i="7" s="1"/>
  <c r="C167" i="7"/>
  <c r="J167" i="7" s="1"/>
  <c r="C164" i="7"/>
  <c r="M54" i="7" s="1"/>
  <c r="C105" i="7"/>
  <c r="J105" i="7" s="1"/>
  <c r="C127" i="7"/>
  <c r="J127" i="7" s="1"/>
  <c r="C82" i="7"/>
  <c r="J82" i="7" s="1"/>
  <c r="C166" i="7"/>
  <c r="J166" i="7" s="1"/>
  <c r="C195" i="7"/>
  <c r="C59" i="7"/>
  <c r="C123" i="7"/>
  <c r="C5" i="7"/>
  <c r="C201" i="7"/>
  <c r="I201" i="7" s="1"/>
  <c r="C145" i="7"/>
  <c r="J145" i="7" s="1"/>
  <c r="C161" i="7"/>
  <c r="J161" i="7" s="1"/>
  <c r="C158" i="7"/>
  <c r="J158" i="7" s="1"/>
  <c r="C183" i="7"/>
  <c r="C154" i="7"/>
  <c r="C37" i="7"/>
  <c r="C160" i="7"/>
  <c r="C41" i="7"/>
  <c r="J41" i="7" s="1"/>
  <c r="C54" i="7"/>
  <c r="J54" i="7" s="1"/>
  <c r="C155" i="7"/>
  <c r="C204" i="7"/>
  <c r="M14" i="7" s="1"/>
  <c r="C90" i="7"/>
  <c r="C189" i="7"/>
  <c r="C43" i="7"/>
  <c r="C175" i="7"/>
  <c r="J175" i="7" s="1"/>
  <c r="C71" i="7"/>
  <c r="J71" i="7" s="1"/>
  <c r="C177" i="7"/>
  <c r="J177" i="7" s="1"/>
  <c r="C146" i="7"/>
  <c r="J146" i="7" s="1"/>
  <c r="C96" i="7"/>
  <c r="J96" i="7" s="1"/>
  <c r="C149" i="7"/>
  <c r="C106" i="7"/>
  <c r="C50" i="7"/>
  <c r="J50" i="7" s="1"/>
  <c r="C209" i="7"/>
  <c r="C156" i="7"/>
  <c r="M62" i="7" s="1"/>
  <c r="C157" i="7"/>
  <c r="C115" i="7"/>
  <c r="C109" i="7"/>
  <c r="C16" i="7"/>
  <c r="C196" i="7"/>
  <c r="C125" i="7"/>
  <c r="M93" i="7" s="1"/>
  <c r="C53" i="7"/>
  <c r="J53" i="7" s="1"/>
  <c r="C44" i="7"/>
  <c r="I44" i="7" s="1"/>
  <c r="C122" i="7"/>
  <c r="J122" i="7" s="1"/>
  <c r="C30" i="7"/>
  <c r="J30" i="7" s="1"/>
  <c r="C15" i="7"/>
  <c r="J15" i="7" s="1"/>
  <c r="C91" i="7"/>
  <c r="C18" i="7"/>
  <c r="J18" i="7" s="1"/>
  <c r="C138" i="7"/>
  <c r="J138" i="7" s="1"/>
  <c r="C73" i="7"/>
  <c r="J73" i="7" s="1"/>
  <c r="C83" i="7"/>
  <c r="C52" i="7"/>
  <c r="I52" i="7" s="1"/>
  <c r="C11" i="7"/>
  <c r="C208" i="7"/>
  <c r="J208" i="7" s="1"/>
  <c r="C173" i="7"/>
  <c r="C8" i="7"/>
  <c r="C97" i="7"/>
  <c r="J97" i="7" s="1"/>
  <c r="C6" i="7"/>
  <c r="I6" i="7" s="1"/>
  <c r="C38" i="7"/>
  <c r="I38" i="7" s="1"/>
  <c r="C23" i="7"/>
  <c r="J23" i="7" s="1"/>
  <c r="C144" i="7"/>
  <c r="C81" i="7"/>
  <c r="J81" i="7" s="1"/>
  <c r="C163" i="7"/>
  <c r="C69" i="7"/>
  <c r="C176" i="7"/>
  <c r="C128" i="7"/>
  <c r="C200" i="7"/>
  <c r="C165" i="7"/>
  <c r="I165" i="7" s="1"/>
  <c r="C114" i="7"/>
  <c r="J114" i="7" s="1"/>
  <c r="C168" i="7"/>
  <c r="J168" i="7" s="1"/>
  <c r="C79" i="7"/>
  <c r="C29" i="7"/>
  <c r="C148" i="7"/>
  <c r="M70" i="7" s="1"/>
  <c r="C135" i="7"/>
  <c r="J135" i="7" s="1"/>
  <c r="C137" i="7"/>
  <c r="C104" i="7"/>
  <c r="C188" i="7"/>
  <c r="C20" i="7"/>
  <c r="M198" i="7" s="1"/>
  <c r="C12" i="7"/>
  <c r="C101" i="7"/>
  <c r="C13" i="7"/>
  <c r="C80" i="7"/>
  <c r="M138" i="7" s="1"/>
  <c r="C116" i="7"/>
  <c r="I116" i="7" s="1"/>
  <c r="C178" i="7"/>
  <c r="J178" i="7" s="1"/>
  <c r="C77" i="7"/>
  <c r="C66" i="7"/>
  <c r="J66" i="7" s="1"/>
  <c r="C205" i="7"/>
  <c r="C99" i="7"/>
  <c r="C139" i="7"/>
  <c r="C119" i="7"/>
  <c r="J119" i="7" s="1"/>
  <c r="I162" i="7"/>
  <c r="I197" i="7"/>
  <c r="I14" i="7"/>
  <c r="I108" i="7"/>
  <c r="I63" i="7"/>
  <c r="I199" i="7"/>
  <c r="I124" i="7"/>
  <c r="I75" i="7"/>
  <c r="I67" i="7"/>
  <c r="I179" i="7"/>
  <c r="I187" i="7"/>
  <c r="I105" i="7"/>
  <c r="I41" i="7"/>
  <c r="I71" i="7"/>
  <c r="I50" i="7"/>
  <c r="I156" i="7"/>
  <c r="I125" i="7"/>
  <c r="I137" i="7"/>
  <c r="I13" i="7"/>
  <c r="I119" i="7"/>
  <c r="I25" i="7"/>
  <c r="I98" i="7"/>
  <c r="I72" i="7"/>
  <c r="I170" i="7"/>
  <c r="I207" i="7"/>
  <c r="I42" i="7"/>
  <c r="I93" i="7"/>
  <c r="I142" i="7"/>
  <c r="I17" i="7"/>
  <c r="I126" i="7"/>
  <c r="I68" i="7"/>
  <c r="I153" i="7"/>
  <c r="I62" i="7"/>
  <c r="I213" i="7"/>
  <c r="I198" i="7"/>
  <c r="I94" i="7"/>
  <c r="I192" i="7"/>
  <c r="I206" i="7"/>
  <c r="I133" i="7"/>
  <c r="I202" i="7"/>
  <c r="I203" i="7"/>
  <c r="I4" i="7"/>
  <c r="I2" i="7"/>
  <c r="I131" i="7"/>
  <c r="I210" i="7"/>
  <c r="I152" i="7"/>
  <c r="I7" i="7"/>
  <c r="I78" i="7"/>
  <c r="I136" i="7"/>
  <c r="I212" i="7"/>
  <c r="I117" i="7"/>
  <c r="I36" i="7"/>
  <c r="I49" i="7"/>
  <c r="I55" i="7"/>
  <c r="I32" i="7"/>
  <c r="I121" i="7"/>
  <c r="I118" i="7"/>
  <c r="I103" i="7"/>
  <c r="I215" i="7"/>
  <c r="I84" i="7"/>
  <c r="I35" i="7"/>
  <c r="I40" i="7"/>
  <c r="I180" i="7"/>
  <c r="I216" i="7"/>
  <c r="I85" i="7"/>
  <c r="I51" i="7"/>
  <c r="I88" i="7"/>
  <c r="I182" i="7"/>
  <c r="I102" i="7"/>
  <c r="I19" i="7"/>
  <c r="I191" i="7"/>
  <c r="I150" i="7"/>
  <c r="I172" i="7"/>
  <c r="I31" i="7"/>
  <c r="I110" i="7"/>
  <c r="I113" i="7"/>
  <c r="I140" i="7"/>
  <c r="I107" i="7"/>
  <c r="I48" i="7"/>
  <c r="I185" i="7"/>
  <c r="I112" i="7"/>
  <c r="I39" i="7"/>
  <c r="I159" i="7"/>
  <c r="I76" i="7"/>
  <c r="I26" i="7"/>
  <c r="I129" i="7"/>
  <c r="I10" i="7"/>
  <c r="I100" i="7"/>
  <c r="I74" i="7"/>
  <c r="I111" i="7"/>
  <c r="I143" i="7"/>
  <c r="I86" i="7"/>
  <c r="I193" i="7"/>
  <c r="I70" i="7"/>
  <c r="I46" i="7"/>
  <c r="I87" i="7"/>
  <c r="I24" i="7"/>
  <c r="I130" i="7"/>
  <c r="I120" i="7"/>
  <c r="I21" i="7"/>
  <c r="I211" i="7"/>
  <c r="I169" i="7"/>
  <c r="I82" i="7"/>
  <c r="I166" i="7"/>
  <c r="I195" i="7"/>
  <c r="I59" i="7"/>
  <c r="I5" i="7"/>
  <c r="I161" i="7"/>
  <c r="I158" i="7"/>
  <c r="I183" i="7"/>
  <c r="I154" i="7"/>
  <c r="I160" i="7"/>
  <c r="I54" i="7"/>
  <c r="I155" i="7"/>
  <c r="I204" i="7"/>
  <c r="I90" i="7"/>
  <c r="I189" i="7"/>
  <c r="I146" i="7"/>
  <c r="I96" i="7"/>
  <c r="I149" i="7"/>
  <c r="I106" i="7"/>
  <c r="I209" i="7"/>
  <c r="I115" i="7"/>
  <c r="I109" i="7"/>
  <c r="I16" i="7"/>
  <c r="I196" i="7"/>
  <c r="I53" i="7"/>
  <c r="I30" i="7"/>
  <c r="I15" i="7"/>
  <c r="I91" i="7"/>
  <c r="I18" i="7"/>
  <c r="I83" i="7"/>
  <c r="I11" i="7"/>
  <c r="I208" i="7"/>
  <c r="I173" i="7"/>
  <c r="I8" i="7"/>
  <c r="I144" i="7"/>
  <c r="I163" i="7"/>
  <c r="I69" i="7"/>
  <c r="I128" i="7"/>
  <c r="I114" i="7"/>
  <c r="I168" i="7"/>
  <c r="I79" i="7"/>
  <c r="I29" i="7"/>
  <c r="I188" i="7"/>
  <c r="I20" i="7"/>
  <c r="I12" i="7"/>
  <c r="I101" i="7"/>
  <c r="I80" i="7"/>
  <c r="I77" i="7"/>
  <c r="I66" i="7"/>
  <c r="I205" i="7"/>
  <c r="I99" i="7"/>
  <c r="D1" i="5"/>
  <c r="H98" i="7"/>
  <c r="H57" i="7"/>
  <c r="H72" i="7"/>
  <c r="H170" i="7"/>
  <c r="H207" i="7"/>
  <c r="H42" i="7"/>
  <c r="H92" i="7"/>
  <c r="H93" i="7"/>
  <c r="H147" i="7"/>
  <c r="H28" i="7"/>
  <c r="H142" i="7"/>
  <c r="H17" i="7"/>
  <c r="H126" i="7"/>
  <c r="H68" i="7"/>
  <c r="H153" i="7"/>
  <c r="H62" i="7"/>
  <c r="H213" i="7"/>
  <c r="H56" i="7"/>
  <c r="H198" i="7"/>
  <c r="H94" i="7"/>
  <c r="H192" i="7"/>
  <c r="H181" i="7"/>
  <c r="H206" i="7"/>
  <c r="H133" i="7"/>
  <c r="H45" i="7"/>
  <c r="H9" i="7"/>
  <c r="H202" i="7"/>
  <c r="H203" i="7"/>
  <c r="H4" i="7"/>
  <c r="H186" i="7"/>
  <c r="H95" i="7"/>
  <c r="H2" i="7"/>
  <c r="H131" i="7"/>
  <c r="H210" i="7"/>
  <c r="H152" i="7"/>
  <c r="H7" i="7"/>
  <c r="H78" i="7"/>
  <c r="H132" i="7"/>
  <c r="H214" i="7"/>
  <c r="H136" i="7"/>
  <c r="H212" i="7"/>
  <c r="H117" i="7"/>
  <c r="H36" i="7"/>
  <c r="H49" i="7"/>
  <c r="H55" i="7"/>
  <c r="H141" i="7"/>
  <c r="H184" i="7"/>
  <c r="H32" i="7"/>
  <c r="H121" i="7"/>
  <c r="H118" i="7"/>
  <c r="H103" i="7"/>
  <c r="H215" i="7"/>
  <c r="H84" i="7"/>
  <c r="H61" i="7"/>
  <c r="H190" i="7"/>
  <c r="H35" i="7"/>
  <c r="H171" i="7"/>
  <c r="H40" i="7"/>
  <c r="H180" i="7"/>
  <c r="H216" i="7"/>
  <c r="H85" i="7"/>
  <c r="H162" i="7"/>
  <c r="H22" i="7"/>
  <c r="H197" i="7"/>
  <c r="H33" i="7"/>
  <c r="H25" i="7"/>
  <c r="H51" i="7"/>
  <c r="H88" i="7"/>
  <c r="H182" i="7"/>
  <c r="H60" i="7"/>
  <c r="H102" i="7"/>
  <c r="H14" i="7"/>
  <c r="H89" i="7"/>
  <c r="H19" i="7"/>
  <c r="H191" i="7"/>
  <c r="H150" i="7"/>
  <c r="H172" i="7"/>
  <c r="H194" i="7"/>
  <c r="H174" i="7"/>
  <c r="H108" i="7"/>
  <c r="H151" i="7"/>
  <c r="H31" i="7"/>
  <c r="H110" i="7"/>
  <c r="H113" i="7"/>
  <c r="H140" i="7"/>
  <c r="H63" i="7"/>
  <c r="H107" i="7"/>
  <c r="H199" i="7"/>
  <c r="H47" i="7"/>
  <c r="H48" i="7"/>
  <c r="H185" i="7"/>
  <c r="H112" i="7"/>
  <c r="H39" i="7"/>
  <c r="H124" i="7"/>
  <c r="H159" i="7"/>
  <c r="H76" i="7"/>
  <c r="H65" i="7"/>
  <c r="H26" i="7"/>
  <c r="H129" i="7"/>
  <c r="H10" i="7"/>
  <c r="H100" i="7"/>
  <c r="H3" i="7"/>
  <c r="H134" i="7"/>
  <c r="H75" i="7"/>
  <c r="H27" i="7"/>
  <c r="H74" i="7"/>
  <c r="H111" i="7"/>
  <c r="H143" i="7"/>
  <c r="H86" i="7"/>
  <c r="H64" i="7"/>
  <c r="H193" i="7"/>
  <c r="H67" i="7"/>
  <c r="H58" i="7"/>
  <c r="H70" i="7"/>
  <c r="H46" i="7"/>
  <c r="H87" i="7"/>
  <c r="H24" i="7"/>
  <c r="H179" i="7"/>
  <c r="H130" i="7"/>
  <c r="H187" i="7"/>
  <c r="H34" i="7"/>
  <c r="H120" i="7"/>
  <c r="H21" i="7"/>
  <c r="H211" i="7"/>
  <c r="H169" i="7"/>
  <c r="H167" i="7"/>
  <c r="H164" i="7"/>
  <c r="H105" i="7"/>
  <c r="H127" i="7"/>
  <c r="H82" i="7"/>
  <c r="H166" i="7"/>
  <c r="H195" i="7"/>
  <c r="H59" i="7"/>
  <c r="H123" i="7"/>
  <c r="H5" i="7"/>
  <c r="H201" i="7"/>
  <c r="H145" i="7"/>
  <c r="H161" i="7"/>
  <c r="H158" i="7"/>
  <c r="H183" i="7"/>
  <c r="H154" i="7"/>
  <c r="H37" i="7"/>
  <c r="H160" i="7"/>
  <c r="H41" i="7"/>
  <c r="H54" i="7"/>
  <c r="H155" i="7"/>
  <c r="H204" i="7"/>
  <c r="H90" i="7"/>
  <c r="H189" i="7"/>
  <c r="H43" i="7"/>
  <c r="H175" i="7"/>
  <c r="H71" i="7"/>
  <c r="H177" i="7"/>
  <c r="H146" i="7"/>
  <c r="H96" i="7"/>
  <c r="H149" i="7"/>
  <c r="H106" i="7"/>
  <c r="H50" i="7"/>
  <c r="H209" i="7"/>
  <c r="H156" i="7"/>
  <c r="H157" i="7"/>
  <c r="H115" i="7"/>
  <c r="H109" i="7"/>
  <c r="H16" i="7"/>
  <c r="H196" i="7"/>
  <c r="H125" i="7"/>
  <c r="H53" i="7"/>
  <c r="H44" i="7"/>
  <c r="H122" i="7"/>
  <c r="H30" i="7"/>
  <c r="H15" i="7"/>
  <c r="H91" i="7"/>
  <c r="H18" i="7"/>
  <c r="H138" i="7"/>
  <c r="H73" i="7"/>
  <c r="H83" i="7"/>
  <c r="H52" i="7"/>
  <c r="H11" i="7"/>
  <c r="H208" i="7"/>
  <c r="H173" i="7"/>
  <c r="H8" i="7"/>
  <c r="H97" i="7"/>
  <c r="H6" i="7"/>
  <c r="H38" i="7"/>
  <c r="H23" i="7"/>
  <c r="H144" i="7"/>
  <c r="H81" i="7"/>
  <c r="H163" i="7"/>
  <c r="H69" i="7"/>
  <c r="H176" i="7"/>
  <c r="H128" i="7"/>
  <c r="H200" i="7"/>
  <c r="H165" i="7"/>
  <c r="H114" i="7"/>
  <c r="H168" i="7"/>
  <c r="H79" i="7"/>
  <c r="H29" i="7"/>
  <c r="H148" i="7"/>
  <c r="H135" i="7"/>
  <c r="H137" i="7"/>
  <c r="H104" i="7"/>
  <c r="H188" i="7"/>
  <c r="H20" i="7"/>
  <c r="H12" i="7"/>
  <c r="H101" i="7"/>
  <c r="H13" i="7"/>
  <c r="H80" i="7"/>
  <c r="H116" i="7"/>
  <c r="H178" i="7"/>
  <c r="H77" i="7"/>
  <c r="H66" i="7"/>
  <c r="H205" i="7"/>
  <c r="H99" i="7"/>
  <c r="H139" i="7"/>
  <c r="H119" i="7"/>
  <c r="S58" i="5" l="1"/>
  <c r="Q58" i="5"/>
  <c r="P58" i="5"/>
  <c r="N58" i="5"/>
  <c r="R58" i="5"/>
  <c r="O58" i="5"/>
  <c r="L58" i="5"/>
  <c r="H215" i="5"/>
  <c r="R124" i="5"/>
  <c r="Q124" i="5"/>
  <c r="O124" i="5"/>
  <c r="S124" i="5"/>
  <c r="N124" i="5"/>
  <c r="L124" i="5"/>
  <c r="P124" i="5"/>
  <c r="R206" i="5"/>
  <c r="P206" i="5"/>
  <c r="O206" i="5"/>
  <c r="Q206" i="5"/>
  <c r="L206" i="5"/>
  <c r="N206" i="5"/>
  <c r="S206" i="5"/>
  <c r="H199" i="5"/>
  <c r="S146" i="5"/>
  <c r="Q146" i="5"/>
  <c r="R146" i="5"/>
  <c r="P146" i="5"/>
  <c r="O146" i="5"/>
  <c r="N146" i="5"/>
  <c r="L146" i="5"/>
  <c r="H191" i="5"/>
  <c r="S53" i="5"/>
  <c r="R53" i="5"/>
  <c r="Q53" i="5"/>
  <c r="P53" i="5"/>
  <c r="N53" i="5"/>
  <c r="O53" i="5"/>
  <c r="L53" i="5"/>
  <c r="Q128" i="5"/>
  <c r="S128" i="5"/>
  <c r="O128" i="5"/>
  <c r="L128" i="5"/>
  <c r="R128" i="5"/>
  <c r="P128" i="5"/>
  <c r="N128" i="5"/>
  <c r="H175" i="5"/>
  <c r="R108" i="5"/>
  <c r="Q108" i="5"/>
  <c r="P108" i="5"/>
  <c r="N108" i="5"/>
  <c r="L108" i="5"/>
  <c r="S108" i="5"/>
  <c r="O108" i="5"/>
  <c r="R144" i="5"/>
  <c r="O144" i="5"/>
  <c r="S144" i="5"/>
  <c r="Q144" i="5"/>
  <c r="P144" i="5"/>
  <c r="L144" i="5"/>
  <c r="N144" i="5"/>
  <c r="H159" i="5"/>
  <c r="S136" i="5"/>
  <c r="Q136" i="5"/>
  <c r="R136" i="5"/>
  <c r="P136" i="5"/>
  <c r="N136" i="5"/>
  <c r="O136" i="5"/>
  <c r="L136" i="5"/>
  <c r="S179" i="5"/>
  <c r="R179" i="5"/>
  <c r="Q179" i="5"/>
  <c r="N179" i="5"/>
  <c r="L179" i="5"/>
  <c r="O179" i="5"/>
  <c r="P179" i="5"/>
  <c r="H142" i="5"/>
  <c r="S101" i="5"/>
  <c r="Q101" i="5"/>
  <c r="R101" i="5"/>
  <c r="P101" i="5"/>
  <c r="N101" i="5"/>
  <c r="L101" i="5"/>
  <c r="O101" i="5"/>
  <c r="S116" i="5"/>
  <c r="R116" i="5"/>
  <c r="O116" i="5"/>
  <c r="P116" i="5"/>
  <c r="N116" i="5"/>
  <c r="L116" i="5"/>
  <c r="Q116" i="5"/>
  <c r="P86" i="5"/>
  <c r="O86" i="5"/>
  <c r="S86" i="5"/>
  <c r="R86" i="5"/>
  <c r="N86" i="5"/>
  <c r="Q86" i="5"/>
  <c r="L86" i="5"/>
  <c r="S72" i="5"/>
  <c r="Q72" i="5"/>
  <c r="R72" i="5"/>
  <c r="N72" i="5"/>
  <c r="P72" i="5"/>
  <c r="O72" i="5"/>
  <c r="L72" i="5"/>
  <c r="S45" i="5"/>
  <c r="Q45" i="5"/>
  <c r="R45" i="5"/>
  <c r="P45" i="5"/>
  <c r="L45" i="5"/>
  <c r="N45" i="5"/>
  <c r="O45" i="5"/>
  <c r="H102" i="5"/>
  <c r="S141" i="5"/>
  <c r="O141" i="5"/>
  <c r="N141" i="5"/>
  <c r="L141" i="5"/>
  <c r="R141" i="5"/>
  <c r="P141" i="5"/>
  <c r="Q141" i="5"/>
  <c r="S7" i="5"/>
  <c r="R7" i="5"/>
  <c r="O7" i="5"/>
  <c r="Q7" i="5"/>
  <c r="P7" i="5"/>
  <c r="N7" i="5"/>
  <c r="L7" i="5"/>
  <c r="R177" i="5"/>
  <c r="P177" i="5"/>
  <c r="S177" i="5"/>
  <c r="Q177" i="5"/>
  <c r="L177" i="5"/>
  <c r="N177" i="5"/>
  <c r="O177" i="5"/>
  <c r="S93" i="5"/>
  <c r="P93" i="5"/>
  <c r="Q93" i="5"/>
  <c r="L93" i="5"/>
  <c r="R93" i="5"/>
  <c r="N93" i="5"/>
  <c r="O93" i="5"/>
  <c r="S200" i="5"/>
  <c r="Q200" i="5"/>
  <c r="O200" i="5"/>
  <c r="P200" i="5"/>
  <c r="N200" i="5"/>
  <c r="R200" i="5"/>
  <c r="L200" i="5"/>
  <c r="P110" i="5"/>
  <c r="O110" i="5"/>
  <c r="Q110" i="5"/>
  <c r="S110" i="5"/>
  <c r="R110" i="5"/>
  <c r="L110" i="5"/>
  <c r="N110" i="5"/>
  <c r="Q17" i="5"/>
  <c r="P17" i="5"/>
  <c r="N17" i="5"/>
  <c r="S17" i="5"/>
  <c r="O17" i="5"/>
  <c r="L17" i="5"/>
  <c r="R17" i="5"/>
  <c r="H47" i="5"/>
  <c r="R41" i="5"/>
  <c r="S41" i="5"/>
  <c r="P41" i="5"/>
  <c r="O41" i="5"/>
  <c r="Q41" i="5"/>
  <c r="N41" i="5"/>
  <c r="L41" i="5"/>
  <c r="R15" i="5"/>
  <c r="S15" i="5"/>
  <c r="O15" i="5"/>
  <c r="Q15" i="5"/>
  <c r="P15" i="5"/>
  <c r="N15" i="5"/>
  <c r="L15" i="5"/>
  <c r="P198" i="5"/>
  <c r="O198" i="5"/>
  <c r="R198" i="5"/>
  <c r="S198" i="5"/>
  <c r="Q198" i="5"/>
  <c r="L198" i="5"/>
  <c r="N198" i="5"/>
  <c r="P166" i="5"/>
  <c r="O166" i="5"/>
  <c r="S166" i="5"/>
  <c r="R166" i="5"/>
  <c r="L166" i="5"/>
  <c r="N166" i="5"/>
  <c r="Q166" i="5"/>
  <c r="H15" i="5"/>
  <c r="R151" i="5"/>
  <c r="O151" i="5"/>
  <c r="S151" i="5"/>
  <c r="Q151" i="5"/>
  <c r="P151" i="5"/>
  <c r="N151" i="5"/>
  <c r="L151" i="5"/>
  <c r="H7" i="5"/>
  <c r="Q36" i="5"/>
  <c r="R36" i="5"/>
  <c r="P36" i="5"/>
  <c r="N36" i="5"/>
  <c r="L36" i="5"/>
  <c r="O36" i="5"/>
  <c r="S36" i="5"/>
  <c r="H206" i="5"/>
  <c r="Q8" i="5"/>
  <c r="S8" i="5"/>
  <c r="P8" i="5"/>
  <c r="N8" i="5"/>
  <c r="O8" i="5"/>
  <c r="R8" i="5"/>
  <c r="L8" i="5"/>
  <c r="S66" i="5"/>
  <c r="Q66" i="5"/>
  <c r="P66" i="5"/>
  <c r="O66" i="5"/>
  <c r="R66" i="5"/>
  <c r="L66" i="5"/>
  <c r="N66" i="5"/>
  <c r="S11" i="5"/>
  <c r="R11" i="5"/>
  <c r="Q11" i="5"/>
  <c r="P11" i="5"/>
  <c r="L11" i="5"/>
  <c r="N11" i="5"/>
  <c r="O11" i="5"/>
  <c r="S30" i="5"/>
  <c r="P30" i="5"/>
  <c r="O30" i="5"/>
  <c r="N30" i="5"/>
  <c r="Q30" i="5"/>
  <c r="R30" i="5"/>
  <c r="L30" i="5"/>
  <c r="J201" i="5"/>
  <c r="Q28" i="5"/>
  <c r="S28" i="5"/>
  <c r="R28" i="5"/>
  <c r="P28" i="5"/>
  <c r="N28" i="5"/>
  <c r="O28" i="5"/>
  <c r="L28" i="5"/>
  <c r="H166" i="5"/>
  <c r="Q182" i="5"/>
  <c r="P182" i="5"/>
  <c r="O182" i="5"/>
  <c r="S182" i="5"/>
  <c r="N182" i="5"/>
  <c r="R182" i="5"/>
  <c r="L182" i="5"/>
  <c r="R79" i="5"/>
  <c r="P79" i="5"/>
  <c r="S79" i="5"/>
  <c r="Q79" i="5"/>
  <c r="O79" i="5"/>
  <c r="L79" i="5"/>
  <c r="N79" i="5"/>
  <c r="R78" i="5"/>
  <c r="P78" i="5"/>
  <c r="O78" i="5"/>
  <c r="N78" i="5"/>
  <c r="Q78" i="5"/>
  <c r="S78" i="5"/>
  <c r="L78" i="5"/>
  <c r="J216" i="5"/>
  <c r="Q2" i="5"/>
  <c r="R2" i="5"/>
  <c r="S2" i="5"/>
  <c r="P2" i="5"/>
  <c r="L2" i="5"/>
  <c r="O2" i="5"/>
  <c r="N2" i="5"/>
  <c r="H133" i="5"/>
  <c r="P71" i="5"/>
  <c r="R71" i="5"/>
  <c r="O71" i="5"/>
  <c r="Q71" i="5"/>
  <c r="N71" i="5"/>
  <c r="S71" i="5"/>
  <c r="L71" i="5"/>
  <c r="H125" i="5"/>
  <c r="S59" i="5"/>
  <c r="R59" i="5"/>
  <c r="Q59" i="5"/>
  <c r="O59" i="5"/>
  <c r="P59" i="5"/>
  <c r="L59" i="5"/>
  <c r="N59" i="5"/>
  <c r="R24" i="5"/>
  <c r="Q24" i="5"/>
  <c r="S24" i="5"/>
  <c r="L24" i="5"/>
  <c r="O24" i="5"/>
  <c r="N24" i="5"/>
  <c r="P24" i="5"/>
  <c r="J208" i="5"/>
  <c r="S10" i="5"/>
  <c r="P10" i="5"/>
  <c r="N10" i="5"/>
  <c r="Q10" i="5"/>
  <c r="L10" i="5"/>
  <c r="O10" i="5"/>
  <c r="R10" i="5"/>
  <c r="S65" i="5"/>
  <c r="P65" i="5"/>
  <c r="N65" i="5"/>
  <c r="O65" i="5"/>
  <c r="L65" i="5"/>
  <c r="R65" i="5"/>
  <c r="Q65" i="5"/>
  <c r="S21" i="5"/>
  <c r="P21" i="5"/>
  <c r="Q21" i="5"/>
  <c r="L21" i="5"/>
  <c r="R21" i="5"/>
  <c r="O21" i="5"/>
  <c r="N21" i="5"/>
  <c r="S20" i="5"/>
  <c r="P20" i="5"/>
  <c r="L20" i="5"/>
  <c r="Q20" i="5"/>
  <c r="N20" i="5"/>
  <c r="R20" i="5"/>
  <c r="O20" i="5"/>
  <c r="R96" i="5"/>
  <c r="S96" i="5"/>
  <c r="O96" i="5"/>
  <c r="Q96" i="5"/>
  <c r="P96" i="5"/>
  <c r="N96" i="5"/>
  <c r="L96" i="5"/>
  <c r="H69" i="5"/>
  <c r="Q140" i="5"/>
  <c r="R140" i="5"/>
  <c r="N140" i="5"/>
  <c r="L140" i="5"/>
  <c r="S140" i="5"/>
  <c r="O140" i="5"/>
  <c r="P140" i="5"/>
  <c r="H55" i="5"/>
  <c r="R106" i="5"/>
  <c r="S106" i="5"/>
  <c r="P106" i="5"/>
  <c r="Q106" i="5"/>
  <c r="O106" i="5"/>
  <c r="L106" i="5"/>
  <c r="N106" i="5"/>
  <c r="H54" i="5"/>
  <c r="P194" i="5"/>
  <c r="O194" i="5"/>
  <c r="S194" i="5"/>
  <c r="Q194" i="5"/>
  <c r="R194" i="5"/>
  <c r="N194" i="5"/>
  <c r="L194" i="5"/>
  <c r="S40" i="5"/>
  <c r="R40" i="5"/>
  <c r="O40" i="5"/>
  <c r="Q40" i="5"/>
  <c r="L40" i="5"/>
  <c r="P40" i="5"/>
  <c r="N40" i="5"/>
  <c r="Q154" i="5"/>
  <c r="S154" i="5"/>
  <c r="P154" i="5"/>
  <c r="N154" i="5"/>
  <c r="L154" i="5"/>
  <c r="O154" i="5"/>
  <c r="R154" i="5"/>
  <c r="H30" i="5"/>
  <c r="S107" i="5"/>
  <c r="R107" i="5"/>
  <c r="Q107" i="5"/>
  <c r="P107" i="5"/>
  <c r="O107" i="5"/>
  <c r="N107" i="5"/>
  <c r="L107" i="5"/>
  <c r="S37" i="5"/>
  <c r="Q37" i="5"/>
  <c r="N37" i="5"/>
  <c r="L37" i="5"/>
  <c r="P37" i="5"/>
  <c r="O37" i="5"/>
  <c r="R37" i="5"/>
  <c r="H14" i="5"/>
  <c r="Q64" i="5"/>
  <c r="S64" i="5"/>
  <c r="O64" i="5"/>
  <c r="N64" i="5"/>
  <c r="P64" i="5"/>
  <c r="L64" i="5"/>
  <c r="R64" i="5"/>
  <c r="H6" i="5"/>
  <c r="S91" i="5"/>
  <c r="R91" i="5"/>
  <c r="Q91" i="5"/>
  <c r="L91" i="5"/>
  <c r="N91" i="5"/>
  <c r="P91" i="5"/>
  <c r="O91" i="5"/>
  <c r="H205" i="5"/>
  <c r="P129" i="5"/>
  <c r="S129" i="5"/>
  <c r="R129" i="5"/>
  <c r="Q129" i="5"/>
  <c r="O129" i="5"/>
  <c r="N129" i="5"/>
  <c r="L129" i="5"/>
  <c r="H197" i="5"/>
  <c r="Q81" i="5"/>
  <c r="S81" i="5"/>
  <c r="N81" i="5"/>
  <c r="R81" i="5"/>
  <c r="O81" i="5"/>
  <c r="P81" i="5"/>
  <c r="L81" i="5"/>
  <c r="H189" i="5"/>
  <c r="S187" i="5"/>
  <c r="R187" i="5"/>
  <c r="Q187" i="5"/>
  <c r="O187" i="5"/>
  <c r="N187" i="5"/>
  <c r="L187" i="5"/>
  <c r="P187" i="5"/>
  <c r="S213" i="5"/>
  <c r="Q213" i="5"/>
  <c r="P213" i="5"/>
  <c r="N213" i="5"/>
  <c r="L213" i="5"/>
  <c r="R213" i="5"/>
  <c r="O213" i="5"/>
  <c r="S62" i="5"/>
  <c r="P62" i="5"/>
  <c r="O62" i="5"/>
  <c r="R62" i="5"/>
  <c r="Q62" i="5"/>
  <c r="N62" i="5"/>
  <c r="L62" i="5"/>
  <c r="H165" i="5"/>
  <c r="R160" i="5"/>
  <c r="S160" i="5"/>
  <c r="Q160" i="5"/>
  <c r="O160" i="5"/>
  <c r="P160" i="5"/>
  <c r="L160" i="5"/>
  <c r="N160" i="5"/>
  <c r="R57" i="5"/>
  <c r="S57" i="5"/>
  <c r="Q57" i="5"/>
  <c r="N57" i="5"/>
  <c r="O57" i="5"/>
  <c r="P57" i="5"/>
  <c r="L57" i="5"/>
  <c r="S157" i="5"/>
  <c r="P157" i="5"/>
  <c r="N157" i="5"/>
  <c r="L157" i="5"/>
  <c r="Q157" i="5"/>
  <c r="R157" i="5"/>
  <c r="O157" i="5"/>
  <c r="J200" i="5"/>
  <c r="S27" i="5"/>
  <c r="R27" i="5"/>
  <c r="Q27" i="5"/>
  <c r="P27" i="5"/>
  <c r="O27" i="5"/>
  <c r="L27" i="5"/>
  <c r="N27" i="5"/>
  <c r="R87" i="5"/>
  <c r="P87" i="5"/>
  <c r="Q87" i="5"/>
  <c r="O87" i="5"/>
  <c r="S87" i="5"/>
  <c r="N87" i="5"/>
  <c r="L87" i="5"/>
  <c r="S61" i="5"/>
  <c r="R61" i="5"/>
  <c r="P61" i="5"/>
  <c r="O61" i="5"/>
  <c r="Q61" i="5"/>
  <c r="L61" i="5"/>
  <c r="N61" i="5"/>
  <c r="R23" i="5"/>
  <c r="O23" i="5"/>
  <c r="S23" i="5"/>
  <c r="Q23" i="5"/>
  <c r="P23" i="5"/>
  <c r="L23" i="5"/>
  <c r="N23" i="5"/>
  <c r="H108" i="5"/>
  <c r="S133" i="5"/>
  <c r="R133" i="5"/>
  <c r="N133" i="5"/>
  <c r="L133" i="5"/>
  <c r="Q133" i="5"/>
  <c r="P133" i="5"/>
  <c r="O133" i="5"/>
  <c r="H100" i="5"/>
  <c r="S202" i="5"/>
  <c r="P202" i="5"/>
  <c r="R202" i="5"/>
  <c r="L202" i="5"/>
  <c r="N202" i="5"/>
  <c r="O202" i="5"/>
  <c r="Q202" i="5"/>
  <c r="Q127" i="5"/>
  <c r="S127" i="5"/>
  <c r="P127" i="5"/>
  <c r="R127" i="5"/>
  <c r="O127" i="5"/>
  <c r="L127" i="5"/>
  <c r="N127" i="5"/>
  <c r="J192" i="5"/>
  <c r="S19" i="5"/>
  <c r="R19" i="5"/>
  <c r="Q19" i="5"/>
  <c r="P19" i="5"/>
  <c r="L19" i="5"/>
  <c r="N19" i="5"/>
  <c r="O19" i="5"/>
  <c r="H76" i="5"/>
  <c r="S148" i="5"/>
  <c r="Q148" i="5"/>
  <c r="O148" i="5"/>
  <c r="N148" i="5"/>
  <c r="L148" i="5"/>
  <c r="R148" i="5"/>
  <c r="P148" i="5"/>
  <c r="S130" i="5"/>
  <c r="R130" i="5"/>
  <c r="Q130" i="5"/>
  <c r="P130" i="5"/>
  <c r="O130" i="5"/>
  <c r="L130" i="5"/>
  <c r="N130" i="5"/>
  <c r="H60" i="5"/>
  <c r="P174" i="5"/>
  <c r="O174" i="5"/>
  <c r="Q174" i="5"/>
  <c r="R174" i="5"/>
  <c r="N174" i="5"/>
  <c r="L174" i="5"/>
  <c r="S174" i="5"/>
  <c r="Q54" i="5"/>
  <c r="P54" i="5"/>
  <c r="O54" i="5"/>
  <c r="S54" i="5"/>
  <c r="N54" i="5"/>
  <c r="R54" i="5"/>
  <c r="L54" i="5"/>
  <c r="H45" i="5"/>
  <c r="P193" i="5"/>
  <c r="R193" i="5"/>
  <c r="S193" i="5"/>
  <c r="Q193" i="5"/>
  <c r="L193" i="5"/>
  <c r="N193" i="5"/>
  <c r="O193" i="5"/>
  <c r="H37" i="5"/>
  <c r="S123" i="5"/>
  <c r="R123" i="5"/>
  <c r="Q123" i="5"/>
  <c r="O123" i="5"/>
  <c r="N123" i="5"/>
  <c r="L123" i="5"/>
  <c r="P123" i="5"/>
  <c r="H29" i="5"/>
  <c r="R153" i="5"/>
  <c r="O153" i="5"/>
  <c r="S153" i="5"/>
  <c r="Q153" i="5"/>
  <c r="L153" i="5"/>
  <c r="N153" i="5"/>
  <c r="P153" i="5"/>
  <c r="H21" i="5"/>
  <c r="Q209" i="5"/>
  <c r="R209" i="5"/>
  <c r="P209" i="5"/>
  <c r="S209" i="5"/>
  <c r="L209" i="5"/>
  <c r="O209" i="5"/>
  <c r="N209" i="5"/>
  <c r="P214" i="5"/>
  <c r="S214" i="5"/>
  <c r="O214" i="5"/>
  <c r="R214" i="5"/>
  <c r="Q214" i="5"/>
  <c r="N214" i="5"/>
  <c r="L214" i="5"/>
  <c r="H5" i="5"/>
  <c r="S139" i="5"/>
  <c r="R139" i="5"/>
  <c r="Q139" i="5"/>
  <c r="P139" i="5"/>
  <c r="N139" i="5"/>
  <c r="L139" i="5"/>
  <c r="O139" i="5"/>
  <c r="R162" i="5"/>
  <c r="Q162" i="5"/>
  <c r="O162" i="5"/>
  <c r="S162" i="5"/>
  <c r="P162" i="5"/>
  <c r="N162" i="5"/>
  <c r="L162" i="5"/>
  <c r="R105" i="5"/>
  <c r="S105" i="5"/>
  <c r="P105" i="5"/>
  <c r="O105" i="5"/>
  <c r="Q105" i="5"/>
  <c r="L105" i="5"/>
  <c r="N105" i="5"/>
  <c r="S29" i="5"/>
  <c r="R29" i="5"/>
  <c r="P29" i="5"/>
  <c r="L29" i="5"/>
  <c r="O29" i="5"/>
  <c r="N29" i="5"/>
  <c r="Q29" i="5"/>
  <c r="P102" i="5"/>
  <c r="O102" i="5"/>
  <c r="R102" i="5"/>
  <c r="L102" i="5"/>
  <c r="N102" i="5"/>
  <c r="S102" i="5"/>
  <c r="Q102" i="5"/>
  <c r="S181" i="5"/>
  <c r="R181" i="5"/>
  <c r="P181" i="5"/>
  <c r="N181" i="5"/>
  <c r="L181" i="5"/>
  <c r="O181" i="5"/>
  <c r="Q181" i="5"/>
  <c r="S158" i="5"/>
  <c r="P158" i="5"/>
  <c r="O158" i="5"/>
  <c r="R158" i="5"/>
  <c r="Q158" i="5"/>
  <c r="L158" i="5"/>
  <c r="N158" i="5"/>
  <c r="Q119" i="5"/>
  <c r="P119" i="5"/>
  <c r="S119" i="5"/>
  <c r="R119" i="5"/>
  <c r="N119" i="5"/>
  <c r="O119" i="5"/>
  <c r="L119" i="5"/>
  <c r="S112" i="5"/>
  <c r="Q112" i="5"/>
  <c r="O112" i="5"/>
  <c r="R112" i="5"/>
  <c r="N112" i="5"/>
  <c r="L112" i="5"/>
  <c r="P112" i="5"/>
  <c r="Q26" i="5"/>
  <c r="S26" i="5"/>
  <c r="N26" i="5"/>
  <c r="R26" i="5"/>
  <c r="P26" i="5"/>
  <c r="O26" i="5"/>
  <c r="L26" i="5"/>
  <c r="P46" i="5"/>
  <c r="O46" i="5"/>
  <c r="Q46" i="5"/>
  <c r="S46" i="5"/>
  <c r="N46" i="5"/>
  <c r="R46" i="5"/>
  <c r="L46" i="5"/>
  <c r="S84" i="5"/>
  <c r="L84" i="5"/>
  <c r="P84" i="5"/>
  <c r="O84" i="5"/>
  <c r="N84" i="5"/>
  <c r="R84" i="5"/>
  <c r="Q84" i="5"/>
  <c r="Q76" i="5"/>
  <c r="R76" i="5"/>
  <c r="P76" i="5"/>
  <c r="O76" i="5"/>
  <c r="L76" i="5"/>
  <c r="S76" i="5"/>
  <c r="N76" i="5"/>
  <c r="S178" i="5"/>
  <c r="R178" i="5"/>
  <c r="O178" i="5"/>
  <c r="L178" i="5"/>
  <c r="Q178" i="5"/>
  <c r="N178" i="5"/>
  <c r="P178" i="5"/>
  <c r="S210" i="5"/>
  <c r="Q210" i="5"/>
  <c r="P210" i="5"/>
  <c r="R210" i="5"/>
  <c r="L210" i="5"/>
  <c r="N210" i="5"/>
  <c r="O210" i="5"/>
  <c r="Q176" i="5"/>
  <c r="O176" i="5"/>
  <c r="S176" i="5"/>
  <c r="R176" i="5"/>
  <c r="N176" i="5"/>
  <c r="L176" i="5"/>
  <c r="P176" i="5"/>
  <c r="R34" i="5"/>
  <c r="O34" i="5"/>
  <c r="P34" i="5"/>
  <c r="Q34" i="5"/>
  <c r="S34" i="5"/>
  <c r="L34" i="5"/>
  <c r="N34" i="5"/>
  <c r="S67" i="5"/>
  <c r="R67" i="5"/>
  <c r="Q67" i="5"/>
  <c r="L67" i="5"/>
  <c r="O67" i="5"/>
  <c r="P67" i="5"/>
  <c r="N67" i="5"/>
  <c r="S173" i="5"/>
  <c r="Q173" i="5"/>
  <c r="O173" i="5"/>
  <c r="N173" i="5"/>
  <c r="L173" i="5"/>
  <c r="R173" i="5"/>
  <c r="P173" i="5"/>
  <c r="S74" i="5"/>
  <c r="Q74" i="5"/>
  <c r="P74" i="5"/>
  <c r="N74" i="5"/>
  <c r="R74" i="5"/>
  <c r="O74" i="5"/>
  <c r="L74" i="5"/>
  <c r="S189" i="5"/>
  <c r="R189" i="5"/>
  <c r="Q189" i="5"/>
  <c r="N189" i="5"/>
  <c r="L189" i="5"/>
  <c r="P189" i="5"/>
  <c r="O189" i="5"/>
  <c r="P39" i="5"/>
  <c r="Q39" i="5"/>
  <c r="O39" i="5"/>
  <c r="S39" i="5"/>
  <c r="R39" i="5"/>
  <c r="L39" i="5"/>
  <c r="N39" i="5"/>
  <c r="S205" i="5"/>
  <c r="O205" i="5"/>
  <c r="L205" i="5"/>
  <c r="N205" i="5"/>
  <c r="Q205" i="5"/>
  <c r="P205" i="5"/>
  <c r="R205" i="5"/>
  <c r="S212" i="5"/>
  <c r="R212" i="5"/>
  <c r="Q212" i="5"/>
  <c r="N212" i="5"/>
  <c r="L212" i="5"/>
  <c r="O212" i="5"/>
  <c r="P212" i="5"/>
  <c r="R33" i="5"/>
  <c r="S33" i="5"/>
  <c r="P33" i="5"/>
  <c r="Q33" i="5"/>
  <c r="O33" i="5"/>
  <c r="N33" i="5"/>
  <c r="L33" i="5"/>
  <c r="S73" i="5"/>
  <c r="Q73" i="5"/>
  <c r="R73" i="5"/>
  <c r="P73" i="5"/>
  <c r="N73" i="5"/>
  <c r="O73" i="5"/>
  <c r="L73" i="5"/>
  <c r="H211" i="5"/>
  <c r="S83" i="5"/>
  <c r="R83" i="5"/>
  <c r="Q83" i="5"/>
  <c r="P83" i="5"/>
  <c r="L83" i="5"/>
  <c r="N83" i="5"/>
  <c r="O83" i="5"/>
  <c r="H187" i="5"/>
  <c r="Q183" i="5"/>
  <c r="S183" i="5"/>
  <c r="P183" i="5"/>
  <c r="O183" i="5"/>
  <c r="R183" i="5"/>
  <c r="L183" i="5"/>
  <c r="N183" i="5"/>
  <c r="H179" i="5"/>
  <c r="R80" i="5"/>
  <c r="S80" i="5"/>
  <c r="O80" i="5"/>
  <c r="P80" i="5"/>
  <c r="Q80" i="5"/>
  <c r="L80" i="5"/>
  <c r="N80" i="5"/>
  <c r="S48" i="5"/>
  <c r="R48" i="5"/>
  <c r="P48" i="5"/>
  <c r="Q48" i="5"/>
  <c r="N48" i="5"/>
  <c r="O48" i="5"/>
  <c r="L48" i="5"/>
  <c r="H163" i="5"/>
  <c r="S159" i="5"/>
  <c r="R159" i="5"/>
  <c r="P159" i="5"/>
  <c r="Q159" i="5"/>
  <c r="O159" i="5"/>
  <c r="L159" i="5"/>
  <c r="N159" i="5"/>
  <c r="H154" i="5"/>
  <c r="S94" i="5"/>
  <c r="P94" i="5"/>
  <c r="O94" i="5"/>
  <c r="N94" i="5"/>
  <c r="R94" i="5"/>
  <c r="Q94" i="5"/>
  <c r="L94" i="5"/>
  <c r="S168" i="5"/>
  <c r="P168" i="5"/>
  <c r="Q168" i="5"/>
  <c r="R168" i="5"/>
  <c r="L168" i="5"/>
  <c r="O168" i="5"/>
  <c r="N168" i="5"/>
  <c r="H138" i="5"/>
  <c r="R204" i="5"/>
  <c r="S204" i="5"/>
  <c r="P204" i="5"/>
  <c r="O204" i="5"/>
  <c r="N204" i="5"/>
  <c r="L204" i="5"/>
  <c r="Q204" i="5"/>
  <c r="S77" i="5"/>
  <c r="O77" i="5"/>
  <c r="L77" i="5"/>
  <c r="R77" i="5"/>
  <c r="Q77" i="5"/>
  <c r="P77" i="5"/>
  <c r="N77" i="5"/>
  <c r="R143" i="5"/>
  <c r="P143" i="5"/>
  <c r="S143" i="5"/>
  <c r="L143" i="5"/>
  <c r="O143" i="5"/>
  <c r="N143" i="5"/>
  <c r="Q143" i="5"/>
  <c r="H114" i="5"/>
  <c r="P134" i="5"/>
  <c r="O134" i="5"/>
  <c r="R134" i="5"/>
  <c r="S134" i="5"/>
  <c r="Q134" i="5"/>
  <c r="L134" i="5"/>
  <c r="N134" i="5"/>
  <c r="Q191" i="5"/>
  <c r="S191" i="5"/>
  <c r="R191" i="5"/>
  <c r="L191" i="5"/>
  <c r="P191" i="5"/>
  <c r="N191" i="5"/>
  <c r="O191" i="5"/>
  <c r="R199" i="5"/>
  <c r="S199" i="5"/>
  <c r="Q199" i="5"/>
  <c r="P199" i="5"/>
  <c r="O199" i="5"/>
  <c r="N199" i="5"/>
  <c r="L199" i="5"/>
  <c r="S131" i="5"/>
  <c r="R131" i="5"/>
  <c r="Q131" i="5"/>
  <c r="P131" i="5"/>
  <c r="N131" i="5"/>
  <c r="L131" i="5"/>
  <c r="O131" i="5"/>
  <c r="S115" i="5"/>
  <c r="R115" i="5"/>
  <c r="Q115" i="5"/>
  <c r="P115" i="5"/>
  <c r="N115" i="5"/>
  <c r="L115" i="5"/>
  <c r="O115" i="5"/>
  <c r="H64" i="5"/>
  <c r="S18" i="5"/>
  <c r="Q18" i="5"/>
  <c r="R18" i="5"/>
  <c r="N18" i="5"/>
  <c r="P18" i="5"/>
  <c r="O18" i="5"/>
  <c r="L18" i="5"/>
  <c r="H66" i="5"/>
  <c r="R44" i="5"/>
  <c r="S44" i="5"/>
  <c r="N44" i="5"/>
  <c r="L44" i="5"/>
  <c r="O44" i="5"/>
  <c r="P44" i="5"/>
  <c r="Q44" i="5"/>
  <c r="R172" i="5"/>
  <c r="Q172" i="5"/>
  <c r="N172" i="5"/>
  <c r="L172" i="5"/>
  <c r="P172" i="5"/>
  <c r="S172" i="5"/>
  <c r="O172" i="5"/>
  <c r="S171" i="5"/>
  <c r="R171" i="5"/>
  <c r="Q171" i="5"/>
  <c r="O171" i="5"/>
  <c r="N171" i="5"/>
  <c r="L171" i="5"/>
  <c r="P171" i="5"/>
  <c r="R188" i="5"/>
  <c r="Q188" i="5"/>
  <c r="S188" i="5"/>
  <c r="N188" i="5"/>
  <c r="L188" i="5"/>
  <c r="O188" i="5"/>
  <c r="P188" i="5"/>
  <c r="H35" i="5"/>
  <c r="S85" i="5"/>
  <c r="P85" i="5"/>
  <c r="R85" i="5"/>
  <c r="L85" i="5"/>
  <c r="N85" i="5"/>
  <c r="O85" i="5"/>
  <c r="Q85" i="5"/>
  <c r="O68" i="5"/>
  <c r="R68" i="5"/>
  <c r="L68" i="5"/>
  <c r="S68" i="5"/>
  <c r="Q68" i="5"/>
  <c r="N68" i="5"/>
  <c r="P68" i="5"/>
  <c r="S197" i="5"/>
  <c r="R197" i="5"/>
  <c r="Q197" i="5"/>
  <c r="N197" i="5"/>
  <c r="L197" i="5"/>
  <c r="P197" i="5"/>
  <c r="O197" i="5"/>
  <c r="H11" i="5"/>
  <c r="P150" i="5"/>
  <c r="O150" i="5"/>
  <c r="S150" i="5"/>
  <c r="Q150" i="5"/>
  <c r="R150" i="5"/>
  <c r="N150" i="5"/>
  <c r="L150" i="5"/>
  <c r="R98" i="5"/>
  <c r="Q98" i="5"/>
  <c r="S98" i="5"/>
  <c r="O98" i="5"/>
  <c r="N98" i="5"/>
  <c r="L98" i="5"/>
  <c r="P98" i="5"/>
  <c r="H214" i="5"/>
  <c r="P12" i="5"/>
  <c r="S12" i="5"/>
  <c r="R12" i="5"/>
  <c r="Q12" i="5"/>
  <c r="L12" i="5"/>
  <c r="N12" i="5"/>
  <c r="O12" i="5"/>
  <c r="S137" i="5"/>
  <c r="Q137" i="5"/>
  <c r="P137" i="5"/>
  <c r="O137" i="5"/>
  <c r="N137" i="5"/>
  <c r="L137" i="5"/>
  <c r="R137" i="5"/>
  <c r="S82" i="5"/>
  <c r="Q82" i="5"/>
  <c r="N82" i="5"/>
  <c r="P82" i="5"/>
  <c r="O82" i="5"/>
  <c r="R82" i="5"/>
  <c r="L82" i="5"/>
  <c r="R32" i="5"/>
  <c r="S32" i="5"/>
  <c r="O32" i="5"/>
  <c r="Q32" i="5"/>
  <c r="P32" i="5"/>
  <c r="N32" i="5"/>
  <c r="L32" i="5"/>
  <c r="S31" i="5"/>
  <c r="P31" i="5"/>
  <c r="R31" i="5"/>
  <c r="O31" i="5"/>
  <c r="Q31" i="5"/>
  <c r="N31" i="5"/>
  <c r="L31" i="5"/>
  <c r="S52" i="5"/>
  <c r="R52" i="5"/>
  <c r="O52" i="5"/>
  <c r="Q52" i="5"/>
  <c r="L52" i="5"/>
  <c r="P52" i="5"/>
  <c r="N52" i="5"/>
  <c r="R215" i="5"/>
  <c r="S215" i="5"/>
  <c r="O215" i="5"/>
  <c r="Q215" i="5"/>
  <c r="N215" i="5"/>
  <c r="L215" i="5"/>
  <c r="P215" i="5"/>
  <c r="S9" i="5"/>
  <c r="Q9" i="5"/>
  <c r="N9" i="5"/>
  <c r="R9" i="5"/>
  <c r="P9" i="5"/>
  <c r="O9" i="5"/>
  <c r="L9" i="5"/>
  <c r="H162" i="5"/>
  <c r="S3" i="5"/>
  <c r="R3" i="5"/>
  <c r="Q3" i="5"/>
  <c r="P3" i="5"/>
  <c r="L3" i="5"/>
  <c r="O3" i="5"/>
  <c r="N3" i="5"/>
  <c r="R207" i="5"/>
  <c r="Q207" i="5"/>
  <c r="P207" i="5"/>
  <c r="O207" i="5"/>
  <c r="S207" i="5"/>
  <c r="N207" i="5"/>
  <c r="L207" i="5"/>
  <c r="R56" i="5"/>
  <c r="N56" i="5"/>
  <c r="O56" i="5"/>
  <c r="Q56" i="5"/>
  <c r="S56" i="5"/>
  <c r="P56" i="5"/>
  <c r="L56" i="5"/>
  <c r="H137" i="5"/>
  <c r="S117" i="5"/>
  <c r="R117" i="5"/>
  <c r="P117" i="5"/>
  <c r="N117" i="5"/>
  <c r="L117" i="5"/>
  <c r="Q117" i="5"/>
  <c r="O117" i="5"/>
  <c r="H129" i="5"/>
  <c r="Q100" i="5"/>
  <c r="S100" i="5"/>
  <c r="O100" i="5"/>
  <c r="N100" i="5"/>
  <c r="L100" i="5"/>
  <c r="R100" i="5"/>
  <c r="P100" i="5"/>
  <c r="S6" i="5"/>
  <c r="O6" i="5"/>
  <c r="R6" i="5"/>
  <c r="P6" i="5"/>
  <c r="N6" i="5"/>
  <c r="Q6" i="5"/>
  <c r="L6" i="5"/>
  <c r="H113" i="5"/>
  <c r="Q185" i="5"/>
  <c r="S185" i="5"/>
  <c r="R185" i="5"/>
  <c r="O185" i="5"/>
  <c r="P185" i="5"/>
  <c r="L185" i="5"/>
  <c r="N185" i="5"/>
  <c r="H105" i="5"/>
  <c r="Q55" i="5"/>
  <c r="P55" i="5"/>
  <c r="S55" i="5"/>
  <c r="N55" i="5"/>
  <c r="R55" i="5"/>
  <c r="O55" i="5"/>
  <c r="L55" i="5"/>
  <c r="M55" i="5" s="1"/>
  <c r="S50" i="5"/>
  <c r="R50" i="5"/>
  <c r="Q50" i="5"/>
  <c r="O50" i="5"/>
  <c r="P50" i="5"/>
  <c r="L50" i="5"/>
  <c r="N50" i="5"/>
  <c r="H89" i="5"/>
  <c r="R60" i="5"/>
  <c r="S60" i="5"/>
  <c r="P60" i="5"/>
  <c r="L60" i="5"/>
  <c r="Q60" i="5"/>
  <c r="O60" i="5"/>
  <c r="N60" i="5"/>
  <c r="H81" i="5"/>
  <c r="R175" i="5"/>
  <c r="P175" i="5"/>
  <c r="O175" i="5"/>
  <c r="Q175" i="5"/>
  <c r="N175" i="5"/>
  <c r="S175" i="5"/>
  <c r="L175" i="5"/>
  <c r="P70" i="5"/>
  <c r="O70" i="5"/>
  <c r="R70" i="5"/>
  <c r="N70" i="5"/>
  <c r="Q70" i="5"/>
  <c r="S70" i="5"/>
  <c r="L70" i="5"/>
  <c r="S126" i="5"/>
  <c r="P126" i="5"/>
  <c r="O126" i="5"/>
  <c r="R126" i="5"/>
  <c r="Q126" i="5"/>
  <c r="N126" i="5"/>
  <c r="L126" i="5"/>
  <c r="S43" i="5"/>
  <c r="R43" i="5"/>
  <c r="Q43" i="5"/>
  <c r="P43" i="5"/>
  <c r="O43" i="5"/>
  <c r="L43" i="5"/>
  <c r="N43" i="5"/>
  <c r="Q92" i="5"/>
  <c r="R92" i="5"/>
  <c r="S92" i="5"/>
  <c r="N92" i="5"/>
  <c r="L92" i="5"/>
  <c r="P92" i="5"/>
  <c r="O92" i="5"/>
  <c r="H42" i="5"/>
  <c r="S203" i="5"/>
  <c r="R203" i="5"/>
  <c r="Q203" i="5"/>
  <c r="N203" i="5"/>
  <c r="L203" i="5"/>
  <c r="O203" i="5"/>
  <c r="P203" i="5"/>
  <c r="P38" i="5"/>
  <c r="O38" i="5"/>
  <c r="N38" i="5"/>
  <c r="Q38" i="5"/>
  <c r="L38" i="5"/>
  <c r="S38" i="5"/>
  <c r="R38" i="5"/>
  <c r="S99" i="5"/>
  <c r="R99" i="5"/>
  <c r="Q99" i="5"/>
  <c r="N99" i="5"/>
  <c r="L99" i="5"/>
  <c r="O99" i="5"/>
  <c r="P99" i="5"/>
  <c r="R152" i="5"/>
  <c r="S152" i="5"/>
  <c r="Q152" i="5"/>
  <c r="O152" i="5"/>
  <c r="L152" i="5"/>
  <c r="N152" i="5"/>
  <c r="P152" i="5"/>
  <c r="Q63" i="5"/>
  <c r="S63" i="5"/>
  <c r="P63" i="5"/>
  <c r="R63" i="5"/>
  <c r="N63" i="5"/>
  <c r="L63" i="5"/>
  <c r="O63" i="5"/>
  <c r="P184" i="5"/>
  <c r="S184" i="5"/>
  <c r="Q184" i="5"/>
  <c r="O184" i="5"/>
  <c r="R184" i="5"/>
  <c r="N184" i="5"/>
  <c r="L184" i="5"/>
  <c r="Q145" i="5"/>
  <c r="S145" i="5"/>
  <c r="R145" i="5"/>
  <c r="P145" i="5"/>
  <c r="O145" i="5"/>
  <c r="L145" i="5"/>
  <c r="N145" i="5"/>
  <c r="P103" i="5"/>
  <c r="Q103" i="5"/>
  <c r="R103" i="5"/>
  <c r="O103" i="5"/>
  <c r="L103" i="5"/>
  <c r="N103" i="5"/>
  <c r="S103" i="5"/>
  <c r="S165" i="5"/>
  <c r="Q165" i="5"/>
  <c r="P165" i="5"/>
  <c r="R165" i="5"/>
  <c r="L165" i="5"/>
  <c r="N165" i="5"/>
  <c r="O165" i="5"/>
  <c r="H201" i="5"/>
  <c r="S147" i="5"/>
  <c r="R147" i="5"/>
  <c r="Q147" i="5"/>
  <c r="P147" i="5"/>
  <c r="N147" i="5"/>
  <c r="L147" i="5"/>
  <c r="O147" i="5"/>
  <c r="R89" i="5"/>
  <c r="Q89" i="5"/>
  <c r="O89" i="5"/>
  <c r="P89" i="5"/>
  <c r="S89" i="5"/>
  <c r="L89" i="5"/>
  <c r="N89" i="5"/>
  <c r="H185" i="5"/>
  <c r="S35" i="5"/>
  <c r="R35" i="5"/>
  <c r="Q35" i="5"/>
  <c r="N35" i="5"/>
  <c r="L35" i="5"/>
  <c r="P35" i="5"/>
  <c r="O35" i="5"/>
  <c r="H177" i="5"/>
  <c r="O196" i="5"/>
  <c r="S196" i="5"/>
  <c r="Q196" i="5"/>
  <c r="P196" i="5"/>
  <c r="N196" i="5"/>
  <c r="L196" i="5"/>
  <c r="R196" i="5"/>
  <c r="P47" i="5"/>
  <c r="S47" i="5"/>
  <c r="R47" i="5"/>
  <c r="N47" i="5"/>
  <c r="Q47" i="5"/>
  <c r="O47" i="5"/>
  <c r="L47" i="5"/>
  <c r="R216" i="5"/>
  <c r="S216" i="5"/>
  <c r="O216" i="5"/>
  <c r="Q216" i="5"/>
  <c r="L216" i="5"/>
  <c r="N216" i="5"/>
  <c r="P216" i="5"/>
  <c r="R88" i="5"/>
  <c r="O88" i="5"/>
  <c r="S88" i="5"/>
  <c r="Q88" i="5"/>
  <c r="P88" i="5"/>
  <c r="L88" i="5"/>
  <c r="N88" i="5"/>
  <c r="H144" i="5"/>
  <c r="S113" i="5"/>
  <c r="R113" i="5"/>
  <c r="Q113" i="5"/>
  <c r="O113" i="5"/>
  <c r="L113" i="5"/>
  <c r="N113" i="5"/>
  <c r="P113" i="5"/>
  <c r="H136" i="5"/>
  <c r="S211" i="5"/>
  <c r="R211" i="5"/>
  <c r="Q211" i="5"/>
  <c r="P211" i="5"/>
  <c r="N211" i="5"/>
  <c r="L211" i="5"/>
  <c r="O211" i="5"/>
  <c r="S125" i="5"/>
  <c r="R125" i="5"/>
  <c r="P125" i="5"/>
  <c r="O125" i="5"/>
  <c r="L125" i="5"/>
  <c r="N125" i="5"/>
  <c r="Q125" i="5"/>
  <c r="R25" i="5"/>
  <c r="Q25" i="5"/>
  <c r="O25" i="5"/>
  <c r="S25" i="5"/>
  <c r="N25" i="5"/>
  <c r="L25" i="5"/>
  <c r="P25" i="5"/>
  <c r="R142" i="5"/>
  <c r="P142" i="5"/>
  <c r="O142" i="5"/>
  <c r="L142" i="5"/>
  <c r="N142" i="5"/>
  <c r="S142" i="5"/>
  <c r="Q142" i="5"/>
  <c r="H104" i="5"/>
  <c r="S75" i="5"/>
  <c r="R75" i="5"/>
  <c r="Q75" i="5"/>
  <c r="P75" i="5"/>
  <c r="O75" i="5"/>
  <c r="L75" i="5"/>
  <c r="N75" i="5"/>
  <c r="H96" i="5"/>
  <c r="O132" i="5"/>
  <c r="S132" i="5"/>
  <c r="Q132" i="5"/>
  <c r="P132" i="5"/>
  <c r="N132" i="5"/>
  <c r="L132" i="5"/>
  <c r="R132" i="5"/>
  <c r="P111" i="5"/>
  <c r="S111" i="5"/>
  <c r="Q111" i="5"/>
  <c r="R111" i="5"/>
  <c r="N111" i="5"/>
  <c r="L111" i="5"/>
  <c r="O111" i="5"/>
  <c r="S167" i="5"/>
  <c r="R167" i="5"/>
  <c r="Q167" i="5"/>
  <c r="O167" i="5"/>
  <c r="L167" i="5"/>
  <c r="N167" i="5"/>
  <c r="P167" i="5"/>
  <c r="S114" i="5"/>
  <c r="R114" i="5"/>
  <c r="O114" i="5"/>
  <c r="Q114" i="5"/>
  <c r="P114" i="5"/>
  <c r="L114" i="5"/>
  <c r="N114" i="5"/>
  <c r="Q156" i="5"/>
  <c r="P156" i="5"/>
  <c r="N156" i="5"/>
  <c r="L156" i="5"/>
  <c r="S156" i="5"/>
  <c r="O156" i="5"/>
  <c r="R156" i="5"/>
  <c r="S104" i="5"/>
  <c r="R104" i="5"/>
  <c r="O104" i="5"/>
  <c r="P104" i="5"/>
  <c r="L104" i="5"/>
  <c r="N104" i="5"/>
  <c r="Q104" i="5"/>
  <c r="H49" i="5"/>
  <c r="R42" i="5"/>
  <c r="S42" i="5"/>
  <c r="O42" i="5"/>
  <c r="P42" i="5"/>
  <c r="N42" i="5"/>
  <c r="Q42" i="5"/>
  <c r="L42" i="5"/>
  <c r="S155" i="5"/>
  <c r="R155" i="5"/>
  <c r="Q155" i="5"/>
  <c r="N155" i="5"/>
  <c r="L155" i="5"/>
  <c r="P155" i="5"/>
  <c r="O155" i="5"/>
  <c r="R14" i="5"/>
  <c r="O14" i="5"/>
  <c r="Q14" i="5"/>
  <c r="N14" i="5"/>
  <c r="S14" i="5"/>
  <c r="P14" i="5"/>
  <c r="L14" i="5"/>
  <c r="S109" i="5"/>
  <c r="Q109" i="5"/>
  <c r="L109" i="5"/>
  <c r="N109" i="5"/>
  <c r="R109" i="5"/>
  <c r="O109" i="5"/>
  <c r="P109" i="5"/>
  <c r="S201" i="5"/>
  <c r="Q201" i="5"/>
  <c r="N201" i="5"/>
  <c r="O201" i="5"/>
  <c r="P201" i="5"/>
  <c r="L201" i="5"/>
  <c r="R201" i="5"/>
  <c r="R169" i="5"/>
  <c r="S169" i="5"/>
  <c r="O169" i="5"/>
  <c r="Q169" i="5"/>
  <c r="P169" i="5"/>
  <c r="N169" i="5"/>
  <c r="L169" i="5"/>
  <c r="P135" i="5"/>
  <c r="R135" i="5"/>
  <c r="Q135" i="5"/>
  <c r="O135" i="5"/>
  <c r="S135" i="5"/>
  <c r="L135" i="5"/>
  <c r="N135" i="5"/>
  <c r="H216" i="5"/>
  <c r="Q49" i="5"/>
  <c r="S49" i="5"/>
  <c r="R49" i="5"/>
  <c r="P49" i="5"/>
  <c r="O49" i="5"/>
  <c r="L49" i="5"/>
  <c r="N49" i="5"/>
  <c r="Q164" i="5"/>
  <c r="S164" i="5"/>
  <c r="N164" i="5"/>
  <c r="L164" i="5"/>
  <c r="O164" i="5"/>
  <c r="R164" i="5"/>
  <c r="P164" i="5"/>
  <c r="S163" i="5"/>
  <c r="R163" i="5"/>
  <c r="Q163" i="5"/>
  <c r="N163" i="5"/>
  <c r="L163" i="5"/>
  <c r="O163" i="5"/>
  <c r="P163" i="5"/>
  <c r="R120" i="5"/>
  <c r="S120" i="5"/>
  <c r="P120" i="5"/>
  <c r="Q120" i="5"/>
  <c r="N120" i="5"/>
  <c r="L120" i="5"/>
  <c r="O120" i="5"/>
  <c r="H184" i="5"/>
  <c r="S138" i="5"/>
  <c r="Q138" i="5"/>
  <c r="O138" i="5"/>
  <c r="R138" i="5"/>
  <c r="L138" i="5"/>
  <c r="N138" i="5"/>
  <c r="P138" i="5"/>
  <c r="H176" i="5"/>
  <c r="R161" i="5"/>
  <c r="O161" i="5"/>
  <c r="S161" i="5"/>
  <c r="P161" i="5"/>
  <c r="Q161" i="5"/>
  <c r="N161" i="5"/>
  <c r="L161" i="5"/>
  <c r="H168" i="5"/>
  <c r="S95" i="5"/>
  <c r="P95" i="5"/>
  <c r="R95" i="5"/>
  <c r="Q95" i="5"/>
  <c r="L95" i="5"/>
  <c r="N95" i="5"/>
  <c r="O95" i="5"/>
  <c r="H160" i="5"/>
  <c r="S195" i="5"/>
  <c r="R195" i="5"/>
  <c r="Q195" i="5"/>
  <c r="P195" i="5"/>
  <c r="N195" i="5"/>
  <c r="L195" i="5"/>
  <c r="O195" i="5"/>
  <c r="S180" i="5"/>
  <c r="R180" i="5"/>
  <c r="N180" i="5"/>
  <c r="L180" i="5"/>
  <c r="P180" i="5"/>
  <c r="O180" i="5"/>
  <c r="Q180" i="5"/>
  <c r="H143" i="5"/>
  <c r="Q118" i="5"/>
  <c r="P118" i="5"/>
  <c r="O118" i="5"/>
  <c r="S118" i="5"/>
  <c r="R118" i="5"/>
  <c r="L118" i="5"/>
  <c r="N118" i="5"/>
  <c r="H135" i="5"/>
  <c r="Q122" i="5"/>
  <c r="P122" i="5"/>
  <c r="S122" i="5"/>
  <c r="R122" i="5"/>
  <c r="O122" i="5"/>
  <c r="N122" i="5"/>
  <c r="L122" i="5"/>
  <c r="H127" i="5"/>
  <c r="P186" i="5"/>
  <c r="R186" i="5"/>
  <c r="S186" i="5"/>
  <c r="O186" i="5"/>
  <c r="Q186" i="5"/>
  <c r="N186" i="5"/>
  <c r="L186" i="5"/>
  <c r="Q192" i="5"/>
  <c r="S192" i="5"/>
  <c r="R192" i="5"/>
  <c r="P192" i="5"/>
  <c r="L192" i="5"/>
  <c r="M192" i="5" s="1"/>
  <c r="N192" i="5"/>
  <c r="O192" i="5"/>
  <c r="O22" i="5"/>
  <c r="P22" i="5"/>
  <c r="S22" i="5"/>
  <c r="N22" i="5"/>
  <c r="R22" i="5"/>
  <c r="Q22" i="5"/>
  <c r="L22" i="5"/>
  <c r="H103" i="5"/>
  <c r="S51" i="5"/>
  <c r="R51" i="5"/>
  <c r="Q51" i="5"/>
  <c r="P51" i="5"/>
  <c r="O51" i="5"/>
  <c r="L51" i="5"/>
  <c r="N51" i="5"/>
  <c r="R208" i="5"/>
  <c r="Q208" i="5"/>
  <c r="P208" i="5"/>
  <c r="O208" i="5"/>
  <c r="S208" i="5"/>
  <c r="L208" i="5"/>
  <c r="M208" i="5" s="1"/>
  <c r="N208" i="5"/>
  <c r="H87" i="5"/>
  <c r="R97" i="5"/>
  <c r="S97" i="5"/>
  <c r="P97" i="5"/>
  <c r="Q97" i="5"/>
  <c r="O97" i="5"/>
  <c r="N97" i="5"/>
  <c r="L97" i="5"/>
  <c r="S4" i="5"/>
  <c r="P4" i="5"/>
  <c r="O4" i="5"/>
  <c r="R4" i="5"/>
  <c r="L4" i="5"/>
  <c r="Q4" i="5"/>
  <c r="N4" i="5"/>
  <c r="H71" i="5"/>
  <c r="Q90" i="5"/>
  <c r="N90" i="5"/>
  <c r="P90" i="5"/>
  <c r="O90" i="5"/>
  <c r="S90" i="5"/>
  <c r="L90" i="5"/>
  <c r="R90" i="5"/>
  <c r="S69" i="5"/>
  <c r="R69" i="5"/>
  <c r="L69" i="5"/>
  <c r="Q69" i="5"/>
  <c r="N69" i="5"/>
  <c r="O69" i="5"/>
  <c r="P69" i="5"/>
  <c r="H158" i="5"/>
  <c r="S190" i="5"/>
  <c r="P190" i="5"/>
  <c r="O190" i="5"/>
  <c r="R190" i="5"/>
  <c r="Q190" i="5"/>
  <c r="N190" i="5"/>
  <c r="L190" i="5"/>
  <c r="R170" i="5"/>
  <c r="S170" i="5"/>
  <c r="Q170" i="5"/>
  <c r="P170" i="5"/>
  <c r="O170" i="5"/>
  <c r="N170" i="5"/>
  <c r="L170" i="5"/>
  <c r="R16" i="5"/>
  <c r="Q16" i="5"/>
  <c r="O16" i="5"/>
  <c r="P16" i="5"/>
  <c r="S16" i="5"/>
  <c r="N16" i="5"/>
  <c r="L16" i="5"/>
  <c r="H32" i="5"/>
  <c r="S13" i="5"/>
  <c r="P13" i="5"/>
  <c r="R13" i="5"/>
  <c r="O13" i="5"/>
  <c r="Q13" i="5"/>
  <c r="L13" i="5"/>
  <c r="N13" i="5"/>
  <c r="S121" i="5"/>
  <c r="R121" i="5"/>
  <c r="P121" i="5"/>
  <c r="Q121" i="5"/>
  <c r="O121" i="5"/>
  <c r="N121" i="5"/>
  <c r="L121" i="5"/>
  <c r="S5" i="5"/>
  <c r="R5" i="5"/>
  <c r="Q5" i="5"/>
  <c r="P5" i="5"/>
  <c r="L5" i="5"/>
  <c r="O5" i="5"/>
  <c r="N5" i="5"/>
  <c r="S149" i="5"/>
  <c r="Q149" i="5"/>
  <c r="R149" i="5"/>
  <c r="P149" i="5"/>
  <c r="O149" i="5"/>
  <c r="N149" i="5"/>
  <c r="L149" i="5"/>
  <c r="M142" i="7"/>
  <c r="M111" i="7"/>
  <c r="M158" i="7"/>
  <c r="M210" i="7"/>
  <c r="M202" i="7"/>
  <c r="J53" i="5"/>
  <c r="M53" i="5" s="1"/>
  <c r="J193" i="5"/>
  <c r="M193" i="5" s="1"/>
  <c r="J202" i="5"/>
  <c r="J184" i="5"/>
  <c r="J185" i="5"/>
  <c r="J160" i="5"/>
  <c r="M160" i="5" s="1"/>
  <c r="J144" i="5"/>
  <c r="M144" i="5" s="1"/>
  <c r="J209" i="5"/>
  <c r="M209" i="5" s="1"/>
  <c r="J168" i="5"/>
  <c r="J176" i="5"/>
  <c r="M176" i="5" s="1"/>
  <c r="J171" i="5"/>
  <c r="H31" i="5"/>
  <c r="J2" i="5"/>
  <c r="J106" i="5"/>
  <c r="J134" i="5"/>
  <c r="J8" i="5"/>
  <c r="J41" i="5"/>
  <c r="J151" i="5"/>
  <c r="J38" i="5"/>
  <c r="J136" i="5"/>
  <c r="J6" i="5"/>
  <c r="J135" i="5"/>
  <c r="H203" i="5"/>
  <c r="H195" i="5"/>
  <c r="H171" i="5"/>
  <c r="K171" i="5" s="1"/>
  <c r="H146" i="5"/>
  <c r="H130" i="5"/>
  <c r="H122" i="5"/>
  <c r="H93" i="5"/>
  <c r="H98" i="5"/>
  <c r="H90" i="5"/>
  <c r="H82" i="5"/>
  <c r="H58" i="5"/>
  <c r="H51" i="5"/>
  <c r="H43" i="5"/>
  <c r="H22" i="5"/>
  <c r="J212" i="5"/>
  <c r="M212" i="5" s="1"/>
  <c r="J198" i="5"/>
  <c r="M198" i="5" s="1"/>
  <c r="J187" i="5"/>
  <c r="M187" i="5" s="1"/>
  <c r="J155" i="5"/>
  <c r="J139" i="5"/>
  <c r="J123" i="5"/>
  <c r="J107" i="5"/>
  <c r="M107" i="5" s="1"/>
  <c r="J91" i="5"/>
  <c r="J75" i="5"/>
  <c r="J59" i="5"/>
  <c r="M59" i="5" s="1"/>
  <c r="J43" i="5"/>
  <c r="J27" i="5"/>
  <c r="J11" i="5"/>
  <c r="M11" i="5" s="1"/>
  <c r="M216" i="5"/>
  <c r="J120" i="5"/>
  <c r="J104" i="5"/>
  <c r="J199" i="5"/>
  <c r="M199" i="5" s="1"/>
  <c r="J14" i="5"/>
  <c r="J88" i="5"/>
  <c r="J191" i="5"/>
  <c r="M191" i="5" s="1"/>
  <c r="J177" i="5"/>
  <c r="J129" i="5"/>
  <c r="J54" i="5"/>
  <c r="H210" i="5"/>
  <c r="H202" i="5"/>
  <c r="H194" i="5"/>
  <c r="H186" i="5"/>
  <c r="H178" i="5"/>
  <c r="H170" i="5"/>
  <c r="H153" i="5"/>
  <c r="H145" i="5"/>
  <c r="H121" i="5"/>
  <c r="H97" i="5"/>
  <c r="H73" i="5"/>
  <c r="H65" i="5"/>
  <c r="H57" i="5"/>
  <c r="H50" i="5"/>
  <c r="H33" i="5"/>
  <c r="J211" i="5"/>
  <c r="K211" i="5" s="1"/>
  <c r="J197" i="5"/>
  <c r="J186" i="5"/>
  <c r="M186" i="5" s="1"/>
  <c r="J170" i="5"/>
  <c r="J154" i="5"/>
  <c r="J138" i="5"/>
  <c r="M138" i="5" s="1"/>
  <c r="J122" i="5"/>
  <c r="M122" i="5" s="1"/>
  <c r="J90" i="5"/>
  <c r="J74" i="5"/>
  <c r="J58" i="5"/>
  <c r="J42" i="5"/>
  <c r="J26" i="5"/>
  <c r="J10" i="5"/>
  <c r="M10" i="5" s="1"/>
  <c r="J102" i="5"/>
  <c r="J118" i="5"/>
  <c r="J31" i="5"/>
  <c r="J161" i="5"/>
  <c r="J158" i="5"/>
  <c r="M158" i="5" s="1"/>
  <c r="J40" i="5"/>
  <c r="J15" i="5"/>
  <c r="M15" i="5" s="1"/>
  <c r="H34" i="5"/>
  <c r="M171" i="5"/>
  <c r="H26" i="5"/>
  <c r="J56" i="5"/>
  <c r="H18" i="5"/>
  <c r="J152" i="5"/>
  <c r="H10" i="5"/>
  <c r="H2" i="5"/>
  <c r="H209" i="5"/>
  <c r="H193" i="5"/>
  <c r="H169" i="5"/>
  <c r="H161" i="5"/>
  <c r="H152" i="5"/>
  <c r="H128" i="5"/>
  <c r="H120" i="5"/>
  <c r="H112" i="5"/>
  <c r="H88" i="5"/>
  <c r="H80" i="5"/>
  <c r="H72" i="5"/>
  <c r="H52" i="5"/>
  <c r="H56" i="5"/>
  <c r="H41" i="5"/>
  <c r="H20" i="5"/>
  <c r="J210" i="5"/>
  <c r="J196" i="5"/>
  <c r="J181" i="5"/>
  <c r="J165" i="5"/>
  <c r="J149" i="5"/>
  <c r="J133" i="5"/>
  <c r="M133" i="5" s="1"/>
  <c r="J117" i="5"/>
  <c r="J101" i="5"/>
  <c r="M101" i="5" s="1"/>
  <c r="J85" i="5"/>
  <c r="J69" i="5"/>
  <c r="J37" i="5"/>
  <c r="J21" i="5"/>
  <c r="J5" i="5"/>
  <c r="J79" i="5"/>
  <c r="J183" i="5"/>
  <c r="J24" i="5"/>
  <c r="J105" i="5"/>
  <c r="J7" i="5"/>
  <c r="J137" i="5"/>
  <c r="J86" i="5"/>
  <c r="J175" i="5"/>
  <c r="K175" i="5" s="1"/>
  <c r="H25" i="5"/>
  <c r="H17" i="5"/>
  <c r="J17" i="5"/>
  <c r="H9" i="5"/>
  <c r="H208" i="5"/>
  <c r="H200" i="5"/>
  <c r="H192" i="5"/>
  <c r="H151" i="5"/>
  <c r="H119" i="5"/>
  <c r="H111" i="5"/>
  <c r="H95" i="5"/>
  <c r="H79" i="5"/>
  <c r="H63" i="5"/>
  <c r="H48" i="5"/>
  <c r="H40" i="5"/>
  <c r="H19" i="5"/>
  <c r="J206" i="5"/>
  <c r="J195" i="5"/>
  <c r="J180" i="5"/>
  <c r="J164" i="5"/>
  <c r="J148" i="5"/>
  <c r="J132" i="5"/>
  <c r="J116" i="5"/>
  <c r="J100" i="5"/>
  <c r="J84" i="5"/>
  <c r="J68" i="5"/>
  <c r="J52" i="5"/>
  <c r="J36" i="5"/>
  <c r="J20" i="5"/>
  <c r="J4" i="5"/>
  <c r="J32" i="5"/>
  <c r="J167" i="5"/>
  <c r="J121" i="5"/>
  <c r="M121" i="5"/>
  <c r="J128" i="5"/>
  <c r="J30" i="5"/>
  <c r="H24" i="5"/>
  <c r="J96" i="5"/>
  <c r="H16" i="5"/>
  <c r="H8" i="5"/>
  <c r="H207" i="5"/>
  <c r="H183" i="5"/>
  <c r="H167" i="5"/>
  <c r="H150" i="5"/>
  <c r="H134" i="5"/>
  <c r="H107" i="5"/>
  <c r="H118" i="5"/>
  <c r="H110" i="5"/>
  <c r="H94" i="5"/>
  <c r="H86" i="5"/>
  <c r="H78" i="5"/>
  <c r="H70" i="5"/>
  <c r="H62" i="5"/>
  <c r="H157" i="5"/>
  <c r="H39" i="5"/>
  <c r="H4" i="5"/>
  <c r="J205" i="5"/>
  <c r="J194" i="5"/>
  <c r="J179" i="5"/>
  <c r="J163" i="5"/>
  <c r="J147" i="5"/>
  <c r="M147" i="5" s="1"/>
  <c r="J131" i="5"/>
  <c r="M131" i="5" s="1"/>
  <c r="J115" i="5"/>
  <c r="J99" i="5"/>
  <c r="J83" i="5"/>
  <c r="J67" i="5"/>
  <c r="J51" i="5"/>
  <c r="K51" i="5" s="1"/>
  <c r="J35" i="5"/>
  <c r="K35" i="5" s="1"/>
  <c r="J19" i="5"/>
  <c r="J3" i="5"/>
  <c r="M184" i="5"/>
  <c r="J113" i="5"/>
  <c r="J145" i="5"/>
  <c r="J182" i="5"/>
  <c r="J65" i="5"/>
  <c r="M65" i="5" s="1"/>
  <c r="J23" i="5"/>
  <c r="M23" i="5" s="1"/>
  <c r="J97" i="5"/>
  <c r="J94" i="5"/>
  <c r="J78" i="5"/>
  <c r="J166" i="5"/>
  <c r="J111" i="5"/>
  <c r="J81" i="5"/>
  <c r="K81" i="5" s="1"/>
  <c r="J119" i="5"/>
  <c r="J73" i="5"/>
  <c r="J174" i="5"/>
  <c r="J55" i="5"/>
  <c r="J169" i="5"/>
  <c r="H198" i="5"/>
  <c r="H190" i="5"/>
  <c r="H182" i="5"/>
  <c r="H174" i="5"/>
  <c r="H126" i="5"/>
  <c r="H149" i="5"/>
  <c r="H141" i="5"/>
  <c r="H117" i="5"/>
  <c r="H109" i="5"/>
  <c r="H101" i="5"/>
  <c r="H74" i="5"/>
  <c r="H85" i="5"/>
  <c r="H77" i="5"/>
  <c r="H46" i="5"/>
  <c r="H38" i="5"/>
  <c r="H28" i="5"/>
  <c r="H3" i="5"/>
  <c r="J204" i="5"/>
  <c r="J190" i="5"/>
  <c r="J178" i="5"/>
  <c r="J162" i="5"/>
  <c r="M162" i="5" s="1"/>
  <c r="J146" i="5"/>
  <c r="K146" i="5" s="1"/>
  <c r="J130" i="5"/>
  <c r="J114" i="5"/>
  <c r="J98" i="5"/>
  <c r="J82" i="5"/>
  <c r="J66" i="5"/>
  <c r="M66" i="5" s="1"/>
  <c r="J50" i="5"/>
  <c r="M50" i="5" s="1"/>
  <c r="J34" i="5"/>
  <c r="J18" i="5"/>
  <c r="M201" i="5"/>
  <c r="J49" i="5"/>
  <c r="J46" i="5"/>
  <c r="J48" i="5"/>
  <c r="J63" i="5"/>
  <c r="J207" i="5"/>
  <c r="M155" i="5"/>
  <c r="J47" i="5"/>
  <c r="J150" i="5"/>
  <c r="K150" i="5" s="1"/>
  <c r="J159" i="5"/>
  <c r="J72" i="5"/>
  <c r="J112" i="5"/>
  <c r="J22" i="5"/>
  <c r="M58" i="5"/>
  <c r="J110" i="5"/>
  <c r="J153" i="5"/>
  <c r="K153" i="5" s="1"/>
  <c r="H213" i="5"/>
  <c r="H181" i="5"/>
  <c r="H173" i="5"/>
  <c r="H156" i="5"/>
  <c r="H148" i="5"/>
  <c r="H140" i="5"/>
  <c r="H132" i="5"/>
  <c r="H124" i="5"/>
  <c r="H116" i="5"/>
  <c r="H92" i="5"/>
  <c r="H84" i="5"/>
  <c r="H68" i="5"/>
  <c r="H53" i="5"/>
  <c r="H27" i="5"/>
  <c r="H13" i="5"/>
  <c r="J214" i="5"/>
  <c r="M214" i="5" s="1"/>
  <c r="J203" i="5"/>
  <c r="K203" i="5" s="1"/>
  <c r="J189" i="5"/>
  <c r="J173" i="5"/>
  <c r="J157" i="5"/>
  <c r="J141" i="5"/>
  <c r="K141" i="5" s="1"/>
  <c r="J125" i="5"/>
  <c r="M125" i="5" s="1"/>
  <c r="J109" i="5"/>
  <c r="M109" i="5" s="1"/>
  <c r="J93" i="5"/>
  <c r="J77" i="5"/>
  <c r="J61" i="5"/>
  <c r="J45" i="5"/>
  <c r="J29" i="5"/>
  <c r="J13" i="5"/>
  <c r="M200" i="5"/>
  <c r="J62" i="5"/>
  <c r="J142" i="5"/>
  <c r="J126" i="5"/>
  <c r="J215" i="5"/>
  <c r="J80" i="5"/>
  <c r="J127" i="5"/>
  <c r="J103" i="5"/>
  <c r="M103" i="5" s="1"/>
  <c r="J89" i="5"/>
  <c r="J143" i="5"/>
  <c r="K143" i="5" s="1"/>
  <c r="J33" i="5"/>
  <c r="J64" i="5"/>
  <c r="K64" i="5" s="1"/>
  <c r="J87" i="5"/>
  <c r="J16" i="5"/>
  <c r="J70" i="5"/>
  <c r="J39" i="5"/>
  <c r="J25" i="5"/>
  <c r="K25" i="5" s="1"/>
  <c r="J95" i="5"/>
  <c r="J57" i="5"/>
  <c r="J9" i="5"/>
  <c r="J71" i="5"/>
  <c r="H212" i="5"/>
  <c r="H204" i="5"/>
  <c r="H196" i="5"/>
  <c r="H188" i="5"/>
  <c r="H180" i="5"/>
  <c r="H172" i="5"/>
  <c r="H164" i="5"/>
  <c r="H155" i="5"/>
  <c r="H147" i="5"/>
  <c r="H139" i="5"/>
  <c r="H131" i="5"/>
  <c r="H123" i="5"/>
  <c r="H115" i="5"/>
  <c r="H106" i="5"/>
  <c r="H99" i="5"/>
  <c r="H91" i="5"/>
  <c r="H83" i="5"/>
  <c r="H75" i="5"/>
  <c r="H67" i="5"/>
  <c r="H59" i="5"/>
  <c r="H61" i="5"/>
  <c r="H44" i="5"/>
  <c r="H36" i="5"/>
  <c r="H23" i="5"/>
  <c r="H12" i="5"/>
  <c r="J213" i="5"/>
  <c r="J188" i="5"/>
  <c r="J172" i="5"/>
  <c r="K172" i="5" s="1"/>
  <c r="J156" i="5"/>
  <c r="J140" i="5"/>
  <c r="J124" i="5"/>
  <c r="J108" i="5"/>
  <c r="J92" i="5"/>
  <c r="K92" i="5" s="1"/>
  <c r="J76" i="5"/>
  <c r="J60" i="5"/>
  <c r="J44" i="5"/>
  <c r="M44" i="5" s="1"/>
  <c r="J28" i="5"/>
  <c r="J12" i="5"/>
  <c r="M2" i="5"/>
  <c r="J178" i="6"/>
  <c r="J137" i="6"/>
  <c r="J154" i="6"/>
  <c r="J64" i="6"/>
  <c r="J130" i="6"/>
  <c r="J186" i="6"/>
  <c r="J152" i="6"/>
  <c r="H84" i="6"/>
  <c r="H45" i="6"/>
  <c r="J31" i="6"/>
  <c r="H31" i="6"/>
  <c r="J103" i="6"/>
  <c r="H103" i="6"/>
  <c r="H77" i="6"/>
  <c r="H173" i="6"/>
  <c r="H165" i="6"/>
  <c r="H54" i="6"/>
  <c r="H190" i="6"/>
  <c r="H174" i="6"/>
  <c r="H124" i="6"/>
  <c r="H78" i="6"/>
  <c r="H3" i="6"/>
  <c r="H35" i="6"/>
  <c r="H150" i="6"/>
  <c r="H140" i="6"/>
  <c r="H61" i="6"/>
  <c r="J211" i="6"/>
  <c r="M211" i="6" s="1"/>
  <c r="J195" i="6"/>
  <c r="M195" i="6" s="1"/>
  <c r="J179" i="6"/>
  <c r="M179" i="6" s="1"/>
  <c r="J163" i="6"/>
  <c r="M163" i="6" s="1"/>
  <c r="J147" i="6"/>
  <c r="M147" i="6" s="1"/>
  <c r="J131" i="6"/>
  <c r="M131" i="6" s="1"/>
  <c r="J115" i="6"/>
  <c r="M115" i="6" s="1"/>
  <c r="J99" i="6"/>
  <c r="M99" i="6" s="1"/>
  <c r="J83" i="6"/>
  <c r="M83" i="6" s="1"/>
  <c r="J67" i="6"/>
  <c r="M67" i="6" s="1"/>
  <c r="J35" i="6"/>
  <c r="M35" i="6" s="1"/>
  <c r="J19" i="6"/>
  <c r="M19" i="6" s="1"/>
  <c r="J3" i="6"/>
  <c r="K3" i="6" s="1"/>
  <c r="J80" i="6"/>
  <c r="J144" i="6"/>
  <c r="J176" i="6"/>
  <c r="J90" i="6"/>
  <c r="J10" i="6"/>
  <c r="J58" i="6"/>
  <c r="J34" i="6"/>
  <c r="M26" i="6"/>
  <c r="J26" i="6"/>
  <c r="J24" i="6"/>
  <c r="J151" i="6"/>
  <c r="J82" i="6"/>
  <c r="H172" i="6"/>
  <c r="H204" i="6"/>
  <c r="H125" i="6"/>
  <c r="H91" i="6"/>
  <c r="H83" i="6"/>
  <c r="H163" i="6"/>
  <c r="H15" i="6"/>
  <c r="K15" i="6" s="1"/>
  <c r="H158" i="6"/>
  <c r="H171" i="6"/>
  <c r="H75" i="6"/>
  <c r="H213" i="6"/>
  <c r="H62" i="6"/>
  <c r="H70" i="6"/>
  <c r="H126" i="6"/>
  <c r="H60" i="6"/>
  <c r="J206" i="6"/>
  <c r="K206" i="6" s="1"/>
  <c r="J190" i="6"/>
  <c r="K190" i="6" s="1"/>
  <c r="J174" i="6"/>
  <c r="J158" i="6"/>
  <c r="J142" i="6"/>
  <c r="M142" i="6" s="1"/>
  <c r="J126" i="6"/>
  <c r="M126" i="6" s="1"/>
  <c r="J110" i="6"/>
  <c r="M110" i="6" s="1"/>
  <c r="J94" i="6"/>
  <c r="M94" i="6" s="1"/>
  <c r="J78" i="6"/>
  <c r="M78" i="6" s="1"/>
  <c r="J62" i="6"/>
  <c r="K62" i="6" s="1"/>
  <c r="J46" i="6"/>
  <c r="M46" i="6" s="1"/>
  <c r="J30" i="6"/>
  <c r="M30" i="6" s="1"/>
  <c r="J14" i="6"/>
  <c r="M14" i="6" s="1"/>
  <c r="J119" i="6"/>
  <c r="J17" i="6"/>
  <c r="J145" i="6"/>
  <c r="K145" i="6" s="1"/>
  <c r="J114" i="6"/>
  <c r="K114" i="6" s="1"/>
  <c r="J79" i="6"/>
  <c r="K79" i="6" s="1"/>
  <c r="J97" i="6"/>
  <c r="K97" i="6" s="1"/>
  <c r="M135" i="6"/>
  <c r="J135" i="6"/>
  <c r="K135" i="6" s="1"/>
  <c r="M18" i="6"/>
  <c r="J18" i="6"/>
  <c r="K18" i="6" s="1"/>
  <c r="J216" i="6"/>
  <c r="K216" i="6" s="1"/>
  <c r="J56" i="6"/>
  <c r="K56" i="6" s="1"/>
  <c r="J33" i="6"/>
  <c r="K33" i="6" s="1"/>
  <c r="J2" i="6"/>
  <c r="K2" i="6" s="1"/>
  <c r="J113" i="6"/>
  <c r="K113" i="6" s="1"/>
  <c r="J63" i="6"/>
  <c r="J25" i="6"/>
  <c r="J129" i="6"/>
  <c r="J104" i="6"/>
  <c r="H101" i="6"/>
  <c r="H116" i="6"/>
  <c r="H6" i="6"/>
  <c r="H69" i="6"/>
  <c r="H156" i="6"/>
  <c r="H11" i="6"/>
  <c r="H44" i="6"/>
  <c r="H110" i="6"/>
  <c r="H118" i="6"/>
  <c r="H27" i="6"/>
  <c r="H147" i="6"/>
  <c r="H195" i="6"/>
  <c r="H4" i="6"/>
  <c r="H212" i="6"/>
  <c r="H100" i="6"/>
  <c r="H28" i="6"/>
  <c r="H13" i="6"/>
  <c r="J205" i="6"/>
  <c r="M205" i="6" s="1"/>
  <c r="J189" i="6"/>
  <c r="M189" i="6" s="1"/>
  <c r="J173" i="6"/>
  <c r="J157" i="6"/>
  <c r="M157" i="6" s="1"/>
  <c r="J141" i="6"/>
  <c r="M141" i="6" s="1"/>
  <c r="J125" i="6"/>
  <c r="M125" i="6" s="1"/>
  <c r="J109" i="6"/>
  <c r="M109" i="6" s="1"/>
  <c r="J93" i="6"/>
  <c r="M93" i="6" s="1"/>
  <c r="J77" i="6"/>
  <c r="K77" i="6" s="1"/>
  <c r="J61" i="6"/>
  <c r="K61" i="6" s="1"/>
  <c r="J45" i="6"/>
  <c r="J29" i="6"/>
  <c r="M29" i="6" s="1"/>
  <c r="J13" i="6"/>
  <c r="M13" i="6" s="1"/>
  <c r="M16" i="6"/>
  <c r="J50" i="6"/>
  <c r="K50" i="6" s="1"/>
  <c r="J185" i="6"/>
  <c r="K185" i="6" s="1"/>
  <c r="J215" i="6"/>
  <c r="K215" i="6" s="1"/>
  <c r="J121" i="6"/>
  <c r="K121" i="6" s="1"/>
  <c r="J49" i="6"/>
  <c r="K49" i="6" s="1"/>
  <c r="J32" i="6"/>
  <c r="K32" i="6" s="1"/>
  <c r="J184" i="6"/>
  <c r="K184" i="6" s="1"/>
  <c r="J201" i="6"/>
  <c r="K201" i="6" s="1"/>
  <c r="J55" i="6"/>
  <c r="K55" i="6" s="1"/>
  <c r="H205" i="6"/>
  <c r="H12" i="6"/>
  <c r="H157" i="6"/>
  <c r="H149" i="6"/>
  <c r="H8" i="6"/>
  <c r="K8" i="6" s="1"/>
  <c r="H43" i="6"/>
  <c r="H102" i="6"/>
  <c r="H117" i="6"/>
  <c r="H68" i="6"/>
  <c r="H46" i="6"/>
  <c r="H22" i="6"/>
  <c r="H187" i="6"/>
  <c r="H25" i="6"/>
  <c r="H104" i="6"/>
  <c r="J204" i="6"/>
  <c r="K204" i="6" s="1"/>
  <c r="J188" i="6"/>
  <c r="M188" i="6" s="1"/>
  <c r="J172" i="6"/>
  <c r="J156" i="6"/>
  <c r="M156" i="6" s="1"/>
  <c r="J140" i="6"/>
  <c r="K140" i="6" s="1"/>
  <c r="J124" i="6"/>
  <c r="M124" i="6" s="1"/>
  <c r="J108" i="6"/>
  <c r="M108" i="6" s="1"/>
  <c r="J92" i="6"/>
  <c r="M92" i="6" s="1"/>
  <c r="J76" i="6"/>
  <c r="M76" i="6" s="1"/>
  <c r="J60" i="6"/>
  <c r="M60" i="6" s="1"/>
  <c r="J44" i="6"/>
  <c r="M44" i="6" s="1"/>
  <c r="J28" i="6"/>
  <c r="M28" i="6" s="1"/>
  <c r="J12" i="6"/>
  <c r="M15" i="6"/>
  <c r="J170" i="6"/>
  <c r="K170" i="6" s="1"/>
  <c r="J138" i="6"/>
  <c r="K138" i="6" s="1"/>
  <c r="J169" i="6"/>
  <c r="K169" i="6" s="1"/>
  <c r="J74" i="6"/>
  <c r="K74" i="6" s="1"/>
  <c r="J47" i="6"/>
  <c r="K47" i="6" s="1"/>
  <c r="J193" i="6"/>
  <c r="K193" i="6" s="1"/>
  <c r="J9" i="6"/>
  <c r="J210" i="6"/>
  <c r="K210" i="6" s="1"/>
  <c r="J42" i="6"/>
  <c r="H155" i="6"/>
  <c r="H30" i="6"/>
  <c r="H37" i="6"/>
  <c r="H52" i="6"/>
  <c r="H139" i="6"/>
  <c r="H142" i="6"/>
  <c r="H67" i="6"/>
  <c r="H7" i="6"/>
  <c r="K7" i="6" s="1"/>
  <c r="H5" i="6"/>
  <c r="H123" i="6"/>
  <c r="H166" i="6"/>
  <c r="H21" i="6"/>
  <c r="H189" i="6"/>
  <c r="J187" i="6"/>
  <c r="K187" i="6" s="1"/>
  <c r="J171" i="6"/>
  <c r="J155" i="6"/>
  <c r="J139" i="6"/>
  <c r="J123" i="6"/>
  <c r="J91" i="6"/>
  <c r="K91" i="6" s="1"/>
  <c r="J75" i="6"/>
  <c r="K75" i="6" s="1"/>
  <c r="J43" i="6"/>
  <c r="M43" i="6" s="1"/>
  <c r="J27" i="6"/>
  <c r="J11" i="6"/>
  <c r="K11" i="6" s="1"/>
  <c r="M8" i="6"/>
  <c r="J183" i="6"/>
  <c r="K183" i="6" s="1"/>
  <c r="J168" i="6"/>
  <c r="K168" i="6" s="1"/>
  <c r="J175" i="6"/>
  <c r="K175" i="6" s="1"/>
  <c r="J81" i="6"/>
  <c r="K81" i="6" s="1"/>
  <c r="J209" i="6"/>
  <c r="K209" i="6" s="1"/>
  <c r="J202" i="6"/>
  <c r="K202" i="6" s="1"/>
  <c r="J162" i="6"/>
  <c r="K162" i="6" s="1"/>
  <c r="J136" i="6"/>
  <c r="K136" i="6" s="1"/>
  <c r="J192" i="6"/>
  <c r="K192" i="6" s="1"/>
  <c r="J167" i="6"/>
  <c r="K167" i="6" s="1"/>
  <c r="J127" i="6"/>
  <c r="K127" i="6" s="1"/>
  <c r="J89" i="6"/>
  <c r="K89" i="6" s="1"/>
  <c r="M59" i="6"/>
  <c r="H59" i="6"/>
  <c r="K59" i="6" s="1"/>
  <c r="M203" i="6"/>
  <c r="H203" i="6"/>
  <c r="K203" i="6" s="1"/>
  <c r="H199" i="6"/>
  <c r="J199" i="6"/>
  <c r="J96" i="6"/>
  <c r="H96" i="6"/>
  <c r="H20" i="6"/>
  <c r="H76" i="6"/>
  <c r="H182" i="6"/>
  <c r="H141" i="6"/>
  <c r="H94" i="6"/>
  <c r="H133" i="6"/>
  <c r="H197" i="6"/>
  <c r="H164" i="6"/>
  <c r="H9" i="6"/>
  <c r="H42" i="6"/>
  <c r="J214" i="6"/>
  <c r="M214" i="6" s="1"/>
  <c r="J198" i="6"/>
  <c r="M198" i="6" s="1"/>
  <c r="J182" i="6"/>
  <c r="J166" i="6"/>
  <c r="M166" i="6" s="1"/>
  <c r="J150" i="6"/>
  <c r="K150" i="6" s="1"/>
  <c r="J134" i="6"/>
  <c r="M134" i="6" s="1"/>
  <c r="J118" i="6"/>
  <c r="J102" i="6"/>
  <c r="J86" i="6"/>
  <c r="M86" i="6" s="1"/>
  <c r="J70" i="6"/>
  <c r="J54" i="6"/>
  <c r="K54" i="6" s="1"/>
  <c r="J38" i="6"/>
  <c r="J22" i="6"/>
  <c r="J6" i="6"/>
  <c r="M7" i="6"/>
  <c r="J128" i="6"/>
  <c r="J57" i="6"/>
  <c r="K57" i="6" s="1"/>
  <c r="J208" i="6"/>
  <c r="K208" i="6" s="1"/>
  <c r="J177" i="6"/>
  <c r="K177" i="6" s="1"/>
  <c r="J95" i="6"/>
  <c r="K95" i="6" s="1"/>
  <c r="J194" i="6"/>
  <c r="K194" i="6" s="1"/>
  <c r="J112" i="6"/>
  <c r="K112" i="6" s="1"/>
  <c r="J40" i="6"/>
  <c r="K40" i="6" s="1"/>
  <c r="J120" i="6"/>
  <c r="K120" i="6" s="1"/>
  <c r="J153" i="6"/>
  <c r="K153" i="6" s="1"/>
  <c r="J88" i="6"/>
  <c r="K88" i="6" s="1"/>
  <c r="M51" i="6"/>
  <c r="H51" i="6"/>
  <c r="K51" i="6" s="1"/>
  <c r="J161" i="6"/>
  <c r="H161" i="6"/>
  <c r="H191" i="6"/>
  <c r="J191" i="6"/>
  <c r="H207" i="6"/>
  <c r="J207" i="6"/>
  <c r="H119" i="6"/>
  <c r="H178" i="6"/>
  <c r="H137" i="6"/>
  <c r="H53" i="6"/>
  <c r="H99" i="6"/>
  <c r="H115" i="6"/>
  <c r="H148" i="6"/>
  <c r="H196" i="6"/>
  <c r="H38" i="6"/>
  <c r="H154" i="6"/>
  <c r="H214" i="6"/>
  <c r="H14" i="6"/>
  <c r="H181" i="6"/>
  <c r="H134" i="6"/>
  <c r="H86" i="6"/>
  <c r="H64" i="6"/>
  <c r="H36" i="6"/>
  <c r="H130" i="6"/>
  <c r="H92" i="6"/>
  <c r="H108" i="6"/>
  <c r="H186" i="6"/>
  <c r="H211" i="6"/>
  <c r="H152" i="6"/>
  <c r="H82" i="6"/>
  <c r="H19" i="6"/>
  <c r="J213" i="6"/>
  <c r="M213" i="6" s="1"/>
  <c r="J197" i="6"/>
  <c r="M197" i="6" s="1"/>
  <c r="J181" i="6"/>
  <c r="J165" i="6"/>
  <c r="K165" i="6" s="1"/>
  <c r="J149" i="6"/>
  <c r="J133" i="6"/>
  <c r="M133" i="6" s="1"/>
  <c r="J117" i="6"/>
  <c r="J101" i="6"/>
  <c r="M101" i="6" s="1"/>
  <c r="J85" i="6"/>
  <c r="M85" i="6" s="1"/>
  <c r="J69" i="6"/>
  <c r="K69" i="6" s="1"/>
  <c r="J53" i="6"/>
  <c r="K53" i="6" s="1"/>
  <c r="J37" i="6"/>
  <c r="M37" i="6" s="1"/>
  <c r="J21" i="6"/>
  <c r="J5" i="6"/>
  <c r="J66" i="6"/>
  <c r="K66" i="6" s="1"/>
  <c r="J71" i="6"/>
  <c r="K71" i="6" s="1"/>
  <c r="J146" i="6"/>
  <c r="K146" i="6" s="1"/>
  <c r="J72" i="6"/>
  <c r="K72" i="6" s="1"/>
  <c r="J106" i="6"/>
  <c r="K106" i="6" s="1"/>
  <c r="J122" i="6"/>
  <c r="K122" i="6" s="1"/>
  <c r="J73" i="6"/>
  <c r="K73" i="6" s="1"/>
  <c r="J23" i="6"/>
  <c r="K23" i="6" s="1"/>
  <c r="J200" i="6"/>
  <c r="K200" i="6" s="1"/>
  <c r="J41" i="6"/>
  <c r="K41" i="6" s="1"/>
  <c r="J160" i="6"/>
  <c r="K160" i="6" s="1"/>
  <c r="J98" i="6"/>
  <c r="K98" i="6" s="1"/>
  <c r="J111" i="6"/>
  <c r="K111" i="6" s="1"/>
  <c r="J65" i="6"/>
  <c r="K65" i="6" s="1"/>
  <c r="J39" i="6"/>
  <c r="K39" i="6" s="1"/>
  <c r="J143" i="6"/>
  <c r="K143" i="6" s="1"/>
  <c r="J105" i="6"/>
  <c r="K105" i="6" s="1"/>
  <c r="J87" i="6"/>
  <c r="K87" i="6" s="1"/>
  <c r="J48" i="6"/>
  <c r="H48" i="6"/>
  <c r="H159" i="6"/>
  <c r="J159" i="6"/>
  <c r="H107" i="6"/>
  <c r="K107" i="6" s="1"/>
  <c r="M107" i="6"/>
  <c r="H17" i="6"/>
  <c r="H188" i="6"/>
  <c r="H128" i="6"/>
  <c r="H16" i="6"/>
  <c r="K16" i="6" s="1"/>
  <c r="H80" i="6"/>
  <c r="H109" i="6"/>
  <c r="H144" i="6"/>
  <c r="H176" i="6"/>
  <c r="H29" i="6"/>
  <c r="H90" i="6"/>
  <c r="H198" i="6"/>
  <c r="H10" i="6"/>
  <c r="H180" i="6"/>
  <c r="H132" i="6"/>
  <c r="H85" i="6"/>
  <c r="H58" i="6"/>
  <c r="H34" i="6"/>
  <c r="H26" i="6"/>
  <c r="H24" i="6"/>
  <c r="H93" i="6"/>
  <c r="H131" i="6"/>
  <c r="H179" i="6"/>
  <c r="H151" i="6"/>
  <c r="H63" i="6"/>
  <c r="H129" i="6"/>
  <c r="J212" i="6"/>
  <c r="K212" i="6" s="1"/>
  <c r="J196" i="6"/>
  <c r="J180" i="6"/>
  <c r="M180" i="6" s="1"/>
  <c r="J164" i="6"/>
  <c r="K164" i="6" s="1"/>
  <c r="J148" i="6"/>
  <c r="M148" i="6" s="1"/>
  <c r="J132" i="6"/>
  <c r="M132" i="6" s="1"/>
  <c r="J116" i="6"/>
  <c r="J100" i="6"/>
  <c r="K100" i="6" s="1"/>
  <c r="J84" i="6"/>
  <c r="J68" i="6"/>
  <c r="J52" i="6"/>
  <c r="J36" i="6"/>
  <c r="J20" i="6"/>
  <c r="J4" i="6"/>
  <c r="M4" i="6" s="1"/>
  <c r="I135" i="7"/>
  <c r="I81" i="7"/>
  <c r="I73" i="7"/>
  <c r="I175" i="7"/>
  <c r="I164" i="7"/>
  <c r="I134" i="7"/>
  <c r="I151" i="7"/>
  <c r="I190" i="7"/>
  <c r="I141" i="7"/>
  <c r="I132" i="7"/>
  <c r="I186" i="7"/>
  <c r="I200" i="7"/>
  <c r="I64" i="7"/>
  <c r="M206" i="7"/>
  <c r="M127" i="7"/>
  <c r="M23" i="7"/>
  <c r="K143" i="7"/>
  <c r="M208" i="7"/>
  <c r="M105" i="7"/>
  <c r="K150" i="7"/>
  <c r="M130" i="7"/>
  <c r="K216" i="7"/>
  <c r="K49" i="7"/>
  <c r="M15" i="7"/>
  <c r="K94" i="7"/>
  <c r="K17" i="7"/>
  <c r="M48" i="7"/>
  <c r="J6" i="7"/>
  <c r="J107" i="7"/>
  <c r="M176" i="7"/>
  <c r="M89" i="7"/>
  <c r="M60" i="7"/>
  <c r="M32" i="7"/>
  <c r="I138" i="7"/>
  <c r="I174" i="7"/>
  <c r="I176" i="7"/>
  <c r="I37" i="7"/>
  <c r="I60" i="7"/>
  <c r="M167" i="7"/>
  <c r="M38" i="7"/>
  <c r="J116" i="7"/>
  <c r="J83" i="7"/>
  <c r="M83" i="7" s="1"/>
  <c r="M216" i="7"/>
  <c r="M121" i="7"/>
  <c r="I58" i="7"/>
  <c r="I22" i="7"/>
  <c r="I147" i="7"/>
  <c r="I97" i="7"/>
  <c r="I123" i="7"/>
  <c r="I3" i="7"/>
  <c r="K114" i="7"/>
  <c r="K30" i="7"/>
  <c r="K146" i="7"/>
  <c r="K161" i="7"/>
  <c r="K82" i="7"/>
  <c r="K70" i="7"/>
  <c r="K74" i="7"/>
  <c r="K26" i="7"/>
  <c r="K31" i="7"/>
  <c r="K25" i="7"/>
  <c r="K118" i="7"/>
  <c r="J80" i="7"/>
  <c r="K80" i="7" s="1"/>
  <c r="J160" i="7"/>
  <c r="M168" i="7"/>
  <c r="M27" i="7"/>
  <c r="K178" i="7"/>
  <c r="K23" i="7"/>
  <c r="K122" i="7"/>
  <c r="K177" i="7"/>
  <c r="K54" i="7"/>
  <c r="K145" i="7"/>
  <c r="K127" i="7"/>
  <c r="K34" i="7"/>
  <c r="K58" i="7"/>
  <c r="K47" i="7"/>
  <c r="K151" i="7"/>
  <c r="K89" i="7"/>
  <c r="K33" i="7"/>
  <c r="K121" i="7"/>
  <c r="K98" i="7"/>
  <c r="J137" i="7"/>
  <c r="M137" i="7" s="1"/>
  <c r="J44" i="7"/>
  <c r="J201" i="7"/>
  <c r="M204" i="7"/>
  <c r="M25" i="7"/>
  <c r="I92" i="7"/>
  <c r="I139" i="7"/>
  <c r="I167" i="7"/>
  <c r="M135" i="7"/>
  <c r="M151" i="7"/>
  <c r="M143" i="7"/>
  <c r="M110" i="7"/>
  <c r="M21" i="7"/>
  <c r="M186" i="7"/>
  <c r="M82" i="7"/>
  <c r="M125" i="7"/>
  <c r="J5" i="7"/>
  <c r="K5" i="7" s="1"/>
  <c r="J214" i="7"/>
  <c r="J92" i="7"/>
  <c r="K92" i="7" s="1"/>
  <c r="M81" i="7"/>
  <c r="M34" i="7"/>
  <c r="J200" i="7"/>
  <c r="K200" i="7" s="1"/>
  <c r="J156" i="7"/>
  <c r="K156" i="7" s="1"/>
  <c r="J76" i="7"/>
  <c r="J197" i="7"/>
  <c r="K197" i="7" s="1"/>
  <c r="M108" i="7"/>
  <c r="M44" i="7"/>
  <c r="M20" i="7"/>
  <c r="M175" i="7"/>
  <c r="M157" i="7"/>
  <c r="J128" i="7"/>
  <c r="K128" i="7" s="1"/>
  <c r="J209" i="7"/>
  <c r="J164" i="7"/>
  <c r="J95" i="7"/>
  <c r="M95" i="7" s="1"/>
  <c r="M180" i="7"/>
  <c r="M145" i="7"/>
  <c r="M107" i="7"/>
  <c r="M76" i="7"/>
  <c r="I184" i="7"/>
  <c r="I214" i="7"/>
  <c r="I181" i="7"/>
  <c r="I148" i="7"/>
  <c r="I43" i="7"/>
  <c r="I194" i="7"/>
  <c r="M119" i="7"/>
  <c r="K18" i="7"/>
  <c r="M22" i="7"/>
  <c r="M64" i="7"/>
  <c r="M159" i="7"/>
  <c r="M194" i="7"/>
  <c r="M132" i="7"/>
  <c r="M46" i="7"/>
  <c r="M134" i="7"/>
  <c r="M140" i="7"/>
  <c r="M214" i="7"/>
  <c r="M26" i="7"/>
  <c r="K126" i="7"/>
  <c r="M11" i="7"/>
  <c r="J38" i="7"/>
  <c r="J187" i="7"/>
  <c r="J35" i="7"/>
  <c r="M35" i="7" s="1"/>
  <c r="J133" i="7"/>
  <c r="K133" i="7" s="1"/>
  <c r="M177" i="7"/>
  <c r="M99" i="7"/>
  <c r="M33" i="7"/>
  <c r="M17" i="7"/>
  <c r="I122" i="7"/>
  <c r="I145" i="7"/>
  <c r="I89" i="7"/>
  <c r="K66" i="7"/>
  <c r="K168" i="7"/>
  <c r="K81" i="7"/>
  <c r="K208" i="7"/>
  <c r="K15" i="7"/>
  <c r="K96" i="7"/>
  <c r="K158" i="7"/>
  <c r="K166" i="7"/>
  <c r="K46" i="7"/>
  <c r="K111" i="7"/>
  <c r="K129" i="7"/>
  <c r="K185" i="7"/>
  <c r="K110" i="7"/>
  <c r="K191" i="7"/>
  <c r="K103" i="7"/>
  <c r="K152" i="7"/>
  <c r="K202" i="7"/>
  <c r="K198" i="7"/>
  <c r="K142" i="7"/>
  <c r="K72" i="7"/>
  <c r="J99" i="7"/>
  <c r="K99" i="7" s="1"/>
  <c r="J29" i="7"/>
  <c r="K29" i="7" s="1"/>
  <c r="J8" i="7"/>
  <c r="K8" i="7" s="1"/>
  <c r="J196" i="7"/>
  <c r="K196" i="7" s="1"/>
  <c r="J189" i="7"/>
  <c r="K189" i="7" s="1"/>
  <c r="J59" i="7"/>
  <c r="K59" i="7" s="1"/>
  <c r="J24" i="7"/>
  <c r="K24" i="7" s="1"/>
  <c r="J100" i="7"/>
  <c r="K100" i="7" s="1"/>
  <c r="J140" i="7"/>
  <c r="K140" i="7" s="1"/>
  <c r="J182" i="7"/>
  <c r="K182" i="7" s="1"/>
  <c r="J84" i="7"/>
  <c r="J78" i="7"/>
  <c r="K78" i="7" s="1"/>
  <c r="J192" i="7"/>
  <c r="K192" i="7" s="1"/>
  <c r="J207" i="7"/>
  <c r="K207" i="7" s="1"/>
  <c r="M124" i="7"/>
  <c r="I178" i="7"/>
  <c r="J77" i="7"/>
  <c r="K77" i="7" s="1"/>
  <c r="M30" i="7"/>
  <c r="J188" i="7"/>
  <c r="K188" i="7" s="1"/>
  <c r="J144" i="7"/>
  <c r="K144" i="7" s="1"/>
  <c r="M74" i="7"/>
  <c r="J11" i="7"/>
  <c r="K11" i="7" s="1"/>
  <c r="J115" i="7"/>
  <c r="K115" i="7" s="1"/>
  <c r="M103" i="7"/>
  <c r="J155" i="7"/>
  <c r="K155" i="7" s="1"/>
  <c r="M63" i="7"/>
  <c r="J120" i="7"/>
  <c r="K120" i="7" s="1"/>
  <c r="M98" i="7"/>
  <c r="J48" i="7"/>
  <c r="K48" i="7" s="1"/>
  <c r="M170" i="7"/>
  <c r="J19" i="7"/>
  <c r="K19" i="7" s="1"/>
  <c r="M199" i="7"/>
  <c r="J40" i="7"/>
  <c r="K40" i="7" s="1"/>
  <c r="M178" i="7"/>
  <c r="M101" i="7"/>
  <c r="J117" i="7"/>
  <c r="K117" i="7" s="1"/>
  <c r="J210" i="7"/>
  <c r="K210" i="7" s="1"/>
  <c r="I9" i="7"/>
  <c r="J9" i="7"/>
  <c r="K9" i="7" s="1"/>
  <c r="I56" i="7"/>
  <c r="J56" i="7"/>
  <c r="K56" i="7" s="1"/>
  <c r="M162" i="7"/>
  <c r="I28" i="7"/>
  <c r="M190" i="7"/>
  <c r="J28" i="7"/>
  <c r="K28" i="7" s="1"/>
  <c r="I57" i="7"/>
  <c r="J57" i="7"/>
  <c r="K57" i="7" s="1"/>
  <c r="J205" i="7"/>
  <c r="K205" i="7" s="1"/>
  <c r="J79" i="7"/>
  <c r="K79" i="7" s="1"/>
  <c r="J173" i="7"/>
  <c r="K173" i="7" s="1"/>
  <c r="J16" i="7"/>
  <c r="K16" i="7" s="1"/>
  <c r="J90" i="7"/>
  <c r="K90" i="7" s="1"/>
  <c r="J195" i="7"/>
  <c r="K195" i="7" s="1"/>
  <c r="J87" i="7"/>
  <c r="K87" i="7" s="1"/>
  <c r="J10" i="7"/>
  <c r="K10" i="7" s="1"/>
  <c r="J113" i="7"/>
  <c r="K113" i="7" s="1"/>
  <c r="J88" i="7"/>
  <c r="K88" i="7" s="1"/>
  <c r="J215" i="7"/>
  <c r="K215" i="7" s="1"/>
  <c r="J7" i="7"/>
  <c r="K7" i="7" s="1"/>
  <c r="J170" i="7"/>
  <c r="K170" i="7" s="1"/>
  <c r="M187" i="7"/>
  <c r="M171" i="7"/>
  <c r="M91" i="7"/>
  <c r="M75" i="7"/>
  <c r="J212" i="7"/>
  <c r="K212" i="7" s="1"/>
  <c r="J131" i="7"/>
  <c r="K131" i="7" s="1"/>
  <c r="J45" i="7"/>
  <c r="K45" i="7" s="1"/>
  <c r="M5" i="7"/>
  <c r="J213" i="7"/>
  <c r="K213" i="7" s="1"/>
  <c r="J147" i="7"/>
  <c r="K147" i="7" s="1"/>
  <c r="M71" i="7"/>
  <c r="K116" i="7"/>
  <c r="K41" i="7"/>
  <c r="K105" i="7"/>
  <c r="K67" i="7"/>
  <c r="K76" i="7"/>
  <c r="K108" i="7"/>
  <c r="K32" i="7"/>
  <c r="K2" i="7"/>
  <c r="K62" i="7"/>
  <c r="M2" i="7"/>
  <c r="M201" i="7"/>
  <c r="M185" i="7"/>
  <c r="M153" i="7"/>
  <c r="M73" i="7"/>
  <c r="M41" i="7"/>
  <c r="J171" i="7"/>
  <c r="K171" i="7" s="1"/>
  <c r="M47" i="7"/>
  <c r="I23" i="7"/>
  <c r="I171" i="7"/>
  <c r="K73" i="7"/>
  <c r="K209" i="7"/>
  <c r="K160" i="7"/>
  <c r="K164" i="7"/>
  <c r="K193" i="7"/>
  <c r="K159" i="7"/>
  <c r="K174" i="7"/>
  <c r="K22" i="7"/>
  <c r="K184" i="7"/>
  <c r="K95" i="7"/>
  <c r="K153" i="7"/>
  <c r="M200" i="7"/>
  <c r="M184" i="7"/>
  <c r="M152" i="7"/>
  <c r="M136" i="7"/>
  <c r="M104" i="7"/>
  <c r="M72" i="7"/>
  <c r="M40" i="7"/>
  <c r="M61" i="7"/>
  <c r="J157" i="7"/>
  <c r="K157" i="7" s="1"/>
  <c r="I177" i="7"/>
  <c r="I34" i="7"/>
  <c r="J101" i="7"/>
  <c r="K101" i="7" s="1"/>
  <c r="J69" i="7"/>
  <c r="K69" i="7" s="1"/>
  <c r="J106" i="7"/>
  <c r="K106" i="7" s="1"/>
  <c r="J154" i="7"/>
  <c r="K154" i="7" s="1"/>
  <c r="J169" i="7"/>
  <c r="K169" i="7" s="1"/>
  <c r="J86" i="7"/>
  <c r="K86" i="7" s="1"/>
  <c r="J39" i="7"/>
  <c r="K39" i="7" s="1"/>
  <c r="J172" i="7"/>
  <c r="K172" i="7" s="1"/>
  <c r="J85" i="7"/>
  <c r="K85" i="7" s="1"/>
  <c r="J55" i="7"/>
  <c r="K55" i="7" s="1"/>
  <c r="J4" i="7"/>
  <c r="K4" i="7" s="1"/>
  <c r="M164" i="7"/>
  <c r="M148" i="7"/>
  <c r="M100" i="7"/>
  <c r="I33" i="7"/>
  <c r="K97" i="7"/>
  <c r="K138" i="7"/>
  <c r="K50" i="7"/>
  <c r="K167" i="7"/>
  <c r="K63" i="7"/>
  <c r="K194" i="7"/>
  <c r="K162" i="7"/>
  <c r="K186" i="7"/>
  <c r="K42" i="7"/>
  <c r="J12" i="7"/>
  <c r="K12" i="7" s="1"/>
  <c r="J163" i="7"/>
  <c r="K163" i="7" s="1"/>
  <c r="J91" i="7"/>
  <c r="K91" i="7" s="1"/>
  <c r="J149" i="7"/>
  <c r="K149" i="7" s="1"/>
  <c r="J183" i="7"/>
  <c r="K183" i="7" s="1"/>
  <c r="J211" i="7"/>
  <c r="K211" i="7" s="1"/>
  <c r="J112" i="7"/>
  <c r="K112" i="7" s="1"/>
  <c r="J203" i="7"/>
  <c r="K203" i="7" s="1"/>
  <c r="M195" i="7"/>
  <c r="M67" i="7"/>
  <c r="M53" i="7"/>
  <c r="J165" i="7"/>
  <c r="K165" i="7" s="1"/>
  <c r="J52" i="7"/>
  <c r="K52" i="7" s="1"/>
  <c r="M166" i="7"/>
  <c r="J27" i="7"/>
  <c r="K27" i="7" s="1"/>
  <c r="M191" i="7"/>
  <c r="I157" i="7"/>
  <c r="I127" i="7"/>
  <c r="I65" i="7"/>
  <c r="K137" i="7"/>
  <c r="K38" i="7"/>
  <c r="K44" i="7"/>
  <c r="K71" i="7"/>
  <c r="K201" i="7"/>
  <c r="K187" i="7"/>
  <c r="K75" i="7"/>
  <c r="K199" i="7"/>
  <c r="K14" i="7"/>
  <c r="K136" i="7"/>
  <c r="K93" i="7"/>
  <c r="M209" i="7"/>
  <c r="M193" i="7"/>
  <c r="M161" i="7"/>
  <c r="M129" i="7"/>
  <c r="M97" i="7"/>
  <c r="J104" i="7"/>
  <c r="K104" i="7" s="1"/>
  <c r="M114" i="7"/>
  <c r="I104" i="7"/>
  <c r="I47" i="7"/>
  <c r="K119" i="7"/>
  <c r="K135" i="7"/>
  <c r="K6" i="7"/>
  <c r="K53" i="7"/>
  <c r="K175" i="7"/>
  <c r="K130" i="7"/>
  <c r="K134" i="7"/>
  <c r="K107" i="7"/>
  <c r="K102" i="7"/>
  <c r="K190" i="7"/>
  <c r="K214" i="7"/>
  <c r="K206" i="7"/>
  <c r="M160" i="7"/>
  <c r="M144" i="7"/>
  <c r="M96" i="7"/>
  <c r="J139" i="7"/>
  <c r="K139" i="7" s="1"/>
  <c r="J13" i="7"/>
  <c r="K13" i="7" s="1"/>
  <c r="J148" i="7"/>
  <c r="K148" i="7" s="1"/>
  <c r="J176" i="7"/>
  <c r="K176" i="7" s="1"/>
  <c r="J125" i="7"/>
  <c r="K125" i="7" s="1"/>
  <c r="J43" i="7"/>
  <c r="K43" i="7" s="1"/>
  <c r="J37" i="7"/>
  <c r="K37" i="7" s="1"/>
  <c r="J123" i="7"/>
  <c r="K123" i="7" s="1"/>
  <c r="J179" i="7"/>
  <c r="K179" i="7" s="1"/>
  <c r="J64" i="7"/>
  <c r="K64" i="7" s="1"/>
  <c r="J3" i="7"/>
  <c r="K3" i="7" s="1"/>
  <c r="J124" i="7"/>
  <c r="K124" i="7" s="1"/>
  <c r="J60" i="7"/>
  <c r="K60" i="7" s="1"/>
  <c r="J61" i="7"/>
  <c r="K61" i="7" s="1"/>
  <c r="J141" i="7"/>
  <c r="K141" i="7" s="1"/>
  <c r="J132" i="7"/>
  <c r="K132" i="7" s="1"/>
  <c r="J181" i="7"/>
  <c r="K181" i="7" s="1"/>
  <c r="J68" i="7"/>
  <c r="K68" i="7" s="1"/>
  <c r="M146" i="7"/>
  <c r="M122" i="7"/>
  <c r="M66" i="7"/>
  <c r="M50" i="7"/>
  <c r="M10" i="7"/>
  <c r="J20" i="7"/>
  <c r="K20" i="7" s="1"/>
  <c r="J109" i="7"/>
  <c r="K109" i="7" s="1"/>
  <c r="J204" i="7"/>
  <c r="K204" i="7" s="1"/>
  <c r="J21" i="7"/>
  <c r="K21" i="7" s="1"/>
  <c r="J51" i="7"/>
  <c r="K51" i="7" s="1"/>
  <c r="J180" i="7"/>
  <c r="K180" i="7" s="1"/>
  <c r="J36" i="7"/>
  <c r="K36" i="7" s="1"/>
  <c r="M174" i="7"/>
  <c r="M102" i="7"/>
  <c r="AN27" i="1"/>
  <c r="AN54" i="1"/>
  <c r="AI62" i="1"/>
  <c r="AR22" i="1"/>
  <c r="AR23" i="1"/>
  <c r="AR67" i="1"/>
  <c r="AR66" i="1"/>
  <c r="AR68" i="1"/>
  <c r="AR24" i="1"/>
  <c r="AR57" i="1"/>
  <c r="AR135" i="1"/>
  <c r="AR152" i="1"/>
  <c r="AR153" i="1"/>
  <c r="AR71" i="1"/>
  <c r="AR69" i="1"/>
  <c r="AR70" i="1"/>
  <c r="AR140" i="1"/>
  <c r="AR141" i="1"/>
  <c r="AR142" i="1"/>
  <c r="AR143" i="1"/>
  <c r="AR58" i="1"/>
  <c r="AR33" i="1"/>
  <c r="AR126" i="1"/>
  <c r="AR105" i="1"/>
  <c r="AR2" i="1"/>
  <c r="AR106" i="1"/>
  <c r="AR150" i="1"/>
  <c r="AR107" i="1"/>
  <c r="AR3" i="1"/>
  <c r="AR4" i="1"/>
  <c r="AR5" i="1"/>
  <c r="AR6" i="1"/>
  <c r="AR7" i="1"/>
  <c r="AR8" i="1"/>
  <c r="AR127" i="1"/>
  <c r="AR80" i="1"/>
  <c r="AR59" i="1"/>
  <c r="AR78" i="1"/>
  <c r="AR79" i="1"/>
  <c r="AR25" i="1"/>
  <c r="AR109" i="1"/>
  <c r="AR108" i="1"/>
  <c r="AR110" i="1"/>
  <c r="AR72" i="1"/>
  <c r="AR81" i="1"/>
  <c r="AR119" i="1"/>
  <c r="AR82" i="1"/>
  <c r="AR120" i="1"/>
  <c r="AR88" i="1"/>
  <c r="AR89" i="1"/>
  <c r="AR90" i="1"/>
  <c r="AR144" i="1"/>
  <c r="AR121" i="1"/>
  <c r="AR36" i="1"/>
  <c r="AR34" i="1"/>
  <c r="AR35" i="1"/>
  <c r="AR111" i="1"/>
  <c r="AR83" i="1"/>
  <c r="AR112" i="1"/>
  <c r="AR9" i="1"/>
  <c r="AR122" i="1"/>
  <c r="AR91" i="1"/>
  <c r="AR113" i="1"/>
  <c r="AR114" i="1"/>
  <c r="AR136" i="1"/>
  <c r="AR128" i="1"/>
  <c r="AR115" i="1"/>
  <c r="AR145" i="1"/>
  <c r="AR151" i="1"/>
  <c r="AR84" i="1"/>
  <c r="AR85" i="1"/>
  <c r="AR60" i="1"/>
  <c r="AR37" i="1"/>
  <c r="AR38" i="1"/>
  <c r="AR39" i="1"/>
  <c r="AR41" i="1"/>
  <c r="AR40" i="1"/>
  <c r="AR75" i="1"/>
  <c r="AR74" i="1"/>
  <c r="AR73" i="1"/>
  <c r="AR147" i="1"/>
  <c r="AR42" i="1"/>
  <c r="AR148" i="1"/>
  <c r="AR146" i="1"/>
  <c r="AR43" i="1"/>
  <c r="AR26" i="1"/>
  <c r="AR86" i="1"/>
  <c r="AR27" i="1"/>
  <c r="AR12" i="1"/>
  <c r="AR10" i="1"/>
  <c r="AR11" i="1"/>
  <c r="AR129" i="1"/>
  <c r="AR137" i="1"/>
  <c r="AR130" i="1"/>
  <c r="AR131" i="1"/>
  <c r="AR28" i="1"/>
  <c r="AR44" i="1"/>
  <c r="AR87" i="1"/>
  <c r="AR45" i="1"/>
  <c r="AR61" i="1"/>
  <c r="AR13" i="1"/>
  <c r="AR76" i="1"/>
  <c r="AR29" i="1"/>
  <c r="AR30" i="1"/>
  <c r="AR93" i="1"/>
  <c r="AR92" i="1"/>
  <c r="AR46" i="1"/>
  <c r="AR47" i="1"/>
  <c r="AR116" i="1"/>
  <c r="AR117" i="1"/>
  <c r="AR118" i="1"/>
  <c r="AR48" i="1"/>
  <c r="AR49" i="1"/>
  <c r="AR132" i="1"/>
  <c r="AR50" i="1"/>
  <c r="AR51" i="1"/>
  <c r="AR52" i="1"/>
  <c r="AR62" i="1"/>
  <c r="AR53" i="1"/>
  <c r="AR63" i="1"/>
  <c r="AR54" i="1"/>
  <c r="AR55" i="1"/>
  <c r="AR77" i="1"/>
  <c r="AR138" i="1"/>
  <c r="AR64" i="1"/>
  <c r="AR65" i="1"/>
  <c r="AR94" i="1"/>
  <c r="AR31" i="1"/>
  <c r="AR32" i="1"/>
  <c r="AR95" i="1"/>
  <c r="AR96" i="1"/>
  <c r="AR97" i="1"/>
  <c r="AR98" i="1"/>
  <c r="AR99" i="1"/>
  <c r="AR100" i="1"/>
  <c r="AR101" i="1"/>
  <c r="AR102" i="1"/>
  <c r="AR103" i="1"/>
  <c r="AR104" i="1"/>
  <c r="AR124" i="1"/>
  <c r="AR123" i="1"/>
  <c r="AR125" i="1"/>
  <c r="AR14" i="1"/>
  <c r="AR133" i="1"/>
  <c r="AR15" i="1"/>
  <c r="AR16" i="1"/>
  <c r="AR17" i="1"/>
  <c r="AR134" i="1"/>
  <c r="AR18" i="1"/>
  <c r="AR19" i="1"/>
  <c r="AR20" i="1"/>
  <c r="AR149" i="1"/>
  <c r="AR56" i="1"/>
  <c r="AR139" i="1"/>
  <c r="AR21" i="1"/>
  <c r="AQ21" i="1"/>
  <c r="AQ22" i="1"/>
  <c r="AQ23" i="1"/>
  <c r="AQ67" i="1"/>
  <c r="AQ66" i="1"/>
  <c r="AQ68" i="1"/>
  <c r="AQ24" i="1"/>
  <c r="AQ57" i="1"/>
  <c r="AQ135" i="1"/>
  <c r="AQ152" i="1"/>
  <c r="AQ153" i="1"/>
  <c r="AQ71" i="1"/>
  <c r="AQ69" i="1"/>
  <c r="AQ70" i="1"/>
  <c r="AQ140" i="1"/>
  <c r="AQ141" i="1"/>
  <c r="AQ142" i="1"/>
  <c r="AQ143" i="1"/>
  <c r="AQ58" i="1"/>
  <c r="AQ33" i="1"/>
  <c r="AQ126" i="1"/>
  <c r="AQ105" i="1"/>
  <c r="AQ2" i="1"/>
  <c r="AQ106" i="1"/>
  <c r="AQ150" i="1"/>
  <c r="AQ107" i="1"/>
  <c r="AQ3" i="1"/>
  <c r="AQ4" i="1"/>
  <c r="AQ5" i="1"/>
  <c r="AQ6" i="1"/>
  <c r="AQ7" i="1"/>
  <c r="AQ8" i="1"/>
  <c r="AQ127" i="1"/>
  <c r="AQ80" i="1"/>
  <c r="AQ59" i="1"/>
  <c r="AQ78" i="1"/>
  <c r="AQ79" i="1"/>
  <c r="AQ25" i="1"/>
  <c r="AQ109" i="1"/>
  <c r="AQ108" i="1"/>
  <c r="AQ110" i="1"/>
  <c r="AQ72" i="1"/>
  <c r="AQ81" i="1"/>
  <c r="AQ119" i="1"/>
  <c r="AQ82" i="1"/>
  <c r="AQ120" i="1"/>
  <c r="AQ88" i="1"/>
  <c r="AQ89" i="1"/>
  <c r="AQ90" i="1"/>
  <c r="AQ144" i="1"/>
  <c r="AQ121" i="1"/>
  <c r="AQ36" i="1"/>
  <c r="AQ34" i="1"/>
  <c r="AQ35" i="1"/>
  <c r="AQ111" i="1"/>
  <c r="AQ83" i="1"/>
  <c r="AQ112" i="1"/>
  <c r="AQ9" i="1"/>
  <c r="AQ122" i="1"/>
  <c r="AQ91" i="1"/>
  <c r="AQ113" i="1"/>
  <c r="AQ114" i="1"/>
  <c r="AQ136" i="1"/>
  <c r="AQ128" i="1"/>
  <c r="AQ115" i="1"/>
  <c r="AQ145" i="1"/>
  <c r="AQ151" i="1"/>
  <c r="AQ84" i="1"/>
  <c r="AQ85" i="1"/>
  <c r="AQ60" i="1"/>
  <c r="AQ37" i="1"/>
  <c r="AQ38" i="1"/>
  <c r="AQ39" i="1"/>
  <c r="AQ41" i="1"/>
  <c r="AQ40" i="1"/>
  <c r="AQ75" i="1"/>
  <c r="AQ74" i="1"/>
  <c r="AQ73" i="1"/>
  <c r="AQ147" i="1"/>
  <c r="AQ42" i="1"/>
  <c r="AQ148" i="1"/>
  <c r="AQ146" i="1"/>
  <c r="AQ43" i="1"/>
  <c r="AQ26" i="1"/>
  <c r="AQ86" i="1"/>
  <c r="AQ27" i="1"/>
  <c r="AQ12" i="1"/>
  <c r="AQ10" i="1"/>
  <c r="AQ11" i="1"/>
  <c r="AQ129" i="1"/>
  <c r="AQ137" i="1"/>
  <c r="AQ130" i="1"/>
  <c r="AQ131" i="1"/>
  <c r="AQ28" i="1"/>
  <c r="AQ44" i="1"/>
  <c r="AQ87" i="1"/>
  <c r="AQ45" i="1"/>
  <c r="AQ61" i="1"/>
  <c r="AQ13" i="1"/>
  <c r="AQ76" i="1"/>
  <c r="AQ29" i="1"/>
  <c r="AQ30" i="1"/>
  <c r="AQ93" i="1"/>
  <c r="AQ92" i="1"/>
  <c r="AQ46" i="1"/>
  <c r="AQ47" i="1"/>
  <c r="AQ116" i="1"/>
  <c r="AQ117" i="1"/>
  <c r="AQ118" i="1"/>
  <c r="AQ48" i="1"/>
  <c r="AQ49" i="1"/>
  <c r="AQ132" i="1"/>
  <c r="AQ50" i="1"/>
  <c r="AQ51" i="1"/>
  <c r="AQ52" i="1"/>
  <c r="AQ62" i="1"/>
  <c r="AQ53" i="1"/>
  <c r="AQ63" i="1"/>
  <c r="AQ54" i="1"/>
  <c r="AQ55" i="1"/>
  <c r="AQ77" i="1"/>
  <c r="AQ138" i="1"/>
  <c r="AQ64" i="1"/>
  <c r="AQ65" i="1"/>
  <c r="AQ94" i="1"/>
  <c r="AQ31" i="1"/>
  <c r="AQ32" i="1"/>
  <c r="AQ95" i="1"/>
  <c r="AQ96" i="1"/>
  <c r="AQ97" i="1"/>
  <c r="AQ98" i="1"/>
  <c r="AQ99" i="1"/>
  <c r="AQ100" i="1"/>
  <c r="AQ101" i="1"/>
  <c r="AQ102" i="1"/>
  <c r="AQ103" i="1"/>
  <c r="AQ104" i="1"/>
  <c r="AQ124" i="1"/>
  <c r="AQ123" i="1"/>
  <c r="AQ125" i="1"/>
  <c r="AQ14" i="1"/>
  <c r="AQ133" i="1"/>
  <c r="AQ15" i="1"/>
  <c r="AQ16" i="1"/>
  <c r="AQ17" i="1"/>
  <c r="AQ134" i="1"/>
  <c r="AQ18" i="1"/>
  <c r="AQ19" i="1"/>
  <c r="AQ20" i="1"/>
  <c r="AQ149" i="1"/>
  <c r="AQ56" i="1"/>
  <c r="AQ139" i="1"/>
  <c r="AP21" i="1"/>
  <c r="AP22" i="1"/>
  <c r="AP23" i="1"/>
  <c r="AP67" i="1"/>
  <c r="AP66" i="1"/>
  <c r="AP68" i="1"/>
  <c r="AP24" i="1"/>
  <c r="AP57" i="1"/>
  <c r="AP135" i="1"/>
  <c r="AP152" i="1"/>
  <c r="AP153" i="1"/>
  <c r="AP71" i="1"/>
  <c r="AP69" i="1"/>
  <c r="AP70" i="1"/>
  <c r="AP140" i="1"/>
  <c r="AP141" i="1"/>
  <c r="AP142" i="1"/>
  <c r="AP143" i="1"/>
  <c r="AP58" i="1"/>
  <c r="AP33" i="1"/>
  <c r="AP126" i="1"/>
  <c r="AP105" i="1"/>
  <c r="AP2" i="1"/>
  <c r="AP106" i="1"/>
  <c r="AP150" i="1"/>
  <c r="AP107" i="1"/>
  <c r="AP3" i="1"/>
  <c r="AP4" i="1"/>
  <c r="AP5" i="1"/>
  <c r="AP6" i="1"/>
  <c r="AP7" i="1"/>
  <c r="AP8" i="1"/>
  <c r="AP127" i="1"/>
  <c r="AP80" i="1"/>
  <c r="AP59" i="1"/>
  <c r="AP78" i="1"/>
  <c r="AP79" i="1"/>
  <c r="AP25" i="1"/>
  <c r="AP109" i="1"/>
  <c r="AP108" i="1"/>
  <c r="AP110" i="1"/>
  <c r="AP72" i="1"/>
  <c r="AP81" i="1"/>
  <c r="AP119" i="1"/>
  <c r="AP82" i="1"/>
  <c r="AP120" i="1"/>
  <c r="AP88" i="1"/>
  <c r="AP89" i="1"/>
  <c r="AP90" i="1"/>
  <c r="AP144" i="1"/>
  <c r="AP121" i="1"/>
  <c r="AP36" i="1"/>
  <c r="AP34" i="1"/>
  <c r="AP35" i="1"/>
  <c r="AP111" i="1"/>
  <c r="AP83" i="1"/>
  <c r="AP112" i="1"/>
  <c r="AP9" i="1"/>
  <c r="AP122" i="1"/>
  <c r="AP91" i="1"/>
  <c r="AP113" i="1"/>
  <c r="AP114" i="1"/>
  <c r="AP136" i="1"/>
  <c r="AP128" i="1"/>
  <c r="AP115" i="1"/>
  <c r="AP145" i="1"/>
  <c r="AP151" i="1"/>
  <c r="AP84" i="1"/>
  <c r="AP85" i="1"/>
  <c r="AP60" i="1"/>
  <c r="AP37" i="1"/>
  <c r="AP38" i="1"/>
  <c r="AP39" i="1"/>
  <c r="AP41" i="1"/>
  <c r="AP40" i="1"/>
  <c r="AP75" i="1"/>
  <c r="AP74" i="1"/>
  <c r="AP73" i="1"/>
  <c r="AP147" i="1"/>
  <c r="AP42" i="1"/>
  <c r="AP148" i="1"/>
  <c r="AP146" i="1"/>
  <c r="AP43" i="1"/>
  <c r="AP26" i="1"/>
  <c r="AP86" i="1"/>
  <c r="AP27" i="1"/>
  <c r="AP12" i="1"/>
  <c r="AP10" i="1"/>
  <c r="AP11" i="1"/>
  <c r="AP129" i="1"/>
  <c r="AP137" i="1"/>
  <c r="AP130" i="1"/>
  <c r="AP131" i="1"/>
  <c r="AP28" i="1"/>
  <c r="AP44" i="1"/>
  <c r="AP87" i="1"/>
  <c r="AP45" i="1"/>
  <c r="AP61" i="1"/>
  <c r="AP13" i="1"/>
  <c r="AP76" i="1"/>
  <c r="AP29" i="1"/>
  <c r="AP30" i="1"/>
  <c r="AP93" i="1"/>
  <c r="AP92" i="1"/>
  <c r="AP46" i="1"/>
  <c r="AP47" i="1"/>
  <c r="AP116" i="1"/>
  <c r="AP117" i="1"/>
  <c r="AP118" i="1"/>
  <c r="AP48" i="1"/>
  <c r="AP49" i="1"/>
  <c r="AP132" i="1"/>
  <c r="AP50" i="1"/>
  <c r="AP51" i="1"/>
  <c r="AP52" i="1"/>
  <c r="AP62" i="1"/>
  <c r="AP53" i="1"/>
  <c r="AP63" i="1"/>
  <c r="AP54" i="1"/>
  <c r="AP55" i="1"/>
  <c r="AP77" i="1"/>
  <c r="AP138" i="1"/>
  <c r="AP64" i="1"/>
  <c r="AP65" i="1"/>
  <c r="AP94" i="1"/>
  <c r="AP31" i="1"/>
  <c r="AP32" i="1"/>
  <c r="AP95" i="1"/>
  <c r="AP96" i="1"/>
  <c r="AP97" i="1"/>
  <c r="AP98" i="1"/>
  <c r="AP99" i="1"/>
  <c r="AP100" i="1"/>
  <c r="AP101" i="1"/>
  <c r="AP102" i="1"/>
  <c r="AP103" i="1"/>
  <c r="AP104" i="1"/>
  <c r="AP124" i="1"/>
  <c r="AP123" i="1"/>
  <c r="AP125" i="1"/>
  <c r="AP14" i="1"/>
  <c r="AP133" i="1"/>
  <c r="AP15" i="1"/>
  <c r="AP16" i="1"/>
  <c r="AP17" i="1"/>
  <c r="AP134" i="1"/>
  <c r="AP18" i="1"/>
  <c r="AP19" i="1"/>
  <c r="AP20" i="1"/>
  <c r="AP149" i="1"/>
  <c r="AP56" i="1"/>
  <c r="AP139" i="1"/>
  <c r="K116" i="6" l="1"/>
  <c r="K158" i="6"/>
  <c r="K196" i="5"/>
  <c r="K85" i="5"/>
  <c r="K204" i="5"/>
  <c r="K194" i="5"/>
  <c r="M87" i="5"/>
  <c r="K48" i="5"/>
  <c r="K182" i="5"/>
  <c r="M4" i="5"/>
  <c r="K12" i="5"/>
  <c r="M204" i="5"/>
  <c r="K98" i="5"/>
  <c r="K91" i="5"/>
  <c r="K49" i="5"/>
  <c r="K139" i="5"/>
  <c r="K126" i="5"/>
  <c r="K159" i="5"/>
  <c r="M154" i="5"/>
  <c r="M27" i="5"/>
  <c r="K36" i="5"/>
  <c r="M76" i="5"/>
  <c r="K145" i="5"/>
  <c r="K216" i="5"/>
  <c r="M170" i="5"/>
  <c r="M42" i="5"/>
  <c r="K71" i="5"/>
  <c r="K124" i="5"/>
  <c r="K174" i="5"/>
  <c r="K94" i="5"/>
  <c r="K132" i="5"/>
  <c r="M137" i="5"/>
  <c r="K129" i="5"/>
  <c r="K16" i="5"/>
  <c r="M75" i="5"/>
  <c r="K140" i="5"/>
  <c r="K193" i="5"/>
  <c r="K97" i="5"/>
  <c r="K148" i="5"/>
  <c r="K123" i="5"/>
  <c r="K22" i="5"/>
  <c r="K128" i="5"/>
  <c r="K168" i="5"/>
  <c r="K185" i="5"/>
  <c r="M197" i="5"/>
  <c r="M90" i="5"/>
  <c r="M185" i="5"/>
  <c r="K13" i="5"/>
  <c r="K160" i="5"/>
  <c r="K118" i="5"/>
  <c r="K122" i="5"/>
  <c r="K70" i="5"/>
  <c r="K89" i="5"/>
  <c r="K93" i="5"/>
  <c r="K208" i="5"/>
  <c r="K47" i="5"/>
  <c r="K114" i="5"/>
  <c r="M165" i="5"/>
  <c r="K53" i="5"/>
  <c r="K167" i="5"/>
  <c r="M84" i="5"/>
  <c r="K183" i="5"/>
  <c r="K80" i="5"/>
  <c r="K95" i="5"/>
  <c r="K190" i="5"/>
  <c r="K73" i="5"/>
  <c r="K115" i="5"/>
  <c r="K83" i="5"/>
  <c r="K82" i="5"/>
  <c r="M3" i="5"/>
  <c r="K32" i="5"/>
  <c r="K86" i="5"/>
  <c r="K152" i="5"/>
  <c r="K17" i="5"/>
  <c r="K142" i="5"/>
  <c r="K111" i="5"/>
  <c r="K163" i="5"/>
  <c r="K62" i="5"/>
  <c r="K156" i="5"/>
  <c r="K57" i="5"/>
  <c r="M168" i="5"/>
  <c r="K63" i="5"/>
  <c r="M148" i="5"/>
  <c r="K14" i="5"/>
  <c r="M48" i="5"/>
  <c r="K69" i="5"/>
  <c r="K157" i="5"/>
  <c r="K137" i="5"/>
  <c r="K209" i="5"/>
  <c r="M70" i="5"/>
  <c r="K207" i="5"/>
  <c r="K19" i="5"/>
  <c r="K195" i="5"/>
  <c r="K7" i="5"/>
  <c r="K45" i="5"/>
  <c r="K9" i="5"/>
  <c r="K103" i="5"/>
  <c r="K55" i="5"/>
  <c r="K100" i="5"/>
  <c r="M132" i="5"/>
  <c r="K161" i="5"/>
  <c r="K186" i="5"/>
  <c r="M90" i="6"/>
  <c r="M121" i="6"/>
  <c r="M201" i="6"/>
  <c r="K123" i="6"/>
  <c r="M160" i="6"/>
  <c r="M73" i="6"/>
  <c r="M88" i="6"/>
  <c r="M112" i="6"/>
  <c r="M208" i="6"/>
  <c r="M114" i="6"/>
  <c r="M215" i="6"/>
  <c r="K149" i="6"/>
  <c r="K22" i="6"/>
  <c r="K38" i="6"/>
  <c r="M89" i="6"/>
  <c r="M136" i="6"/>
  <c r="M81" i="6"/>
  <c r="M152" i="6"/>
  <c r="K196" i="6"/>
  <c r="K21" i="6"/>
  <c r="M63" i="6"/>
  <c r="M82" i="6"/>
  <c r="M34" i="6"/>
  <c r="K139" i="6"/>
  <c r="M104" i="6"/>
  <c r="M113" i="6"/>
  <c r="M216" i="6"/>
  <c r="M144" i="6"/>
  <c r="M183" i="6"/>
  <c r="M65" i="6"/>
  <c r="M41" i="6"/>
  <c r="M153" i="6"/>
  <c r="M57" i="6"/>
  <c r="M55" i="6"/>
  <c r="M50" i="6"/>
  <c r="K155" i="6"/>
  <c r="M161" i="6"/>
  <c r="K70" i="6"/>
  <c r="M137" i="6"/>
  <c r="K84" i="6"/>
  <c r="M138" i="6"/>
  <c r="K103" i="6"/>
  <c r="K42" i="6"/>
  <c r="M105" i="6"/>
  <c r="M200" i="6"/>
  <c r="M120" i="6"/>
  <c r="M128" i="6"/>
  <c r="M127" i="6"/>
  <c r="M162" i="6"/>
  <c r="M175" i="6"/>
  <c r="M210" i="6"/>
  <c r="M74" i="6"/>
  <c r="K12" i="6"/>
  <c r="K117" i="6"/>
  <c r="K52" i="6"/>
  <c r="M72" i="6"/>
  <c r="K5" i="6"/>
  <c r="M207" i="6"/>
  <c r="M40" i="6"/>
  <c r="M177" i="6"/>
  <c r="K118" i="6"/>
  <c r="M167" i="6"/>
  <c r="M202" i="6"/>
  <c r="K172" i="6"/>
  <c r="M45" i="6"/>
  <c r="M75" i="6"/>
  <c r="K35" i="7"/>
  <c r="M6" i="7"/>
  <c r="M188" i="7"/>
  <c r="M179" i="7"/>
  <c r="M37" i="7"/>
  <c r="M203" i="7"/>
  <c r="M183" i="7"/>
  <c r="M116" i="7"/>
  <c r="M3" i="7"/>
  <c r="M131" i="7"/>
  <c r="M13" i="7"/>
  <c r="K36" i="6"/>
  <c r="M159" i="6"/>
  <c r="M111" i="6"/>
  <c r="M106" i="6"/>
  <c r="M66" i="6"/>
  <c r="K207" i="6"/>
  <c r="M95" i="6"/>
  <c r="K102" i="6"/>
  <c r="M168" i="6"/>
  <c r="M9" i="6"/>
  <c r="M169" i="6"/>
  <c r="K156" i="6"/>
  <c r="M32" i="6"/>
  <c r="M185" i="6"/>
  <c r="K45" i="6"/>
  <c r="K173" i="6"/>
  <c r="M25" i="6"/>
  <c r="M33" i="6"/>
  <c r="M145" i="6"/>
  <c r="K174" i="6"/>
  <c r="M206" i="6"/>
  <c r="M31" i="6"/>
  <c r="M186" i="6"/>
  <c r="K188" i="5"/>
  <c r="M57" i="5"/>
  <c r="M83" i="5"/>
  <c r="K215" i="5"/>
  <c r="K164" i="5"/>
  <c r="M38" i="5"/>
  <c r="M134" i="5"/>
  <c r="M164" i="6"/>
  <c r="M147" i="7"/>
  <c r="M52" i="6"/>
  <c r="M115" i="7"/>
  <c r="M118" i="6"/>
  <c r="M24" i="7"/>
  <c r="M140" i="6"/>
  <c r="M54" i="6"/>
  <c r="M154" i="7"/>
  <c r="M38" i="6"/>
  <c r="M197" i="7"/>
  <c r="K112" i="5"/>
  <c r="M202" i="5"/>
  <c r="K180" i="5"/>
  <c r="M212" i="7"/>
  <c r="M7" i="7"/>
  <c r="M70" i="6"/>
  <c r="M91" i="6"/>
  <c r="M59" i="7"/>
  <c r="M150" i="6"/>
  <c r="M165" i="6"/>
  <c r="M39" i="7"/>
  <c r="M196" i="6"/>
  <c r="M22" i="6"/>
  <c r="M213" i="7"/>
  <c r="M52" i="7"/>
  <c r="M16" i="7"/>
  <c r="M128" i="7"/>
  <c r="K68" i="6"/>
  <c r="M48" i="6"/>
  <c r="M143" i="6"/>
  <c r="M98" i="6"/>
  <c r="M23" i="6"/>
  <c r="K6" i="6"/>
  <c r="M96" i="6"/>
  <c r="M192" i="6"/>
  <c r="M209" i="6"/>
  <c r="M193" i="6"/>
  <c r="K60" i="6"/>
  <c r="M49" i="6"/>
  <c r="M56" i="6"/>
  <c r="M97" i="6"/>
  <c r="M17" i="6"/>
  <c r="K78" i="6"/>
  <c r="M176" i="6"/>
  <c r="M130" i="6"/>
  <c r="M178" i="6"/>
  <c r="M95" i="5"/>
  <c r="M63" i="5"/>
  <c r="M73" i="5"/>
  <c r="K68" i="5"/>
  <c r="M79" i="5"/>
  <c r="M100" i="6"/>
  <c r="M62" i="6"/>
  <c r="M112" i="7"/>
  <c r="M173" i="6"/>
  <c r="M36" i="6"/>
  <c r="M102" i="6"/>
  <c r="K37" i="6"/>
  <c r="K35" i="6"/>
  <c r="M64" i="6"/>
  <c r="M127" i="5"/>
  <c r="K72" i="5"/>
  <c r="K206" i="5"/>
  <c r="K79" i="5"/>
  <c r="M41" i="5"/>
  <c r="M123" i="6"/>
  <c r="M155" i="6"/>
  <c r="M212" i="6"/>
  <c r="M11" i="6"/>
  <c r="M204" i="6"/>
  <c r="M196" i="7"/>
  <c r="M3" i="6"/>
  <c r="M77" i="6"/>
  <c r="M181" i="7"/>
  <c r="M4" i="7"/>
  <c r="M117" i="6"/>
  <c r="M182" i="7"/>
  <c r="M165" i="7"/>
  <c r="M39" i="6"/>
  <c r="M5" i="6"/>
  <c r="M28" i="7"/>
  <c r="M55" i="7"/>
  <c r="M172" i="6"/>
  <c r="M86" i="7"/>
  <c r="M205" i="7"/>
  <c r="M109" i="7"/>
  <c r="M57" i="7"/>
  <c r="M141" i="7"/>
  <c r="K181" i="6"/>
  <c r="K96" i="6"/>
  <c r="K83" i="7"/>
  <c r="M8" i="7"/>
  <c r="M207" i="7"/>
  <c r="M29" i="7"/>
  <c r="M80" i="7"/>
  <c r="M51" i="7"/>
  <c r="M85" i="7"/>
  <c r="M12" i="7"/>
  <c r="M106" i="7"/>
  <c r="M45" i="7"/>
  <c r="K197" i="6"/>
  <c r="K182" i="6"/>
  <c r="K199" i="6"/>
  <c r="K171" i="6"/>
  <c r="M42" i="6"/>
  <c r="M47" i="6"/>
  <c r="M170" i="6"/>
  <c r="K125" i="6"/>
  <c r="K104" i="6"/>
  <c r="M79" i="6"/>
  <c r="M119" i="6"/>
  <c r="K126" i="6"/>
  <c r="M151" i="6"/>
  <c r="M58" i="6"/>
  <c r="M103" i="6"/>
  <c r="M116" i="5"/>
  <c r="M106" i="5"/>
  <c r="M182" i="6"/>
  <c r="M56" i="7"/>
  <c r="M69" i="6"/>
  <c r="M171" i="6"/>
  <c r="M133" i="7"/>
  <c r="M149" i="7"/>
  <c r="M77" i="7"/>
  <c r="M79" i="7"/>
  <c r="M9" i="7"/>
  <c r="M181" i="6"/>
  <c r="M53" i="6"/>
  <c r="M149" i="6"/>
  <c r="M187" i="6"/>
  <c r="M191" i="6"/>
  <c r="M84" i="6"/>
  <c r="M192" i="7"/>
  <c r="M120" i="7"/>
  <c r="M173" i="7"/>
  <c r="M87" i="7"/>
  <c r="M92" i="7"/>
  <c r="M36" i="7"/>
  <c r="M88" i="7"/>
  <c r="M123" i="7"/>
  <c r="M211" i="7"/>
  <c r="M139" i="7"/>
  <c r="K4" i="6"/>
  <c r="K132" i="6"/>
  <c r="M87" i="6"/>
  <c r="M122" i="6"/>
  <c r="M71" i="6"/>
  <c r="K213" i="6"/>
  <c r="M194" i="6"/>
  <c r="M199" i="6"/>
  <c r="K27" i="6"/>
  <c r="K124" i="6"/>
  <c r="M184" i="6"/>
  <c r="M129" i="6"/>
  <c r="M2" i="6"/>
  <c r="M24" i="6"/>
  <c r="M10" i="6"/>
  <c r="M80" i="6"/>
  <c r="M154" i="6"/>
  <c r="K202" i="5"/>
  <c r="M9" i="5"/>
  <c r="M39" i="5"/>
  <c r="M196" i="5"/>
  <c r="M89" i="5"/>
  <c r="K189" i="5"/>
  <c r="K178" i="5"/>
  <c r="K201" i="5"/>
  <c r="M113" i="5"/>
  <c r="K67" i="5"/>
  <c r="K106" i="5"/>
  <c r="M19" i="7"/>
  <c r="M6" i="6"/>
  <c r="M21" i="6"/>
  <c r="M158" i="6"/>
  <c r="M172" i="7"/>
  <c r="M189" i="7"/>
  <c r="M174" i="6"/>
  <c r="M90" i="7"/>
  <c r="M12" i="6"/>
  <c r="M156" i="7"/>
  <c r="K84" i="7"/>
  <c r="M84" i="7"/>
  <c r="M163" i="7"/>
  <c r="K48" i="6"/>
  <c r="M146" i="6"/>
  <c r="K166" i="6"/>
  <c r="M68" i="7"/>
  <c r="M169" i="7"/>
  <c r="M43" i="7"/>
  <c r="M113" i="7"/>
  <c r="K20" i="6"/>
  <c r="K148" i="6"/>
  <c r="K159" i="6"/>
  <c r="K101" i="6"/>
  <c r="K77" i="5"/>
  <c r="K78" i="5"/>
  <c r="M20" i="6"/>
  <c r="M139" i="6"/>
  <c r="M155" i="7"/>
  <c r="M27" i="6"/>
  <c r="M116" i="6"/>
  <c r="M61" i="6"/>
  <c r="M78" i="7"/>
  <c r="M117" i="7"/>
  <c r="M190" i="6"/>
  <c r="M215" i="7"/>
  <c r="M68" i="6"/>
  <c r="M117" i="5"/>
  <c r="K158" i="5"/>
  <c r="K26" i="5"/>
  <c r="K88" i="5"/>
  <c r="M135" i="5"/>
  <c r="M96" i="5"/>
  <c r="M32" i="5"/>
  <c r="M17" i="5"/>
  <c r="K210" i="5"/>
  <c r="K102" i="5"/>
  <c r="M177" i="5"/>
  <c r="M46" i="5"/>
  <c r="K105" i="5"/>
  <c r="K144" i="5"/>
  <c r="K177" i="5"/>
  <c r="K6" i="5"/>
  <c r="K23" i="5"/>
  <c r="K121" i="5"/>
  <c r="K74" i="5"/>
  <c r="M14" i="5"/>
  <c r="M190" i="5"/>
  <c r="K28" i="5"/>
  <c r="K87" i="5"/>
  <c r="M126" i="5"/>
  <c r="K200" i="5"/>
  <c r="K205" i="5"/>
  <c r="K30" i="5"/>
  <c r="K15" i="5"/>
  <c r="K54" i="5"/>
  <c r="K191" i="5"/>
  <c r="K166" i="5"/>
  <c r="K39" i="5"/>
  <c r="K110" i="5"/>
  <c r="K130" i="5"/>
  <c r="K169" i="5"/>
  <c r="M78" i="5"/>
  <c r="K65" i="5"/>
  <c r="M30" i="5"/>
  <c r="K24" i="5"/>
  <c r="K5" i="5"/>
  <c r="K149" i="5"/>
  <c r="K2" i="5"/>
  <c r="M124" i="5"/>
  <c r="K31" i="5"/>
  <c r="M54" i="5"/>
  <c r="M19" i="5"/>
  <c r="K11" i="5"/>
  <c r="M166" i="5"/>
  <c r="M68" i="5"/>
  <c r="M110" i="5"/>
  <c r="K20" i="5"/>
  <c r="K21" i="5"/>
  <c r="K165" i="5"/>
  <c r="M40" i="5"/>
  <c r="M210" i="5"/>
  <c r="K176" i="5"/>
  <c r="M20" i="5"/>
  <c r="M26" i="5"/>
  <c r="K33" i="5"/>
  <c r="K119" i="5"/>
  <c r="K127" i="5"/>
  <c r="K213" i="5"/>
  <c r="K184" i="5"/>
  <c r="M64" i="5"/>
  <c r="M215" i="5"/>
  <c r="M77" i="5"/>
  <c r="K173" i="5"/>
  <c r="K192" i="5"/>
  <c r="M178" i="5"/>
  <c r="M111" i="5"/>
  <c r="M182" i="5"/>
  <c r="M128" i="5"/>
  <c r="M195" i="5"/>
  <c r="M34" i="5"/>
  <c r="K37" i="5"/>
  <c r="K181" i="5"/>
  <c r="K40" i="5"/>
  <c r="M88" i="5"/>
  <c r="M104" i="5"/>
  <c r="M142" i="5"/>
  <c r="K29" i="5"/>
  <c r="M72" i="5"/>
  <c r="M150" i="5"/>
  <c r="M207" i="5"/>
  <c r="M169" i="5"/>
  <c r="M174" i="5"/>
  <c r="M81" i="5"/>
  <c r="K179" i="5"/>
  <c r="K96" i="5"/>
  <c r="K52" i="5"/>
  <c r="M175" i="5"/>
  <c r="M86" i="5"/>
  <c r="M105" i="5"/>
  <c r="K56" i="5"/>
  <c r="M92" i="5"/>
  <c r="M31" i="5"/>
  <c r="K90" i="5"/>
  <c r="M37" i="5"/>
  <c r="M181" i="5"/>
  <c r="K107" i="5"/>
  <c r="M6" i="5"/>
  <c r="M151" i="5"/>
  <c r="K134" i="5"/>
  <c r="M36" i="5"/>
  <c r="M149" i="5"/>
  <c r="M13" i="5"/>
  <c r="K151" i="5"/>
  <c r="M164" i="5"/>
  <c r="K44" i="5"/>
  <c r="M157" i="5"/>
  <c r="K60" i="5"/>
  <c r="M141" i="5"/>
  <c r="M45" i="5"/>
  <c r="M189" i="5"/>
  <c r="K138" i="5"/>
  <c r="K199" i="5"/>
  <c r="M172" i="5"/>
  <c r="M179" i="5"/>
  <c r="M140" i="5"/>
  <c r="M5" i="5"/>
  <c r="K18" i="5"/>
  <c r="M146" i="5"/>
  <c r="M12" i="5"/>
  <c r="K113" i="5"/>
  <c r="K84" i="5"/>
  <c r="M114" i="5"/>
  <c r="K76" i="5"/>
  <c r="M156" i="5"/>
  <c r="M33" i="5"/>
  <c r="M62" i="5"/>
  <c r="M173" i="5"/>
  <c r="M47" i="5"/>
  <c r="M98" i="5"/>
  <c r="M82" i="5"/>
  <c r="K34" i="5"/>
  <c r="K162" i="5"/>
  <c r="M18" i="5"/>
  <c r="M130" i="5"/>
  <c r="M67" i="5"/>
  <c r="K99" i="5"/>
  <c r="M35" i="5"/>
  <c r="M60" i="5"/>
  <c r="M74" i="5"/>
  <c r="M180" i="5"/>
  <c r="M69" i="5"/>
  <c r="K10" i="5"/>
  <c r="K154" i="5"/>
  <c r="K27" i="5"/>
  <c r="K155" i="5"/>
  <c r="M29" i="5"/>
  <c r="K41" i="5"/>
  <c r="K214" i="5"/>
  <c r="M123" i="5"/>
  <c r="K46" i="5"/>
  <c r="K50" i="5"/>
  <c r="M51" i="5"/>
  <c r="M94" i="5"/>
  <c r="K116" i="5"/>
  <c r="M99" i="5"/>
  <c r="M24" i="5"/>
  <c r="M115" i="5"/>
  <c r="K101" i="5"/>
  <c r="M118" i="5"/>
  <c r="K170" i="5"/>
  <c r="M129" i="5"/>
  <c r="M139" i="5"/>
  <c r="K104" i="5"/>
  <c r="K43" i="5"/>
  <c r="K187" i="5"/>
  <c r="M136" i="5"/>
  <c r="M8" i="5"/>
  <c r="M194" i="5"/>
  <c r="K61" i="5"/>
  <c r="K108" i="5"/>
  <c r="M71" i="5"/>
  <c r="M91" i="5"/>
  <c r="M61" i="5"/>
  <c r="M143" i="5"/>
  <c r="K109" i="5"/>
  <c r="M153" i="5"/>
  <c r="M22" i="5"/>
  <c r="M159" i="5"/>
  <c r="M203" i="5"/>
  <c r="K66" i="5"/>
  <c r="M21" i="5"/>
  <c r="M119" i="5"/>
  <c r="M97" i="5"/>
  <c r="K3" i="5"/>
  <c r="K131" i="5"/>
  <c r="M167" i="5"/>
  <c r="K4" i="5"/>
  <c r="M52" i="5"/>
  <c r="M93" i="5"/>
  <c r="K117" i="5"/>
  <c r="K42" i="5"/>
  <c r="M100" i="5"/>
  <c r="M120" i="5"/>
  <c r="K59" i="5"/>
  <c r="K198" i="5"/>
  <c r="K136" i="5"/>
  <c r="K8" i="5"/>
  <c r="M25" i="5"/>
  <c r="M16" i="5"/>
  <c r="M163" i="5"/>
  <c r="M80" i="5"/>
  <c r="K125" i="5"/>
  <c r="M112" i="5"/>
  <c r="M206" i="5"/>
  <c r="M205" i="5"/>
  <c r="M49" i="5"/>
  <c r="M188" i="5"/>
  <c r="M211" i="5"/>
  <c r="M145" i="5"/>
  <c r="K147" i="5"/>
  <c r="M213" i="5"/>
  <c r="M108" i="5"/>
  <c r="M7" i="5"/>
  <c r="M183" i="5"/>
  <c r="K133" i="5"/>
  <c r="M56" i="5"/>
  <c r="M161" i="5"/>
  <c r="M102" i="5"/>
  <c r="K58" i="5"/>
  <c r="K197" i="5"/>
  <c r="M28" i="5"/>
  <c r="M85" i="5"/>
  <c r="K120" i="5"/>
  <c r="K75" i="5"/>
  <c r="K212" i="5"/>
  <c r="K135" i="5"/>
  <c r="K38" i="5"/>
  <c r="M43" i="5"/>
  <c r="M152" i="5"/>
  <c r="K85" i="6"/>
  <c r="K9" i="6"/>
  <c r="K44" i="6"/>
  <c r="K189" i="6"/>
  <c r="K25" i="6"/>
  <c r="K147" i="6"/>
  <c r="K130" i="6"/>
  <c r="K178" i="6"/>
  <c r="K191" i="6"/>
  <c r="K134" i="6"/>
  <c r="K188" i="6"/>
  <c r="K205" i="6"/>
  <c r="K63" i="6"/>
  <c r="K82" i="6"/>
  <c r="K34" i="6"/>
  <c r="K19" i="6"/>
  <c r="K163" i="6"/>
  <c r="K76" i="6"/>
  <c r="K93" i="6"/>
  <c r="K17" i="6"/>
  <c r="K94" i="6"/>
  <c r="K176" i="6"/>
  <c r="K179" i="6"/>
  <c r="K92" i="6"/>
  <c r="K109" i="6"/>
  <c r="K119" i="6"/>
  <c r="K110" i="6"/>
  <c r="K151" i="6"/>
  <c r="K58" i="6"/>
  <c r="K67" i="6"/>
  <c r="K195" i="6"/>
  <c r="K64" i="6"/>
  <c r="K108" i="6"/>
  <c r="K144" i="6"/>
  <c r="K83" i="6"/>
  <c r="K211" i="6"/>
  <c r="K154" i="6"/>
  <c r="K198" i="6"/>
  <c r="K13" i="6"/>
  <c r="K141" i="6"/>
  <c r="K14" i="6"/>
  <c r="K142" i="6"/>
  <c r="K99" i="6"/>
  <c r="K152" i="6"/>
  <c r="K161" i="6"/>
  <c r="K86" i="6"/>
  <c r="K214" i="6"/>
  <c r="K43" i="6"/>
  <c r="K29" i="6"/>
  <c r="K157" i="6"/>
  <c r="K129" i="6"/>
  <c r="K30" i="6"/>
  <c r="K24" i="6"/>
  <c r="K10" i="6"/>
  <c r="K80" i="6"/>
  <c r="K115" i="6"/>
  <c r="K31" i="6"/>
  <c r="K186" i="6"/>
  <c r="K180" i="6"/>
  <c r="K133" i="6"/>
  <c r="K128" i="6"/>
  <c r="K28" i="6"/>
  <c r="K46" i="6"/>
  <c r="K26" i="6"/>
  <c r="K90" i="6"/>
  <c r="K131" i="6"/>
  <c r="K137" i="6"/>
  <c r="AO22" i="1"/>
  <c r="AS22" i="1" s="1"/>
  <c r="AO23" i="1"/>
  <c r="AO67" i="1"/>
  <c r="AO66" i="1"/>
  <c r="AO68" i="1"/>
  <c r="AO24" i="1"/>
  <c r="AO57" i="1"/>
  <c r="AO135" i="1"/>
  <c r="AO152" i="1"/>
  <c r="AS152" i="1" s="1"/>
  <c r="AO153" i="1"/>
  <c r="AO71" i="1"/>
  <c r="AO69" i="1"/>
  <c r="AO70" i="1"/>
  <c r="AO140" i="1"/>
  <c r="AO141" i="1"/>
  <c r="AO142" i="1"/>
  <c r="AO143" i="1"/>
  <c r="AS143" i="1" s="1"/>
  <c r="AO58" i="1"/>
  <c r="AO33" i="1"/>
  <c r="AO126" i="1"/>
  <c r="AO105" i="1"/>
  <c r="AO2" i="1"/>
  <c r="AO106" i="1"/>
  <c r="AS106" i="1" s="1"/>
  <c r="AO150" i="1"/>
  <c r="AO107" i="1"/>
  <c r="AS107" i="1" s="1"/>
  <c r="AO3" i="1"/>
  <c r="AO4" i="1"/>
  <c r="AO5" i="1"/>
  <c r="AO6" i="1"/>
  <c r="AO7" i="1"/>
  <c r="AO8" i="1"/>
  <c r="AO127" i="1"/>
  <c r="AO80" i="1"/>
  <c r="AS80" i="1" s="1"/>
  <c r="AO59" i="1"/>
  <c r="AO78" i="1"/>
  <c r="AO79" i="1"/>
  <c r="AO25" i="1"/>
  <c r="AO109" i="1"/>
  <c r="AO108" i="1"/>
  <c r="AO110" i="1"/>
  <c r="AO72" i="1"/>
  <c r="AS72" i="1" s="1"/>
  <c r="AO81" i="1"/>
  <c r="AO119" i="1"/>
  <c r="AO82" i="1"/>
  <c r="AO120" i="1"/>
  <c r="AO88" i="1"/>
  <c r="AO89" i="1"/>
  <c r="AS89" i="1" s="1"/>
  <c r="AO90" i="1"/>
  <c r="AO144" i="1"/>
  <c r="AS144" i="1" s="1"/>
  <c r="AO121" i="1"/>
  <c r="AO36" i="1"/>
  <c r="AO34" i="1"/>
  <c r="AO35" i="1"/>
  <c r="AO111" i="1"/>
  <c r="AO83" i="1"/>
  <c r="AO112" i="1"/>
  <c r="AO9" i="1"/>
  <c r="AS9" i="1" s="1"/>
  <c r="AO122" i="1"/>
  <c r="AO91" i="1"/>
  <c r="AO113" i="1"/>
  <c r="AO114" i="1"/>
  <c r="AO136" i="1"/>
  <c r="AO128" i="1"/>
  <c r="AO115" i="1"/>
  <c r="AO145" i="1"/>
  <c r="AS145" i="1" s="1"/>
  <c r="AO151" i="1"/>
  <c r="AO84" i="1"/>
  <c r="AO85" i="1"/>
  <c r="AO60" i="1"/>
  <c r="AO37" i="1"/>
  <c r="AO38" i="1"/>
  <c r="AO39" i="1"/>
  <c r="AO41" i="1"/>
  <c r="AS41" i="1" s="1"/>
  <c r="AO40" i="1"/>
  <c r="AO75" i="1"/>
  <c r="AO74" i="1"/>
  <c r="AO73" i="1"/>
  <c r="AO147" i="1"/>
  <c r="AO42" i="1"/>
  <c r="AO148" i="1"/>
  <c r="AO146" i="1"/>
  <c r="AS146" i="1" s="1"/>
  <c r="AO43" i="1"/>
  <c r="AO26" i="1"/>
  <c r="AO86" i="1"/>
  <c r="AO27" i="1"/>
  <c r="AO12" i="1"/>
  <c r="AO10" i="1"/>
  <c r="AO11" i="1"/>
  <c r="AO129" i="1"/>
  <c r="AS129" i="1" s="1"/>
  <c r="AO137" i="1"/>
  <c r="AO130" i="1"/>
  <c r="AO131" i="1"/>
  <c r="AO28" i="1"/>
  <c r="AO44" i="1"/>
  <c r="AO87" i="1"/>
  <c r="AO45" i="1"/>
  <c r="AO61" i="1"/>
  <c r="AS61" i="1" s="1"/>
  <c r="AO13" i="1"/>
  <c r="AO76" i="1"/>
  <c r="AO29" i="1"/>
  <c r="AS29" i="1" s="1"/>
  <c r="AO30" i="1"/>
  <c r="AS30" i="1" s="1"/>
  <c r="AO93" i="1"/>
  <c r="AO92" i="1"/>
  <c r="AS92" i="1" s="1"/>
  <c r="AO46" i="1"/>
  <c r="AO47" i="1"/>
  <c r="AS47" i="1" s="1"/>
  <c r="AO116" i="1"/>
  <c r="AO117" i="1"/>
  <c r="AO118" i="1"/>
  <c r="AO48" i="1"/>
  <c r="AO49" i="1"/>
  <c r="AO132" i="1"/>
  <c r="AO50" i="1"/>
  <c r="AO51" i="1"/>
  <c r="AO52" i="1"/>
  <c r="AO62" i="1"/>
  <c r="AO53" i="1"/>
  <c r="AO63" i="1"/>
  <c r="AO54" i="1"/>
  <c r="AO55" i="1"/>
  <c r="AS55" i="1" s="1"/>
  <c r="AO77" i="1"/>
  <c r="AO138" i="1"/>
  <c r="AS138" i="1" s="1"/>
  <c r="AO64" i="1"/>
  <c r="AO65" i="1"/>
  <c r="AO94" i="1"/>
  <c r="AO31" i="1"/>
  <c r="AO32" i="1"/>
  <c r="AO95" i="1"/>
  <c r="AO96" i="1"/>
  <c r="AO97" i="1"/>
  <c r="AS97" i="1" s="1"/>
  <c r="AO98" i="1"/>
  <c r="AO99" i="1"/>
  <c r="AO100" i="1"/>
  <c r="AO101" i="1"/>
  <c r="AO102" i="1"/>
  <c r="AO103" i="1"/>
  <c r="AS103" i="1" s="1"/>
  <c r="AO104" i="1"/>
  <c r="AO124" i="1"/>
  <c r="AS124" i="1" s="1"/>
  <c r="AO123" i="1"/>
  <c r="AO125" i="1"/>
  <c r="AO14" i="1"/>
  <c r="AO133" i="1"/>
  <c r="AO15" i="1"/>
  <c r="AO16" i="1"/>
  <c r="AO17" i="1"/>
  <c r="AO134" i="1"/>
  <c r="AO18" i="1"/>
  <c r="AO19" i="1"/>
  <c r="AO20" i="1"/>
  <c r="AO149" i="1"/>
  <c r="AO56" i="1"/>
  <c r="AO139" i="1"/>
  <c r="AS139" i="1" s="1"/>
  <c r="AO21" i="1"/>
  <c r="X10" i="1"/>
  <c r="X41" i="1"/>
  <c r="X112" i="1"/>
  <c r="X35" i="1"/>
  <c r="X34" i="1"/>
  <c r="X36" i="1"/>
  <c r="X78" i="1"/>
  <c r="X59" i="1"/>
  <c r="X70" i="1"/>
  <c r="X66" i="1"/>
  <c r="X67" i="1"/>
  <c r="AN139" i="1"/>
  <c r="AN56" i="1"/>
  <c r="AN149" i="1"/>
  <c r="AN20" i="1"/>
  <c r="AN19" i="1"/>
  <c r="AN18" i="1"/>
  <c r="AN134" i="1"/>
  <c r="AN17" i="1"/>
  <c r="AN16" i="1"/>
  <c r="AN15" i="1"/>
  <c r="AN133" i="1"/>
  <c r="AN14" i="1"/>
  <c r="AN125" i="1"/>
  <c r="AN123" i="1"/>
  <c r="AN124" i="1"/>
  <c r="AN104" i="1"/>
  <c r="AN103" i="1"/>
  <c r="AN102" i="1"/>
  <c r="AN101" i="1"/>
  <c r="AN100" i="1"/>
  <c r="AN99" i="1"/>
  <c r="AN98" i="1"/>
  <c r="AN97" i="1"/>
  <c r="AN96" i="1"/>
  <c r="AN95" i="1"/>
  <c r="AN32" i="1"/>
  <c r="AN31" i="1"/>
  <c r="AN94" i="1"/>
  <c r="AN65" i="1"/>
  <c r="AN64" i="1"/>
  <c r="AN138" i="1"/>
  <c r="AN77" i="1"/>
  <c r="AN55" i="1"/>
  <c r="AN63" i="1"/>
  <c r="AN53" i="1"/>
  <c r="AN62" i="1"/>
  <c r="AN52" i="1"/>
  <c r="AN51" i="1"/>
  <c r="AN50" i="1"/>
  <c r="AN132" i="1"/>
  <c r="AN49" i="1"/>
  <c r="AN48" i="1"/>
  <c r="AN118" i="1"/>
  <c r="AN117" i="1"/>
  <c r="AN116" i="1"/>
  <c r="AN47" i="1"/>
  <c r="AN46" i="1"/>
  <c r="AN92" i="1"/>
  <c r="AN93" i="1"/>
  <c r="AN30" i="1"/>
  <c r="AN29" i="1"/>
  <c r="AN76" i="1"/>
  <c r="AN13" i="1"/>
  <c r="AN61" i="1"/>
  <c r="AN45" i="1"/>
  <c r="AN87" i="1"/>
  <c r="AN44" i="1"/>
  <c r="AN28" i="1"/>
  <c r="AN131" i="1"/>
  <c r="AN130" i="1"/>
  <c r="AN137" i="1"/>
  <c r="AN129" i="1"/>
  <c r="AN11" i="1"/>
  <c r="AN10" i="1"/>
  <c r="AN12" i="1"/>
  <c r="AN86" i="1"/>
  <c r="AN26" i="1"/>
  <c r="AN43" i="1"/>
  <c r="AN146" i="1"/>
  <c r="AN148" i="1"/>
  <c r="AN42" i="1"/>
  <c r="AN147" i="1"/>
  <c r="AN73" i="1"/>
  <c r="AN74" i="1"/>
  <c r="AN75" i="1"/>
  <c r="AN40" i="1"/>
  <c r="AN41" i="1"/>
  <c r="AN39" i="1"/>
  <c r="AN38" i="1"/>
  <c r="AN37" i="1"/>
  <c r="AN60" i="1"/>
  <c r="AN85" i="1"/>
  <c r="AN84" i="1"/>
  <c r="AN151" i="1"/>
  <c r="AN145" i="1"/>
  <c r="AN115" i="1"/>
  <c r="AN128" i="1"/>
  <c r="AN136" i="1"/>
  <c r="AN114" i="1"/>
  <c r="AN113" i="1"/>
  <c r="AN91" i="1"/>
  <c r="AN122" i="1"/>
  <c r="AN9" i="1"/>
  <c r="AN112" i="1"/>
  <c r="AN83" i="1"/>
  <c r="AN111" i="1"/>
  <c r="AN35" i="1"/>
  <c r="AN34" i="1"/>
  <c r="AN36" i="1"/>
  <c r="AN121" i="1"/>
  <c r="AN144" i="1"/>
  <c r="AN90" i="1"/>
  <c r="AN89" i="1"/>
  <c r="AN88" i="1"/>
  <c r="AN120" i="1"/>
  <c r="AN82" i="1"/>
  <c r="AN119" i="1"/>
  <c r="AN81" i="1"/>
  <c r="AN72" i="1"/>
  <c r="AN110" i="1"/>
  <c r="AN108" i="1"/>
  <c r="AN109" i="1"/>
  <c r="AN25" i="1"/>
  <c r="AN79" i="1"/>
  <c r="AN78" i="1"/>
  <c r="AN59" i="1"/>
  <c r="AN80" i="1"/>
  <c r="AN127" i="1"/>
  <c r="AN8" i="1"/>
  <c r="AN7" i="1"/>
  <c r="AN6" i="1"/>
  <c r="AN5" i="1"/>
  <c r="AN4" i="1"/>
  <c r="AN3" i="1"/>
  <c r="AN107" i="1"/>
  <c r="AN150" i="1"/>
  <c r="AN106" i="1"/>
  <c r="AN2" i="1"/>
  <c r="AN105" i="1"/>
  <c r="AN126" i="1"/>
  <c r="AN33" i="1"/>
  <c r="AN58" i="1"/>
  <c r="AN143" i="1"/>
  <c r="AN142" i="1"/>
  <c r="AN141" i="1"/>
  <c r="AN140" i="1"/>
  <c r="AN70" i="1"/>
  <c r="AN69" i="1"/>
  <c r="AN71" i="1"/>
  <c r="AN153" i="1"/>
  <c r="AN152" i="1"/>
  <c r="AN135" i="1"/>
  <c r="AN57" i="1"/>
  <c r="AN24" i="1"/>
  <c r="AN68" i="1"/>
  <c r="AN66" i="1"/>
  <c r="AN67" i="1"/>
  <c r="AN23" i="1"/>
  <c r="AN22" i="1"/>
  <c r="AN21" i="1"/>
  <c r="AI56" i="1"/>
  <c r="AI134" i="1"/>
  <c r="AI104" i="1"/>
  <c r="AI103" i="1"/>
  <c r="AI102" i="1"/>
  <c r="AI101" i="1"/>
  <c r="AI100" i="1"/>
  <c r="AI99" i="1"/>
  <c r="AI98" i="1"/>
  <c r="AI97" i="1"/>
  <c r="AI96" i="1"/>
  <c r="AI95" i="1"/>
  <c r="AI117" i="1"/>
  <c r="AI60" i="1"/>
  <c r="AI145" i="1"/>
  <c r="AI115" i="1"/>
  <c r="AI128" i="1"/>
  <c r="AI114" i="1"/>
  <c r="AI91" i="1"/>
  <c r="AI72" i="1"/>
  <c r="AI127" i="1"/>
  <c r="AI150" i="1"/>
  <c r="AI105" i="1"/>
  <c r="AI152" i="1"/>
  <c r="AI135" i="1"/>
  <c r="Z57" i="1"/>
  <c r="Z104" i="1"/>
  <c r="Z103" i="1"/>
  <c r="Z102" i="1"/>
  <c r="Z101" i="1"/>
  <c r="Z100" i="1"/>
  <c r="Z99" i="1"/>
  <c r="Z98" i="1"/>
  <c r="Z97" i="1"/>
  <c r="Z96" i="1"/>
  <c r="Z95" i="1"/>
  <c r="Z33" i="1"/>
  <c r="X15" i="1"/>
  <c r="X124" i="1"/>
  <c r="X61" i="1"/>
  <c r="X12" i="1"/>
  <c r="X73" i="1"/>
  <c r="X74" i="1"/>
  <c r="X75" i="1"/>
  <c r="X9" i="1"/>
  <c r="X109" i="1"/>
  <c r="X80" i="1"/>
  <c r="X24" i="1"/>
  <c r="AI139" i="1"/>
  <c r="AI149" i="1"/>
  <c r="AI15" i="1"/>
  <c r="AI133" i="1"/>
  <c r="AI125" i="1"/>
  <c r="AI123" i="1"/>
  <c r="AI94" i="1"/>
  <c r="AI77" i="1"/>
  <c r="AI55" i="1"/>
  <c r="AI54" i="1"/>
  <c r="AI63" i="1"/>
  <c r="AI50" i="1"/>
  <c r="AI118" i="1"/>
  <c r="AI116" i="1"/>
  <c r="AI92" i="1"/>
  <c r="AI13" i="1"/>
  <c r="AI45" i="1"/>
  <c r="X45" i="1" s="1"/>
  <c r="AI11" i="1"/>
  <c r="X11" i="1" s="1"/>
  <c r="AI42" i="1"/>
  <c r="AI147" i="1"/>
  <c r="AI136" i="1"/>
  <c r="AI122" i="1"/>
  <c r="Z20" i="1"/>
  <c r="Z19" i="1"/>
  <c r="Z18" i="1"/>
  <c r="Z15" i="1"/>
  <c r="Z125" i="1"/>
  <c r="Z123" i="1"/>
  <c r="X123" i="1" s="1"/>
  <c r="Z53" i="1"/>
  <c r="AI53" i="1" s="1"/>
  <c r="Z52" i="1"/>
  <c r="Z51" i="1"/>
  <c r="Z50" i="1"/>
  <c r="Z92" i="1"/>
  <c r="Z13" i="1"/>
  <c r="Z131" i="1"/>
  <c r="Z130" i="1"/>
  <c r="Z11" i="1"/>
  <c r="Z146" i="1"/>
  <c r="Z148" i="1"/>
  <c r="Z147" i="1"/>
  <c r="Z73" i="1"/>
  <c r="Z74" i="1"/>
  <c r="Z120" i="1"/>
  <c r="Z119" i="1"/>
  <c r="Z108" i="1"/>
  <c r="Z109" i="1"/>
  <c r="Z79" i="1"/>
  <c r="X79" i="1" s="1"/>
  <c r="Z105" i="1"/>
  <c r="Z70" i="1"/>
  <c r="Z69" i="1"/>
  <c r="X69" i="1" s="1"/>
  <c r="Z71" i="1"/>
  <c r="X71" i="1" s="1"/>
  <c r="Z66" i="1"/>
  <c r="Z23" i="1"/>
  <c r="Z22" i="1"/>
  <c r="V139" i="1"/>
  <c r="V149" i="1"/>
  <c r="V49" i="1"/>
  <c r="Z49" i="1" s="1"/>
  <c r="V48" i="1"/>
  <c r="Z48" i="1" s="1"/>
  <c r="V118" i="1"/>
  <c r="V116" i="1"/>
  <c r="V146" i="1"/>
  <c r="V148" i="1"/>
  <c r="V42" i="1"/>
  <c r="V147" i="1"/>
  <c r="V151" i="1"/>
  <c r="AI151" i="1" s="1"/>
  <c r="V122" i="1"/>
  <c r="V59" i="1"/>
  <c r="V143" i="1"/>
  <c r="AI143" i="1" s="1"/>
  <c r="V142" i="1"/>
  <c r="AI142" i="1" s="1"/>
  <c r="V141" i="1"/>
  <c r="AI141" i="1" s="1"/>
  <c r="V140" i="1"/>
  <c r="AI140" i="1" s="1"/>
  <c r="V153" i="1"/>
  <c r="AI153" i="1" s="1"/>
  <c r="AS42" i="1" l="1"/>
  <c r="AT42" i="1" s="1"/>
  <c r="AS8" i="1"/>
  <c r="AT8" i="1" s="1"/>
  <c r="AS57" i="1"/>
  <c r="AT57" i="1" s="1"/>
  <c r="AS10" i="1"/>
  <c r="AT10" i="1" s="1"/>
  <c r="AS141" i="1"/>
  <c r="AT141" i="1" s="1"/>
  <c r="AS44" i="1"/>
  <c r="AT44" i="1" s="1"/>
  <c r="AS37" i="1"/>
  <c r="AT37" i="1" s="1"/>
  <c r="AS7" i="1"/>
  <c r="AT7" i="1" s="1"/>
  <c r="AS70" i="1"/>
  <c r="AT70" i="1" s="1"/>
  <c r="AS33" i="1"/>
  <c r="AT33" i="1" s="1"/>
  <c r="AS91" i="1"/>
  <c r="AT91" i="1" s="1"/>
  <c r="AS84" i="1"/>
  <c r="AT84" i="1" s="1"/>
  <c r="AS26" i="1"/>
  <c r="AT26" i="1" s="1"/>
  <c r="AS76" i="1"/>
  <c r="AT76" i="1" s="1"/>
  <c r="AS117" i="1"/>
  <c r="AT117" i="1" s="1"/>
  <c r="AS19" i="1"/>
  <c r="AT19" i="1" s="1"/>
  <c r="AS21" i="1"/>
  <c r="AT21" i="1" s="1"/>
  <c r="AS17" i="1"/>
  <c r="AT17" i="1" s="1"/>
  <c r="AS104" i="1"/>
  <c r="AT104" i="1" s="1"/>
  <c r="AS96" i="1"/>
  <c r="AT96" i="1" s="1"/>
  <c r="AS77" i="1"/>
  <c r="AT77" i="1" s="1"/>
  <c r="AS50" i="1"/>
  <c r="AT50" i="1" s="1"/>
  <c r="AS46" i="1"/>
  <c r="AT46" i="1" s="1"/>
  <c r="AS45" i="1"/>
  <c r="AT45" i="1" s="1"/>
  <c r="AS11" i="1"/>
  <c r="AT11" i="1" s="1"/>
  <c r="AS148" i="1"/>
  <c r="AT148" i="1" s="1"/>
  <c r="AS39" i="1"/>
  <c r="AT39" i="1" s="1"/>
  <c r="AS115" i="1"/>
  <c r="AT115" i="1" s="1"/>
  <c r="AS112" i="1"/>
  <c r="AT112" i="1" s="1"/>
  <c r="AS90" i="1"/>
  <c r="AT90" i="1" s="1"/>
  <c r="AS110" i="1"/>
  <c r="AT110" i="1" s="1"/>
  <c r="AS127" i="1"/>
  <c r="AT127" i="1" s="1"/>
  <c r="AS150" i="1"/>
  <c r="AT150" i="1" s="1"/>
  <c r="AS142" i="1"/>
  <c r="AT142" i="1" s="1"/>
  <c r="AS135" i="1"/>
  <c r="AT135" i="1" s="1"/>
  <c r="AS68" i="1"/>
  <c r="AT68" i="1" s="1"/>
  <c r="AS24" i="1"/>
  <c r="AT24" i="1" s="1"/>
  <c r="AS140" i="1"/>
  <c r="AT140" i="1" s="1"/>
  <c r="AS109" i="1"/>
  <c r="AT109" i="1" s="1"/>
  <c r="AS136" i="1"/>
  <c r="AT136" i="1" s="1"/>
  <c r="AS147" i="1"/>
  <c r="AT147" i="1" s="1"/>
  <c r="AS93" i="1"/>
  <c r="AT93" i="1" s="1"/>
  <c r="AS54" i="1"/>
  <c r="AT54" i="1" s="1"/>
  <c r="AS32" i="1"/>
  <c r="AT32" i="1" s="1"/>
  <c r="AS102" i="1"/>
  <c r="AT102" i="1" s="1"/>
  <c r="AS67" i="1"/>
  <c r="AT67" i="1" s="1"/>
  <c r="AS4" i="1"/>
  <c r="AT4" i="1" s="1"/>
  <c r="AS36" i="1"/>
  <c r="AT36" i="1" s="1"/>
  <c r="AS119" i="1"/>
  <c r="AT119" i="1" s="1"/>
  <c r="AS71" i="1"/>
  <c r="AT71" i="1" s="1"/>
  <c r="AS78" i="1"/>
  <c r="AT78" i="1" s="1"/>
  <c r="AS75" i="1"/>
  <c r="AT75" i="1" s="1"/>
  <c r="AS130" i="1"/>
  <c r="AT130" i="1" s="1"/>
  <c r="AS65" i="1"/>
  <c r="AT65" i="1" s="1"/>
  <c r="AS56" i="1"/>
  <c r="AT56" i="1" s="1"/>
  <c r="AS49" i="1"/>
  <c r="AT49" i="1" s="1"/>
  <c r="AS111" i="1"/>
  <c r="AT111" i="1" s="1"/>
  <c r="AS108" i="1"/>
  <c r="AT108" i="1" s="1"/>
  <c r="AT89" i="1"/>
  <c r="AS83" i="1"/>
  <c r="AT83" i="1" s="1"/>
  <c r="AS128" i="1"/>
  <c r="AT128" i="1" s="1"/>
  <c r="AS38" i="1"/>
  <c r="AT38" i="1" s="1"/>
  <c r="AS87" i="1"/>
  <c r="AT87" i="1" s="1"/>
  <c r="AT92" i="1"/>
  <c r="AS132" i="1"/>
  <c r="AT132" i="1" s="1"/>
  <c r="AS95" i="1"/>
  <c r="AT95" i="1" s="1"/>
  <c r="AS16" i="1"/>
  <c r="AT16" i="1" s="1"/>
  <c r="AS23" i="1"/>
  <c r="AT23" i="1" s="1"/>
  <c r="AS153" i="1"/>
  <c r="AT153" i="1" s="1"/>
  <c r="AS58" i="1"/>
  <c r="AT58" i="1" s="1"/>
  <c r="AS3" i="1"/>
  <c r="AT3" i="1" s="1"/>
  <c r="AS59" i="1"/>
  <c r="AT59" i="1" s="1"/>
  <c r="AS81" i="1"/>
  <c r="AT81" i="1" s="1"/>
  <c r="AS121" i="1"/>
  <c r="AT121" i="1" s="1"/>
  <c r="AS122" i="1"/>
  <c r="AT122" i="1" s="1"/>
  <c r="AS151" i="1"/>
  <c r="AT151" i="1" s="1"/>
  <c r="AS40" i="1"/>
  <c r="AT40" i="1" s="1"/>
  <c r="AS43" i="1"/>
  <c r="AT43" i="1" s="1"/>
  <c r="AS137" i="1"/>
  <c r="AT137" i="1" s="1"/>
  <c r="AS13" i="1"/>
  <c r="AT13" i="1" s="1"/>
  <c r="AS116" i="1"/>
  <c r="AT116" i="1" s="1"/>
  <c r="AS52" i="1"/>
  <c r="AT52" i="1" s="1"/>
  <c r="AS64" i="1"/>
  <c r="AT64" i="1" s="1"/>
  <c r="AS123" i="1"/>
  <c r="AT123" i="1" s="1"/>
  <c r="AS18" i="1"/>
  <c r="AT18" i="1" s="1"/>
  <c r="AS15" i="1"/>
  <c r="AT15" i="1" s="1"/>
  <c r="AS12" i="1"/>
  <c r="AT12" i="1" s="1"/>
  <c r="AS88" i="1"/>
  <c r="AT88" i="1" s="1"/>
  <c r="AS2" i="1"/>
  <c r="AT2" i="1" s="1"/>
  <c r="AT106" i="1"/>
  <c r="AT55" i="1"/>
  <c r="AT103" i="1"/>
  <c r="AS125" i="1"/>
  <c r="AT125" i="1" s="1"/>
  <c r="AS99" i="1"/>
  <c r="AT99" i="1" s="1"/>
  <c r="AS62" i="1"/>
  <c r="AT62" i="1" s="1"/>
  <c r="AS98" i="1"/>
  <c r="AT98" i="1" s="1"/>
  <c r="AS134" i="1"/>
  <c r="AT134" i="1" s="1"/>
  <c r="AS51" i="1"/>
  <c r="AT51" i="1" s="1"/>
  <c r="AT47" i="1"/>
  <c r="AS105" i="1"/>
  <c r="AT105" i="1" s="1"/>
  <c r="AS6" i="1"/>
  <c r="AT6" i="1" s="1"/>
  <c r="AS25" i="1"/>
  <c r="AT25" i="1" s="1"/>
  <c r="AS120" i="1"/>
  <c r="AT120" i="1" s="1"/>
  <c r="AS35" i="1"/>
  <c r="AT35" i="1" s="1"/>
  <c r="AS114" i="1"/>
  <c r="AT114" i="1" s="1"/>
  <c r="AS60" i="1"/>
  <c r="AT60" i="1" s="1"/>
  <c r="AS73" i="1"/>
  <c r="AT73" i="1" s="1"/>
  <c r="AS27" i="1"/>
  <c r="AT27" i="1" s="1"/>
  <c r="AS28" i="1"/>
  <c r="AT28" i="1" s="1"/>
  <c r="AT30" i="1"/>
  <c r="AS48" i="1"/>
  <c r="AT48" i="1" s="1"/>
  <c r="AS63" i="1"/>
  <c r="AT63" i="1" s="1"/>
  <c r="AS31" i="1"/>
  <c r="AT31" i="1" s="1"/>
  <c r="AS101" i="1"/>
  <c r="AT101" i="1" s="1"/>
  <c r="AS133" i="1"/>
  <c r="AT133" i="1" s="1"/>
  <c r="AS149" i="1"/>
  <c r="AT149" i="1" s="1"/>
  <c r="AS66" i="1"/>
  <c r="AT66" i="1" s="1"/>
  <c r="AS69" i="1"/>
  <c r="AT69" i="1" s="1"/>
  <c r="AS126" i="1"/>
  <c r="AT126" i="1" s="1"/>
  <c r="AS5" i="1"/>
  <c r="AT5" i="1" s="1"/>
  <c r="AS79" i="1"/>
  <c r="AT79" i="1" s="1"/>
  <c r="AS82" i="1"/>
  <c r="AT82" i="1" s="1"/>
  <c r="AS34" i="1"/>
  <c r="AT34" i="1" s="1"/>
  <c r="AS113" i="1"/>
  <c r="AT113" i="1" s="1"/>
  <c r="AS85" i="1"/>
  <c r="AT85" i="1" s="1"/>
  <c r="AS74" i="1"/>
  <c r="AT74" i="1" s="1"/>
  <c r="AS86" i="1"/>
  <c r="AT86" i="1" s="1"/>
  <c r="AS131" i="1"/>
  <c r="AT131" i="1" s="1"/>
  <c r="AT29" i="1"/>
  <c r="AS118" i="1"/>
  <c r="AT118" i="1" s="1"/>
  <c r="AS53" i="1"/>
  <c r="AT53" i="1" s="1"/>
  <c r="AS94" i="1"/>
  <c r="AT94" i="1" s="1"/>
  <c r="AS100" i="1"/>
  <c r="AT100" i="1" s="1"/>
  <c r="AS14" i="1"/>
  <c r="AT14" i="1" s="1"/>
  <c r="AS20" i="1"/>
  <c r="AT20" i="1" s="1"/>
  <c r="AT139" i="1"/>
  <c r="AT22" i="1"/>
  <c r="AT152" i="1"/>
  <c r="AT143" i="1"/>
  <c r="AT107" i="1"/>
  <c r="AT80" i="1"/>
  <c r="AT72" i="1"/>
  <c r="AT144" i="1"/>
  <c r="AT9" i="1"/>
  <c r="AT145" i="1"/>
  <c r="AT41" i="1"/>
  <c r="AT146" i="1"/>
  <c r="AT129" i="1"/>
  <c r="AT61" i="1"/>
  <c r="AT138" i="1"/>
  <c r="AT97" i="1"/>
  <c r="AT124" i="1"/>
  <c r="Z1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Hamish Forbes</author>
    <author>tc={8BDBC8D2-9015-4C65-8AC3-84EE6B93FAE6}</author>
  </authors>
  <commentList>
    <comment ref="B44" authorId="0" shapeId="0" xr:uid="{C520EF01-CD61-43DB-9701-D09A77A74863}">
      <text>
        <r>
          <rPr>
            <b/>
            <sz val="9"/>
            <color indexed="81"/>
            <rFont val="Tahoma"/>
            <family val="2"/>
          </rPr>
          <t>Hamish Forbes:</t>
        </r>
        <r>
          <rPr>
            <sz val="9"/>
            <color indexed="81"/>
            <rFont val="Tahoma"/>
            <family val="2"/>
          </rPr>
          <t xml:space="preserve">
This doesn't seem to be fully published yet but is WRAP Global work, so TQ should have access to it</t>
        </r>
      </text>
    </comment>
    <comment ref="AI53" authorId="0" shapeId="0" xr:uid="{BE2AC898-1E16-4344-8593-936B34D11134}">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54" authorId="0" shapeId="0" xr:uid="{F5BBE271-C364-42A5-A0F3-70B481D21C5B}">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55" authorId="0" shapeId="0" xr:uid="{17683447-FFE6-4213-9992-333D79E4DAE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62" authorId="0" shapeId="0" xr:uid="{8BA431CB-9A46-4330-9BF0-4554C7DD079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63" authorId="0" shapeId="0" xr:uid="{A460A62B-3798-46F1-94BD-BAF2D706A03D}">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Z87" authorId="1" shapeId="0" xr:uid="{8BDBC8D2-9015-4C65-8AC3-84EE6B93FAE6}">
      <text>
        <t>[Threaded comment]
Your version of Excel allows you to read this threaded comment; however, any edits to it will get removed if the file is opened in a newer version of Excel. Learn more: https://go.microsoft.com/fwlink/?linkid=870924
Comment:
    Added zero - so updated from 18,000 to 180,000 tonnes</t>
      </text>
    </comment>
    <comment ref="B138" authorId="0" shapeId="0" xr:uid="{3221B771-978F-4EF2-94FA-B037ED83E4B0}">
      <text>
        <r>
          <rPr>
            <b/>
            <sz val="9"/>
            <color indexed="81"/>
            <rFont val="Tahoma"/>
            <family val="2"/>
          </rPr>
          <t>Hamish Forbes:</t>
        </r>
        <r>
          <rPr>
            <sz val="9"/>
            <color indexed="81"/>
            <rFont val="Tahoma"/>
            <family val="2"/>
          </rPr>
          <t xml:space="preserve">
Worth noting that for some reason this was listed as being Eriksson et al in the Xue et al spreadsheet when it is actually Nahman et al.</t>
        </r>
      </text>
    </comment>
  </commentList>
</comments>
</file>

<file path=xl/sharedStrings.xml><?xml version="1.0" encoding="utf-8"?>
<sst xmlns="http://schemas.openxmlformats.org/spreadsheetml/2006/main" count="5043" uniqueCount="1182">
  <si>
    <t>Source</t>
  </si>
  <si>
    <t>Waste Generation and Composition Study for the Western Corridor, Belize C.A.</t>
  </si>
  <si>
    <t>National Waste Characterization Report: The Composition of Canadian Residual Municipal Solid Waste</t>
  </si>
  <si>
    <t>Spatial Analysis of Residential Waste Solid in the City of Karbala</t>
  </si>
  <si>
    <t>Génération, traitement et prévention des déchets alimentaires</t>
  </si>
  <si>
    <t>New Zealand Food Waste Audits</t>
  </si>
  <si>
    <t>What is known about food waste in New Zealand</t>
  </si>
  <si>
    <t>Food Waste in Norway 2010-2015</t>
  </si>
  <si>
    <t>Foodsharing in Russia</t>
  </si>
  <si>
    <t>Circular Economy Impact Assessment: Food waste in HORECA sector</t>
  </si>
  <si>
    <t>2018 Wasted Food Report</t>
  </si>
  <si>
    <t>http://www.environment.gov.au/system/files/pages/25e36a8c-3a9c-487c-a9cb-66ec15ba61d0/files/national-food-waste-baseline-final-assessment.pdf</t>
  </si>
  <si>
    <t>https://ec.europa.eu/food/sites/food/files/safety/docs/fw_eu-platform_20170925_sub-fwm_pres-02b.pdf</t>
  </si>
  <si>
    <t>https://op.europa.eu/en/publication-detail/-/publication/e8e18370-1db9-11ea-95ab-01aa75ed71a1/language-en</t>
  </si>
  <si>
    <t>https://alay.am/p/c8b</t>
  </si>
  <si>
    <t>https://www.researchgate.net/publication/259390038_Generation_and_assessing_the_composition_of_household_solid_waste_in_commercial_capital_city_of_Bangladesh</t>
  </si>
  <si>
    <t>https://doi.org/10.1016/j.wasman.2007.06.013</t>
  </si>
  <si>
    <t>https://openjicareport.jica.go.jp/pdf/11785243.pdf</t>
  </si>
  <si>
    <t>https://www.voedselverlies.be/sites/default/files/atoms/files/Monitor_EN_final.pdf</t>
  </si>
  <si>
    <t>http://belizeswama.com/wp-content/uploads/2018/12/Waste-Generation-Composition-Study-for-Western-Corridor-Belize-C.A.-2056-OC-BL1.pdf</t>
  </si>
  <si>
    <t>https://www.embrapa.br/busca-de-publicacoes/-/publicacao/1105525/intercambio-brasil-uniao-europeia-sobre-desperdicio-de-alimentos-relatorio-final</t>
  </si>
  <si>
    <t>http://publications.gc.ca/collections/collection_2020/eccc/en14/En14-405-2020-eng.pdf</t>
  </si>
  <si>
    <t>https://doi.org/10.5814/j.issn.1674-764x.2013.04.006</t>
  </si>
  <si>
    <t>http://dx.doi.org/10.1016/j.resconrec.2015.03.001</t>
  </si>
  <si>
    <t>https://doi.org/10.1016/j.resconrec.2020.105209</t>
  </si>
  <si>
    <t>https://doi.org/10.1007/s11356-015-4235-y</t>
  </si>
  <si>
    <t>https://doi.org/10.1016/j.wasman.2009.05.014</t>
  </si>
  <si>
    <t>http://dx.doi.org/10.1016/j.scitotenv.2015.05.068</t>
  </si>
  <si>
    <t>https://doi.org/10.1016/j.jclepro.2020.123490</t>
  </si>
  <si>
    <t>https://doi.org/10.1016/j.wasman.2016.03.032</t>
  </si>
  <si>
    <t>https://www2.mst.dk/Udgiv/publikationer/2018/03/978-87-93614-78-9.pdf</t>
  </si>
  <si>
    <t>https://mst.dk/service/publikationer/publikationsarkiv/2014/okt/kortlaegning-af-madaffald-i-servicesektoren/</t>
  </si>
  <si>
    <t>https://www.sei.org/wp-content/uploads/2017/12/sei-2015-report-food-waste-and-food-loss-in-estonian-households-and-catering-institutions-sei-tallinn1.pdf</t>
  </si>
  <si>
    <t>https://www.sei.org/wp-content/uploads/2017/12/summary-food-waste-in-estonian-food-trade-sector-and-industry-sei-tallinn-2016.pdf</t>
  </si>
  <si>
    <t>https://doi.org/10.11648/j.ijepp.20170506.11</t>
  </si>
  <si>
    <t xml:space="preserve">https://www.eu-fusions.org/phocadownload/Publications/Estimates%20of%20European%20food%20waste%20levels.pdf </t>
  </si>
  <si>
    <t>http://dx.doi.org/10.1016/j.jclepro.2013.12.057</t>
  </si>
  <si>
    <t>https://doi.org/10.1016/j.jclepro.2013.12.057</t>
  </si>
  <si>
    <t>https://ec.europa.eu/environment/eussd/pdf/bio_foodwaste_report.pdf</t>
  </si>
  <si>
    <t>https://doi.org/10.1016/j.resconrec.2014.06.001</t>
  </si>
  <si>
    <t>https://www.researchgate.net/publication/339473130_Food_waste_in_Germany_-Baseline_2015_-_Summary</t>
  </si>
  <si>
    <t>http://dx.doi.org/10.1016/j.wasman.2015.09.009</t>
  </si>
  <si>
    <t>https://doi.org/10.1016/j.spc.2015.06.006</t>
  </si>
  <si>
    <t>https://doi.org/10.3390/su12083069</t>
  </si>
  <si>
    <t>http://rah-net.com/journals/rah/Vol_3_No_1_March_2014/11.pdf</t>
  </si>
  <si>
    <t>http://theijes.com/papers/v5-i2/G0502040047.pdf</t>
  </si>
  <si>
    <t>https://doi.org/10.1016/j.scs.2014.07.004</t>
  </si>
  <si>
    <t>https://doi.org/10.1016/j.resconrec.2015.06.013</t>
  </si>
  <si>
    <t>https://www.researchgate.net/publication/258242118_Kitchen_Food_Waste_Inventory_for_Residential_Areas_in_Baghdad_City</t>
  </si>
  <si>
    <t>https://www.researchgate.net/publication/340256113_Solid_Waste_Composition_and_Characteristics_of_Mosul_CityIRAQ</t>
  </si>
  <si>
    <t>https://www.iraqjournals.com/article_104313_0.html</t>
  </si>
  <si>
    <t>https://www.researchgate.net/publication/320613575_Household_Behavior_on_Solid_Waste_Management_A_Case_of_Al-Kut_City</t>
  </si>
  <si>
    <t>https://www.semanticscholar.org/paper/CHARACTERISTICS-AND-COMPOSITIONS-OF-SOLID-WASTE-IN-Abudi/b9f0c4d0092838519e4eaee3586fd4398b012daa</t>
  </si>
  <si>
    <t>https://doi.org/10.1016/j.wasman.2018.03.031</t>
  </si>
  <si>
    <t>https://www.leket.org/en/food-waste-and-rescue-report/</t>
  </si>
  <si>
    <t>https://doi.org/10.3390/su11123381 ; https://www.sprecozero.it/2020/07/16/quanto-cibo-si-spreca-in-italia/</t>
  </si>
  <si>
    <t>https://www.sprecozero.it/2020/07/16/quanto-cibo-si-spreca-in-italia/</t>
  </si>
  <si>
    <t>https://www.maff.go.jp/e/policies/env/attach/pdf/frecycle-3.pdf</t>
  </si>
  <si>
    <t>https://openjicareport.jica.go.jp/pdf/12005443.pdf</t>
  </si>
  <si>
    <t>Unpublished UN Habitat presentation sent to authors</t>
  </si>
  <si>
    <t>https://doi.org/10.1371/journal.pone.0225789</t>
  </si>
  <si>
    <t>(FR) Detail: https://environnement.public.lu/fr/offall-ressourcen/types-de-dechets/Biodechets/Gaspillage_alimentaire/Etudes_et_resultats.html (ENG) Result summary: https://today.rtl.lu/news/luxembourg/a/1584519.html</t>
  </si>
  <si>
    <t>https://www.researchgate.net/publication/289063671_Household_food_consumption_and_disposal_behaviour_in_Malaysia</t>
  </si>
  <si>
    <t>https://www.researchgate.net/publication/280642994_The_3R_Potential_of_Household_Waste_in_Bangi_Malaysia</t>
  </si>
  <si>
    <t>https://www.voedingscentrum.nl/Assets/Uploads/voedingscentrum/Documents/Professionals/Pers/Persmappen/Verspilling%202019/VC_Synthesis%20report%20on%20food%20waste%20in%20Dutch%20households%202019.pdf</t>
  </si>
  <si>
    <t>https://lovefoodhatewaste.co.nz/wp-content/uploads/2019/02/Final-New-Zealand-Food-Waste-Audits-2018.pdf</t>
  </si>
  <si>
    <t>https://lovefoodhatewaste.co.nz/wp-content/uploads/2020/09/What-is-known-about-food-waste-in-New-Zealand.pdf</t>
  </si>
  <si>
    <t>https://www.iuokada.edu.ng/publication/wp-content/uploads/2019/02/Ejiroghene-Kelly-OrhorhoroPatrick-Okechukwu-EbuniloGodwin-Ejuvwedia-Sadjere-Determination-and-Quantification-of-Household-Solid-Waste-Generation-for-Planning-Suitable-Sustainable-Waste.pdf</t>
  </si>
  <si>
    <t>https://doi.org/10.1016/j.resconrec.2016.03.010</t>
  </si>
  <si>
    <t>https://norsus.no/en/publikasjon/food-waste-in-norway-2010-2015/</t>
  </si>
  <si>
    <t>https://www.matvett.no/uploads/documents/OR.32.19-Edible-food-waste-in-Norway-Report-on-key-figures-2015-2018.pdf</t>
  </si>
  <si>
    <t>https://www.researchgate.net/publication/273640405_The_pilot_study_of_characteristics_of_household_waste_generated_in_suburban_parts_of_rural_areas/link/5507f9200cf26ff55f7f9975/download</t>
  </si>
  <si>
    <t>https://tiarcenter.com/wp-content/uploads/2019/11/ENG_Foodsharing-in-Russia_2019.pdf</t>
  </si>
  <si>
    <t>https://rke.abertay.ac.uk/en/studentTheses/analysis-of-key-requirements-for-effective-implementation-of-biog</t>
  </si>
  <si>
    <t>https://www.sago.gov.sa/Content/Files/Baseline_230719.pdf</t>
  </si>
  <si>
    <t>https://www.giz.de/en/downloads/CE%20impact%20assessment_HORECA.pdf</t>
  </si>
  <si>
    <t>https://doi.org/10.1371/journal.pone.0189407</t>
  </si>
  <si>
    <t>https://doi.org/10.1016/j.wasman.2012.04.012</t>
  </si>
  <si>
    <t>https://doi.org/10.17159/sajs.2018/20170284</t>
  </si>
  <si>
    <t>http://uir.unisa.ac.za/bitstream/handle/10500/21162/dissertation_ramukhwatho_fr.pdf?isAllowed=y&amp;sequence=4</t>
  </si>
  <si>
    <t>http://www.naturvardsverket.se/Documents/publikationer6400/978-91-620-8695-4.pdf</t>
  </si>
  <si>
    <t>https://www.naturvardsverket.se/Documents/publ-filer/8800/978-91-620-8861-3.pdf?pid=26710</t>
  </si>
  <si>
    <t>https://doi.org/10.1016/j.wasman.2012.11.007</t>
  </si>
  <si>
    <t>https://wrap.org.uk/sites/files/wrap/Progress_against_Courtauld_2025_targets_and_UN_SDG_123.pdf</t>
  </si>
  <si>
    <t>https://doi.org/10.5901/ajis.2013.v2n13p35</t>
  </si>
  <si>
    <t>https://www.epa.gov/sites/production/files/2020-11/documents/2018_wasted_food_report-11-9-20_final_.pdf</t>
  </si>
  <si>
    <t>https://doi.org/10.1016/j.jenvman.2010.06.016</t>
  </si>
  <si>
    <t>https://doi.org/10.3390/resources8040171</t>
  </si>
  <si>
    <t>https://www.academia.edu/30874341/SOLID_WASTE_MANAGEMENT_CASE_STUDY_OF_NDOLA_ZAMBIA</t>
  </si>
  <si>
    <t>Link</t>
  </si>
  <si>
    <t>Country</t>
  </si>
  <si>
    <t>Australia</t>
  </si>
  <si>
    <t>Austria</t>
  </si>
  <si>
    <t>Bahrain</t>
  </si>
  <si>
    <t>Bangladesh</t>
  </si>
  <si>
    <t>Belgium</t>
  </si>
  <si>
    <t>Belize</t>
  </si>
  <si>
    <t>Brazil</t>
  </si>
  <si>
    <t>Canada</t>
  </si>
  <si>
    <t>China</t>
  </si>
  <si>
    <t>Colombia</t>
  </si>
  <si>
    <t>Denmark</t>
  </si>
  <si>
    <t>Estonia</t>
  </si>
  <si>
    <t>Ethiopia</t>
  </si>
  <si>
    <t>Finland</t>
  </si>
  <si>
    <t>France</t>
  </si>
  <si>
    <t>Georgia</t>
  </si>
  <si>
    <t>Germany</t>
  </si>
  <si>
    <t>Ghana</t>
  </si>
  <si>
    <t>Greece</t>
  </si>
  <si>
    <t>Hungary</t>
  </si>
  <si>
    <t>India</t>
  </si>
  <si>
    <t>Indonesia</t>
  </si>
  <si>
    <t>Iraq</t>
  </si>
  <si>
    <t>Ireland</t>
  </si>
  <si>
    <t>Israel</t>
  </si>
  <si>
    <t>Italy</t>
  </si>
  <si>
    <t>Japan</t>
  </si>
  <si>
    <t>Kenya</t>
  </si>
  <si>
    <t>Lebanon</t>
  </si>
  <si>
    <t>Luxembourg</t>
  </si>
  <si>
    <t>Malaysia</t>
  </si>
  <si>
    <t>Malta</t>
  </si>
  <si>
    <t>Mexico</t>
  </si>
  <si>
    <t>Netherlands</t>
  </si>
  <si>
    <t>New Zealand</t>
  </si>
  <si>
    <t>Nigeria</t>
  </si>
  <si>
    <t>Norway</t>
  </si>
  <si>
    <t>Pakistan</t>
  </si>
  <si>
    <t>Poland</t>
  </si>
  <si>
    <t>Russian Federation</t>
  </si>
  <si>
    <t>Rwanda</t>
  </si>
  <si>
    <t>Saudi Arabia</t>
  </si>
  <si>
    <t>Serbia</t>
  </si>
  <si>
    <t>Slovenia</t>
  </si>
  <si>
    <t>South Africa</t>
  </si>
  <si>
    <t>Spain</t>
  </si>
  <si>
    <t>Sri Lanka</t>
  </si>
  <si>
    <t>Sweden</t>
  </si>
  <si>
    <t>Switzerland</t>
  </si>
  <si>
    <t>United Kingdom of Great Britain and Northern Ireland</t>
  </si>
  <si>
    <t>United Republic of Tanzania</t>
  </si>
  <si>
    <t>United States of America</t>
  </si>
  <si>
    <t>Viet Nam</t>
  </si>
  <si>
    <t>Zambia</t>
  </si>
  <si>
    <t>Region</t>
  </si>
  <si>
    <t>Australia and New Zealand</t>
  </si>
  <si>
    <t>Western Europe</t>
  </si>
  <si>
    <t>Western Asia</t>
  </si>
  <si>
    <t>Southern Asia</t>
  </si>
  <si>
    <t>Latin America and the Caribbean</t>
  </si>
  <si>
    <t>Northern America</t>
  </si>
  <si>
    <t>Eastern Asia</t>
  </si>
  <si>
    <t>Northern Europe</t>
  </si>
  <si>
    <t>Sub-Saharan Africa</t>
  </si>
  <si>
    <t>Southern Europe</t>
  </si>
  <si>
    <t>Eastern Europe</t>
  </si>
  <si>
    <t>South-eastern Asia</t>
  </si>
  <si>
    <t>Category</t>
  </si>
  <si>
    <t>Developed</t>
  </si>
  <si>
    <t>Developing</t>
  </si>
  <si>
    <t>HIC</t>
  </si>
  <si>
    <t>LMC</t>
  </si>
  <si>
    <t>UMC</t>
  </si>
  <si>
    <t>LIC</t>
  </si>
  <si>
    <t>Nationwide</t>
  </si>
  <si>
    <t>Municipality &amp; Sub-national region</t>
  </si>
  <si>
    <t>Chittagong</t>
  </si>
  <si>
    <t>Dhaka</t>
  </si>
  <si>
    <t>Flanders</t>
  </si>
  <si>
    <t>San Ignacio / Santa Elena</t>
  </si>
  <si>
    <t>Caye Caulker</t>
  </si>
  <si>
    <t>San Pedro</t>
  </si>
  <si>
    <t>Belize City</t>
  </si>
  <si>
    <t>Beijing</t>
  </si>
  <si>
    <t>Suzhou</t>
  </si>
  <si>
    <t>Shandong</t>
  </si>
  <si>
    <t>Hong Kong</t>
  </si>
  <si>
    <t>Urban China Total</t>
  </si>
  <si>
    <t>East China</t>
  </si>
  <si>
    <t>Middle China</t>
  </si>
  <si>
    <t>West China</t>
  </si>
  <si>
    <t>Northeast China</t>
  </si>
  <si>
    <t>Bogota</t>
  </si>
  <si>
    <t>Laga Tafo Laga Dadi town, Oromia</t>
  </si>
  <si>
    <t>Kutaisi</t>
  </si>
  <si>
    <t>Dehradun</t>
  </si>
  <si>
    <t>Rajam, Andhra Pradesh</t>
  </si>
  <si>
    <t>Surabaya</t>
  </si>
  <si>
    <t>Baghdad</t>
  </si>
  <si>
    <t>Mosul</t>
  </si>
  <si>
    <t>Karbala</t>
  </si>
  <si>
    <t>Al-Kut City</t>
  </si>
  <si>
    <t>Nassiriya</t>
  </si>
  <si>
    <t>Haifa</t>
  </si>
  <si>
    <t>Nairobi</t>
  </si>
  <si>
    <t>Beirut</t>
  </si>
  <si>
    <t>Bandar Baru Bangi</t>
  </si>
  <si>
    <t>Sapele</t>
  </si>
  <si>
    <t>Gujranwala</t>
  </si>
  <si>
    <t>Surrounding Wroclaw</t>
  </si>
  <si>
    <t>Kigali</t>
  </si>
  <si>
    <t>Richards Bay, Dundee and Harrismith</t>
  </si>
  <si>
    <t>Johannesburg</t>
  </si>
  <si>
    <t>Ekurhuleni</t>
  </si>
  <si>
    <t>Tshwane Metropolitan Municipality</t>
  </si>
  <si>
    <t>Jaffna</t>
  </si>
  <si>
    <t>Nuwara Eliya</t>
  </si>
  <si>
    <t>Kataragama</t>
  </si>
  <si>
    <t>Thamankaduwa</t>
  </si>
  <si>
    <t>Katunayake</t>
  </si>
  <si>
    <t>Moratuwa</t>
  </si>
  <si>
    <t>Kesbewa</t>
  </si>
  <si>
    <t>Dehiwala Mt Lavinia</t>
  </si>
  <si>
    <t>Kurunegala</t>
  </si>
  <si>
    <t>Trincomalee</t>
  </si>
  <si>
    <t>Kinondoni municipality, Dar es Salaam</t>
  </si>
  <si>
    <t>Mekong Delta</t>
  </si>
  <si>
    <t>Da Nang</t>
  </si>
  <si>
    <t>Ndola</t>
  </si>
  <si>
    <t>Country_Population_Millions</t>
  </si>
  <si>
    <t>Household</t>
  </si>
  <si>
    <t>Retail</t>
  </si>
  <si>
    <t>Method</t>
  </si>
  <si>
    <t>Literature</t>
  </si>
  <si>
    <t>Waste Composition Analysis</t>
  </si>
  <si>
    <t>Mixed method</t>
  </si>
  <si>
    <t>Diaries</t>
  </si>
  <si>
    <t>Surveys, questionnaires and interviews</t>
  </si>
  <si>
    <t>Unclear, Governmental reporting</t>
  </si>
  <si>
    <t>Description</t>
  </si>
  <si>
    <t>This paper represents the national baseline estimate for food waste commissioned by the Australian government in order to be the basis for measurement and reporting of progress on Australia's National Food Waste Strategy 2017. To generate the estimate for household, they combined state government data and modelling forward previously aggregated state government estimates which informed the National Waste Report (2016).</t>
  </si>
  <si>
    <t>This paper represents the national baseline estimate for food waste commissioned by the Australian government in order to be the basis for measurement and reporting of progress on Australia's National Food Waste Strategy 2017. The figure was calculated through a number of surveys and published figures for hospitality and food service (commercial), and a range of small samples at institutions such as hospitals and universities. These were scaled based on relevant figures such as the number of students and inmates for schools and prisons respectively. The authors highlight low confidence in the instutitional estimates due to small samples. However, it represents wide coverage and the low confidence is "not considered material given the estimated scale of food waste produced".</t>
  </si>
  <si>
    <t>This paper represents the national baseline estimate for food waste commissioned by the Australian government in order to be the basis for measurement and reporting of progress on Australia's National Food Waste Strategy 2017. The Retail figure was calculated through publicly available waste estimates for major supermarkets and data from large shopping centre organisations. The source paper also has an estimate for Wholesale, which has been excluded here.</t>
  </si>
  <si>
    <t>This presentation (in English) by the Environment Agency Austria references a range of other studies in German, summarising the current state of knowledge. These came from Waste Compositional Analyses, although precise details are not in the presentation (apart from for one region, Lower Austria). For the one paper where methodological aspects is given, it refers to sampling from three areas: rural (without centre); rural (with centre); urban, with 796 samples. Whilst more methodology on the other primary studies would have made this clearer, assuming similar methodologies are used in the other cases suggests a sufficiently large and diverse sample.</t>
  </si>
  <si>
    <t>50 establishments had waste compositional analyses carried out (23 canteen kitchens, including hospitals and nursing homes; 13 accommodation establishments; 13 restaurants, 1 catering). This represents wide coverage of both commercial and non-commercial out of home consumption. From the compositional analyses, extrapolation was based on food waste quantities per meals, number of meals per estalishment type and number of establishment types.</t>
  </si>
  <si>
    <t>Five different retail companies, with market share of about 83%, contributed data on their food waste. This paper was also referenced by EU FUSIONS and judged to be 'data of sufficient quality'.</t>
  </si>
  <si>
    <t>The original paper referenced is in German. The reference explains that 29 hospitality companies including restaurants, hotels and canteen kitchens recorded their food waste. This therefore has coverage across both commercial and non-commercial dining.</t>
  </si>
  <si>
    <t>The source link is to a newspaper article which refers to a report by the Center for Waste Management. The original Center for Waste Management Report could not be found. However, the infographic (clearly copied from the original report) and the article make clear that a waste compositional analysis was undertaken, referring to 'huge quantities of household waste collected from the various region of Bahrain' being sorted.  The inability to find the source paper means we cannot have high confidence in the results.</t>
  </si>
  <si>
    <t>55 households in five different socioeconomic groups across three different areas had their waste sampled daily, using plastic bags provided to them. It was unclear for how long the sampling ran for each household. This small sample size and unkown duration means we cannot have high confidence.</t>
  </si>
  <si>
    <t>75 households across five socioeconomic groups in the Rahman Nagar Residential Area had their waste sampled. The length of sampling is unknown. The small sample with unkown duration means we cannot have high confidence in the results.</t>
  </si>
  <si>
    <t>The JICA study team conducted waste generation source surveys in both the dry and wet season. The exact number of restaurants is not known, only that 50 non-households were sampled across 8 days in each season (this figure will include other buildings, such as shops or offices). It was scaled to the whole of Dhaka based on the Revenue Department's licensing list. Being incomplete in its sectoral coverage and being quite a dated estimate limit its robustness. Note: the JICA paper does also estimate the waste for hotels, which would be considered here, however the table defining the share of food waste from hotels groups it with shops, which would otherwise be considered retail. To avoid this overlap they have not been documented.</t>
  </si>
  <si>
    <t>This paper combines a number of different data sources. An existing OVAM study was used for waste composition analysis in residual waste. This was combined with information from other surveys self-reporting different disposal methods to capture the share going to home compost, pets etc. and data from the Netherlands was used to inform the disposal to sink and toilet. The share which goes to feeding animals (28%) was removed as it is not considered waste, and the amount going to sinks/toilets (3%) was removed to improve comparability.</t>
  </si>
  <si>
    <t>A combination of data from the Integrated Environmental Report and sector surveys by COMEOS and Buurtsuper.be. Where these were national surveys, the authors adjusted to Flanders based on sales figures. Their figures have been scaled for the whole of Belgium, assuming that Flanders can be considered representative of the whole nation. 3% of this sector is estimated to go to animal feed, which is not considered waste. The numbers have been adjusted to reflect this.</t>
  </si>
  <si>
    <t>The data comes from a range of sources, many of which are commercial and therefore not transparently disclosed. The authors collaborated with food chain partners (horeca Vlaanderen and Unie Belgische Catering) and used existing surveys including Annual Foodservice Monitor and the Integrated Environmental Report. These sources allowed a per person daily waste to be derived, which was then scaled. It covers both hospitality (commercial) and catering (non-commercial). Hospitality and catering are presented separately in the paper, they are summed together here. Their figures have been scaled for the whole of Belgium, assuming that Flanders can be considered representative of the whole nation.</t>
  </si>
  <si>
    <t xml:space="preserve">174 households across three socioeconomic groups had their waste sampled, with at least 100kg collected each sampling day. Measurement was for 8 days. </t>
  </si>
  <si>
    <t xml:space="preserve">132 households across three socioeconomic groups had their waste sampled, with at least 100kg collected each sampling day. Measurement was for 8 days. </t>
  </si>
  <si>
    <t xml:space="preserve">169 households across three socioeconomic groups had their waste sampled, with at least 100kg collected each sampling day. Measurement was for 8 days. </t>
  </si>
  <si>
    <t xml:space="preserve">183 households across three socioeconomic groups had their waste sampled, with at least 100kg collected each sampling day. Measurement was for 8 days. </t>
  </si>
  <si>
    <t>686 households participated in "a food diary with photo analysis of wasted food", with more households also participating in a questionnaire about consumption habits. As a diary result, it has been scaled to adjust for the measurement bias.</t>
  </si>
  <si>
    <t>56 different waste compositional analyses studies are analysed and averaged to form a national average. The studies analysed involved a mixture of curbside analysis and at sorting facilities. The share which is food waste has been multiplied by the total residential waste to form a food waste estimate.</t>
  </si>
  <si>
    <t>The paper references Zhang et al. (2010), but does not provide sufficient methodological detail to offer high confidence.</t>
  </si>
  <si>
    <t>140 households participated in a compositional analysis. This involved their waste being collected each day for a week, and was repeated in each season. They also completed a survey. The household sizes are considered representative of the wider city.</t>
  </si>
  <si>
    <t>207 houses across 21 villages in three prefectures (Jinan, Weifang, Dezhou) studied, tracked for 9 meals across 3 days. The weight of food recorded before cooking and after a meal's disposal to form 'meal waste' figure, but also measure 'non meal' waste (such as removal of mouldy stored items) once a day. It was a form of diary documenting this only looking at edible waste, so it is adjusted for both diary bias and the inedible share of waste.</t>
  </si>
  <si>
    <t>The paper cites the Hong Kong Environment Bureau's official statistics. It is assumed to be from Waste Compositional Analysis but is not made explicit, nor other details of the method (such as sample).</t>
  </si>
  <si>
    <t>113 households across six districts in Beijing city had their waste collected and analysed daily for a period of 10 days.</t>
  </si>
  <si>
    <t>Paper quantifying the carbon, water and ecological footprints of food consumed and food wasted in Chinese households. Uses the China Health and Nutrition Survey (CHNS) 2011 database, with data from 12,850 households across 2004, 2006 and 2009 using a diary methodology over three days.</t>
  </si>
  <si>
    <t>The household estimate uses a huge range of local MSW figures and studies estimating the share of household food waste in the entire MSW. 196 samples obtained from the literature across 2001-2016. (Supplementary Info, Table S21-2). All literature values cited repored the value Household Food Waste in MSW, though it is unclear how exactly it was disaggregated if samples were taken at landfilling or transport sites. The per capita figure only applies to the urban population as this was where the study was concentrated.</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</si>
  <si>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</si>
  <si>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 The total waste figure itself was not listed in the text but was confirmed with the authors as being 38 million tonnes. This refers only to urban catering waste.</t>
  </si>
  <si>
    <t>The paper cites 3259 samples, although it's unclear if this is referring to households or individuals, taken across a single twenty four hour period, across 19 localities and six socioeconomic categories. Whilst the length of sample is small, the size was considered to compensate for this.</t>
  </si>
  <si>
    <t>1474 households were randomly selected across five Danish municipalities in which there is no source segregation of household food waste. Depending on their collection schedule, their waste from one or two weeks was collected and sorted.</t>
  </si>
  <si>
    <t>1600 houses sampled across four municipalities. It specifically looks at and disaggregates between single family homes and blocks of flats in each of those municipalities.</t>
  </si>
  <si>
    <t>Paper is in Danish but has a summary in English. The waste from 53 businesses was studied, 69 were visited to discuss their food waste management. It's unclear what share of this sample was retail, but the paper claims the sample was aimed to be representative. It analyses not just non-specialised stores (supermarkets etc.) but also specialised stores such as butchers, fishmongers and greengrocers. The value is the sum of non-specialised (1) and specialised retail (2) but does not include wholesale (3). Confidence intervals of ±25 are given for each retail sector.</t>
  </si>
  <si>
    <t>Electronic questionnaire studies were issues to chefs among hotels, restaurants and canteens. 474 chefs reported information about their food waste. The paper also refers to 53 businesses being studied; it is unclear if this number includes out of home consumption businesses or just retail. The authors claim it was designed to be as representative as possible. The figure taken is the sum of Hotels (4), Restaurants (5), Institutions (6) and Canteens (7). Confidence intervals of ±25 are provided for hotels and restaurants, ±50 for institutions and ±10 for canteens.</t>
  </si>
  <si>
    <t>This study cites a paper in Estonian from which the figures are taken. 11 retailers had detailed analyses carried out including interviews, on-site observations and weighing. An additional questionnaire was sent to 600 retailers and 183 wholesalers, scaled by grocery store distribution across Estonia.  This study was also cited in Stenmarck et al. (2016) with a slightly different waste figure, it is unclear if this is rounding error or some other calculation.</t>
  </si>
  <si>
    <t>100 households of various income levels and living arrangements took part in a diary study alongside a questionnaire survey. It has been adjusted to account for diary bias.</t>
  </si>
  <si>
    <t>20 catering institutions had waste audits run: 3 restaurants, 3 bars/pubs, 3 cafes, 4 canteens/buffets, 3 schools, 3 kindergartens, 1 hospital. This therefore offers a good variation of commercial and non-commercial out of home consumption. Across 5 days, waste was measured at preparation, serving, consumption and storing food to provide waste generation figures which was scaled up.</t>
  </si>
  <si>
    <t>Study in Estonian, referenced in Stenmarck et al. (2016), which details that 11 retailers had detailed analyses carried out including interviews, on-site observations and weighing. An additional questionnaire was sent to 600 retailers and 183 wholesalers, scaled by grocery store distribution across Estonia. This paper is also referenced in Caldeira et al. (2019) with a slightly different waste figure, it is unclear why these are different.</t>
  </si>
  <si>
    <t>Bags distributed to 92 'residential households' for waste collection and sorting every day. From this waste compositional data, food waste can be derived. It is unclear for how long this compositional analysis took place. Survey in Laga Tafo Laga Dadi (sometimes written Legetafo Legedadi) town, Oromia, a small area on the outskirts of Addis Ababa. 
Note: different 'residential' groups are included in the paper, including 'real estate residential' and 'ropack village residential'. Due to some confusion over the terminology and these types having very high bone waste, only 'residential households' were considered here.</t>
  </si>
  <si>
    <t>References three different papers: from Katajajuuri et al. (2014), Silvenoinen et al. (2014) and HSY (2012). The Katajajuuri paper is also a separate data point in this database. The first two (diary studies) only estimate avoidable waste (120,000 tonnes), the latter (appears to be a waste compositional anlaysis) was used to estimate avoidable waste (230,000 tonnes). This was done to make them more comparable to other studies of all food waste. Since this adjusted total food waste esimtate comes from Finland-specific data, it was judged that leaving it as a separate data point to compare and average with our generic edible and diary share adjusted figure would be prudent. The adjusted per capita figures are highly comparable to one another, giving some confidence in our estimate.</t>
  </si>
  <si>
    <t>380 households participating in diary study for two weeks. Only looking at edible food. It is adjusted for diary bias and inedible share. The end result is highly comparable with the combined estimate cited in Stenmarck et al. (2016), which used Helsinki metropolitan area waste compositional data to adjust the original figure.</t>
  </si>
  <si>
    <t>References three different papers: from Katajajuuri et al. (2014), Silvenoinen et al. (2014) and HSY (2012). The Katajajuuri paper is also a separate data point in this database. The first two only estimate avoidable waste (80,000 tonnes), the latter was used to estimate avoidable waste (50,000 tonnes). This was done to make them more comparable to other studies of all food waste. Since this adjusted total food waste esimtate comes from Finland-specific data, it was judged that leaving it as a separate data point to compare and average with our generic edible share adjusted figure would be prudent. The adjusted per capita figures are highly comparable to one another, giving some confidence in our estimate.</t>
  </si>
  <si>
    <t>This paper includes the results of two separate studies, one on the commercial sector and one on the non-commercial sector. The commercial sector study involved 72 restaurants across 17 businesses - a range of diners, cafes, restaurants, hotels etc. - having their waste measured for a single day. The non-commercial study involved 55 outlets representing three companies providing food for day care, hospitals and workplace canteens, measured over one week. Table 5 in the paper refers to "avoidable food waste in the Finnish food supply chain" suggesting that this did not measure total food waste, only the avoidable share, and the figure is therefore adjusted to estimate this inedible or unavoidable share.</t>
  </si>
  <si>
    <t>Paper in French, with summary available in English and details in Caldeira et al. (2019). 50 households in a representative sample of the French population were measured across 7 days using an online diary survey in which they documented waste each day and uploaded pictures. Only measuring edible food. This has been adjusted to account for both diary bias and the inedible waste share.</t>
  </si>
  <si>
    <t>Paper in French, with summary available in English and details in Caldeira et al. (2019). Across the supply chain, 582 interviews took place: 512 'quali-quantitative', 80 qualitative. Looks only at edible waste (food for human consumption), so has been adjusted.</t>
  </si>
  <si>
    <t>Combination of studies across canteens and restaurants. 22 canteens and 37 restaurants interviewed. Most of these were self-estimation without measurement, though some measurements were taken independent of the study. The study also conducted a waste audit in one canteen and one restaurant. These were compared to a similar 2011 Agriculture Ministry study of out of home waste. They used this information to confirm the underestimation of out of home actors to their own waste, and prioritise the 'realised' measure over the actor estimate. The waste per meal (including storage waste from kitchen, not just plate waste) is scaled for the respective commercial and non-commercial sector. However, it only looks at edible waste (destined for human consumption) and no preparation waste. This is therefore adjusted.</t>
  </si>
  <si>
    <t>Estimate judged to be of 'sufficient quality' by Stenmarck et al. (2016), it combines literature references from a Danish Environmental Ministry Report (2010) and ADEME (2004).</t>
  </si>
  <si>
    <t>Between 400-600kg of residual waste from residential areas taken and sorted. Done each month for a period of a year. Compositional information combined with MSW data to understand total waste. The paper does specify these samples came from residential areas but they were collected from waste trucks rather than homes directly leading to some increased uncertainty.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</si>
  <si>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household they use Direct Measurement; Waste Composition Analysis; Records.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</si>
  <si>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'trade', which we are understanding as retail, they use Direct Measurements and Counts and Scans. There is a risk that wholesale has been included in this figure.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</si>
  <si>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out of home they use Direct Measurements; Waste Composition Analysis; Records.
This paper forms the 2015 baseline for food waste against which the national strategy for reducing food waste will be measured, it is therefore the preferred figure for Germany.</t>
  </si>
  <si>
    <t>1014 households representing 6083 people were randomly selected in 10 different districts across the country across three socioeconomic groups (low, medium, high). The households were provided with two bags, one for biodegradable waste and one for other waste, and were taught how to separate accordingly. Employed sorters then collected and did further sorting and disaggregation between every two days and twice a week for a period of five weeks, including sorting the biodegradable waste into a food subcategory. The per capita figure taken is the average across the socioeconomic groups provided in the paper.</t>
  </si>
  <si>
    <t>Paper cites 'Greek Waste Statistics' from 2011 which could not be found based on the bibliography reference or internet searches. However, it was judged to be 'data of sufficient quality' by Stenmarck et al. (2016). The inability to find the source paper means we cannot have high confidence.</t>
  </si>
  <si>
    <t>252 households in urban and semi-urban areas of Athens, Heraklion and Chania were involved in a diary study, asked to weigh and record their waste (both avoidable and unavoidable) for a period of two weeks. This has been adjusted to account for diary bias.</t>
  </si>
  <si>
    <t>165 households measured their waste in a diary for a week. This is a repeat of a 2016 study to identify changes in household waste. The definitions used are designed to be compliant with the EU FUSIONS project. It has been adjusted to account for diary bias.</t>
  </si>
  <si>
    <t>144 households across three different socioeconomic groups in Dehradun city were given a large bag in which to dispose their waste, which was then sorted and classified. It is unclear for how long the survey took place, so is assumed to have not met the '700 waste day' baseline and we therefore cannot have high confidence in the estimate.</t>
  </si>
  <si>
    <t>25 households from 5 different segments of Rajam town were given two bags; one for wet and one for dry waste, collected each day. Segregated their waste for seven consecutive days, which was then taken for sorting.</t>
  </si>
  <si>
    <t>144 households from 11 major blocks of Dehradun city provided with waste bags in which to put their waste from a 24 hour period, which was then sorted and classified.</t>
  </si>
  <si>
    <t>100 households in Surabaya were provided with bags in which to put all of their daily waste for a period of 8 consecutive days. This was then collected and sorted, including into a separate food waste category.</t>
  </si>
  <si>
    <t>20 families in Baghdad, a mixture of family sizes and income levels, weighed their weekly purchases (this seems to have excluded meat) and kitchen waste on kitchen scales and documented them for a period of 8 months. This has been adjusted to account for diary bias. There is some uncertainty about the scope as the term kitchen waste and leftovers are used interchangably: this could possibly be looking at edible waste only. Adjusting it as such would lead to an extreme food waste estimate, so this has been assumed not to be the case, but this uncertainty prevents us from having high confidence in the results.</t>
  </si>
  <si>
    <t>60 households, 10 from each sector of Mosul were given plastic bags and told to deposit their waste from a 24 hour period into it. It's unclear if this was repeated for individual houses or for how many days, though the paper does say that the study period was between February and July which would suggest it was repeated for households for some duration. A total of 1680 solid waste samples were collected.</t>
  </si>
  <si>
    <t>70 households in Karbala distributed plastic bags in which to put their waste from a 24 hour period. Done once a month for three months in winter and three months in summer.</t>
  </si>
  <si>
    <t>80 households across three income groups in Al-Kut had their waste collected daily for a period of one week, which was repeated one week per month for seven months. Whilst this is a large sample, there remains some uncertainty around definitions as to whether food or organic waste was measured, which could explain the quite substantial waste generation. As a result, we cannot have high confidence in the estimate.</t>
  </si>
  <si>
    <t>65 households representing 417 people across three income groups in Nassiriya were randomly selected. Distributed plastic bags in which to put waste which were collected daily and replaced over a period of seven months.</t>
  </si>
  <si>
    <t>Cited as being from the Irish Environmental Protection Agency (2015). The original source and weight estimates were not found based on the bibliography information or direct searches. However, it was judged by Stenmarck et al. (2016) to be 'data of sufficient quality'. The inability to find the source paper means we cannot have high confidence.</t>
  </si>
  <si>
    <t>192 households across three neighbourhoods in Eastern Haifa, primarily middle class households, provided with waste bags which were collected daily for the period of one week. Due to being a study within a specific unrepresentative area, we only have medium confidence.</t>
  </si>
  <si>
    <t>The paper describes the figure as coming from "A comprehensive value chain model for various food production and consumption stages was designed to assess food waste and the potential for food rescue in Israel. The model is based on a bottom-up approach, and includes analysis of data relevant to agricultural production, import, export, industry, distribution and a sample of consumption patterns of 50 different types of food." [...] "For each type of food, the volume of input and output was measured in terms of gross agricultural product and loss rate for every stage of the value chain in the food production, distribution and consumption process." [...] "This data is indicative and intended to serve as the basis for public debate, and for further research and study".
As a result, it is not that clear exactly the calculation that has taken place nor the original data sources, other than that they are 'bottom up'. Leket is a primary food rescue organisation in Israel and this paper was referred to us by contacts in the region. The lack of clarity on the methodological details means we cannot have high confidence in the estimate.</t>
  </si>
  <si>
    <t>388 families completed a food diary in which they recorded food disposed over the course of one week. The households were chosen by random stratified sampling and were considered representative in terms of region and household size. As a diary estimate, it has been adjusted to account for methodological bias.</t>
  </si>
  <si>
    <t>17 retail stores, including both supermarkets and hypermarkets had their waste weighed. The linked infographic suggests a combination of direct weighing and item scanning, which was used to form a waste generation factor by retail space, which was then scaled up nationwide.</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</si>
  <si>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</si>
  <si>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For Retail and Food Service, the figures have been adjusted to account for the share going to animal feed, also included in the presentation.
</t>
  </si>
  <si>
    <t>150 households were sampled across five income groups (High, Middle, Low-Middle, Low, Slum), which are grouped in Table 2.2.7 into three residential groups (High, Middle, Low) with a subset of those sampled for composition. Total of 8 days collected but the first one was discounted as not representing daily generation, so 7 days of sample. A subset of this waste was then sorted and classified.</t>
  </si>
  <si>
    <t>90 households across three income areas (high, middle, low) received plastic bags for disposing daily waste. Total of 8 days collected but the first one was discounted as not representing daily generation, so 7 days of sample. This waste was then sorted and classified.</t>
  </si>
  <si>
    <t>Across retail and out of home consumption, 90 locations had their waste analysed for a period of seven days, which was preceded by a one day test measurement, which was excluded from analysis. Figure is a sum of Shop and Market, which are measured separately. The original study scales this by the number of institutions in Nairobi.</t>
  </si>
  <si>
    <t>Across retail and out of home consumption, 90 locations had their waste analysed for a period of seven days, which was preceded by a one day test measurement, which was excluded from analysis. The figure presented is the sum of Restaurants, Hotels and Public Facilities, each of which had a distinct waste generation rate and food waste generation share. The original study scales this by the number of institutions in Nairobi.</t>
  </si>
  <si>
    <t>250 respondents completed a seven day food waste diary in Beirut, alongside an attitudinal survey which a total of 500 people completed. Neighbourhoods were selected to be representative of the wider population, but the sampling of households within neighbourhoods was systematic random sampling. As a diary study, it has been adjusted for methodological bias.</t>
  </si>
  <si>
    <t>This figure comes from a review paper which references a primary source (in German) which is mentioned as being a survey to retail and distribution companies, although further methodological details are not provided. This estimate has been complemented by a more recent study in the same country.</t>
  </si>
  <si>
    <t>The paper cites 'Luxembourg Waste Statistics 2015'. This was not found either through the bibliography or through a direct internet search. However, it was considered 'data of sufficient quality' for the purposes of EU FUSIONS. The inability to find the source paper means we cannot have high confidence.</t>
  </si>
  <si>
    <t>This figure comes from a review paper which references a primary source (in German) which is mentioned as being a waste composition study, although further methodological details are not provided. This estimate has been complemented by a more recent study in the same country.</t>
  </si>
  <si>
    <t>Combination of waste statistics and a waste composition analysis undertaken in 2018-19, alongside other secondary and tertiary data. Further details are not known, but it is published by the Luxembourg Environment Administration.</t>
  </si>
  <si>
    <t>Combination of waste statistics and interviews and surveys with enterprises. Further details are not known, but it is published by the Luxembourg Environment Administration.</t>
  </si>
  <si>
    <t>Table 1 cites 'MHLG' (Ministry of Housing and Local Government) 2011, estimating food waste generation by source. This was not findable by the bibliography nor through a direct internet search. As a result, we cannot have high confidence in the estimate.</t>
  </si>
  <si>
    <t>282 households were sampled across four neighbourhoods, which represent a mixture of different housing types (terraced housing, bunaglows, flats). All in an area of Selangor described as a typical suburban area in the Kuala Lumpur area. Waste from a single day sampled in each area, sampling from the normal disposal routine rather than asking households to dispose of their waste differently. Panel 3 has breakdown of food into 'Unusued food' (7.71% total household waste), 'General kitchen waste' (24.83% total household waste), 'big fruit peels' (10.32% total waste).
Although this has a large sample, it is geographically restricted to one area so can only have medium confidence when used for the whole of Malaysia.</t>
  </si>
  <si>
    <t>The figure comes from a review paper which details the methodology of the original study. 700 households were randomly sampled for one week in each of July, October and April as part of a waste compositional analysis.</t>
  </si>
  <si>
    <t>This figure combines a number of sources, detailed in Appendix 5 of the report. Studies were identified in 3 states and 5 municipalities which directly measured the share of waste which was food waste at the household level. This is then scaled up using figures from the urban solid waste, which is primarily but not exclusively household waste: some small businesses and some larger ones (operating illegally) dispose of waste in the household municipal waste. The scale of non-household contamination is not known. As a result, it is no more than a medium confidence estimate for household food waste that likely slightly exaggerates its extent (in urban solid waste).</t>
  </si>
  <si>
    <t>The document cites a paper (De Waart, 2011) which could not be found through a direct internet search for the paper. As a result, it cannot be verified any further. It was judged to be data of 'sufficient quality' for the EU FUSIONS project, however. The inability to find the source paper means we cannot have high confidence.</t>
  </si>
  <si>
    <t>The study combines multiple methods: 130 households across 13 municipalities had waste compositional analyses conducted, in order to determine solid waste; 1000 respondents to a consumer survey in order to determine waste destinations (i.e. how much was composted, fed to animals etc.); 1013 respondents to an app used to document liquid waste. This is the same methodology as was applied in a 2016 study. Avoidable and unavoidable waste were presented separately and have been summed. Liquid waste has not been included in our figure.</t>
  </si>
  <si>
    <t>597 households across six different local authorities had their waste audited. This only considers the kerbside domestic waste.</t>
  </si>
  <si>
    <t>This summary document refers to a University of Otago Master's student having conducted waste audits at three supermarket chains. It also presents the final destinations of retail waste, which has been used to adjust the waste figure. The share going to Animal Feed, Donation and Protein Reprocessing has been removed from the waste figure.</t>
  </si>
  <si>
    <t>100 households covering a total of 334 people were selected by stratified random sampling, all in the Sapele area. Waste was collected from households after seven days and sorted.</t>
  </si>
  <si>
    <t>89 stores from 3 different retail chains provided data, alongside wholesalers covering a large share of the market, both upscaled to the whole of Norway. It was not possible to disaggregate wholesale.  Only edible food reported and the figures have therefore been adusted to estimate the entire food waste.</t>
  </si>
  <si>
    <t>210 households in the Fredrikstad and Hallingdal areas were randomly selected for waste sampling. These areas were considered to be sufficiently representative of the wider population for scaling purposes.</t>
  </si>
  <si>
    <r>
      <t xml:space="preserve">References the research project KuttMatsvinn2020, which focused on hotels, convenience stores and employee cafeterias, sampling around 2000 catering outlets. Work on other subsectors such as schools and restaurants is underway; as a result it appears as though the estimate has </t>
    </r>
    <r>
      <rPr>
        <i/>
        <sz val="11"/>
        <color theme="1"/>
        <rFont val="Calibri"/>
        <family val="2"/>
        <scheme val="minor"/>
      </rPr>
      <t xml:space="preserve">not </t>
    </r>
    <r>
      <rPr>
        <sz val="11"/>
        <color theme="1"/>
        <rFont val="Calibri"/>
        <family val="2"/>
        <scheme val="minor"/>
      </rPr>
      <t>accounted for these other sectors, making it an incomplete Food Service estimate.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r>
  </si>
  <si>
    <t>Retailers report data on waste and sales by product group and cause. Wholesalers also provide estimates this way, these have not been included here.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</si>
  <si>
    <t>60 urban households across three income groups (high middle and low). Provided with plastic bags which were collected daily for 8 days, though the first bag was disregarded for containing more than one day's waste. The sample was repeated across three seasons to account for variation. Rural households were considered within the study, these have been treated as a separate data point. As it is a study specific to a smaller geographic area, it is considered medium confidence for analysing the whole of Pakistan.</t>
  </si>
  <si>
    <t>10 households in rural areas provided with plastic bags in which to deposit waste. Collected for 8 days but the first day was discounted due to covering more than a day's waste. The survey was repeated across three different seasons to account for variation. The small sample means we cannot have high confidence. Urban households were also studied but treated as a separate data point.</t>
  </si>
  <si>
    <t>21 households, representing 83 people, were audited. None of them were involved in agricultural production. They were provided with three bags for sorting (bio-waste, hygenic waste, all other waste) and had waste collected in each of the four seasons. It is unclear for how long during each season the measurement took place. As a result of small sample size and unknown length, we cannot have high confidence in the estimate.</t>
  </si>
  <si>
    <t>The paper cites what is assumed to be a waste composition analysis by the Higher School of Economics (which was not found when searched for) and data from Rosstat. In addition, the shares of waste at each stage are calculations based on data from Russian Agriculture Ministry (2017). The estimate provides a total food waste estimate as well as the amount of waste at each stage of the chain, these have been combined to form sector-specific estimates. The inability to trace the original source data and the lack of transparency on the calculations means we cannot have high confidence in this estimate.</t>
  </si>
  <si>
    <t>90 households surveyed in 3 districts. For each district, 10 households from each socioeconomic group (low, medium, high). Bags and scales were distributed to the households and they were told to separate food waste and other waste. The households weighed this each day for a period of two weeks, but regularly received visits from the researchers.</t>
  </si>
  <si>
    <t>This study forms the Saudi waste Baseline, conducted by Saudi Grains Organisation (SAGO). 20,090 samples of domestic consumption were taken across 19 food products across 13 regions in Saudi Arabia. It is unclear, however, from how many households these samples arise. These were separated and weighed. This compositional analysis was supplemented by a behavioural study. The Household estimate is the share of waste attributed to 'Consumption'. Additional information and images to supplement the main study can be found here: https://www.macs-g20.org/fileadmin/macs/Activities/2020_FLW_WS/4_Session_3_FW_at_HH_level_small.pdf</t>
  </si>
  <si>
    <t>This study forms the Saudi waste Baseline, conducted by Saudi Grains Organisation (SAGO). For Retail, over 7,000 samples across 19 product groups were taken. It is uncelar, however, from how many retailers samples were taken. Wholesale is not disaggregated from Retail so is included. Samples taken across 13 regions in Saudi Arabia. The value taken is the share of total waste attributed to 'Distribution'. Additional information and images to supplement the main study can be found here: https://www.macs-g20.org/fileadmin/macs/Activities/2020_FLW_WS/4_Session_3_FW_at_HH_level_small.pdf</t>
  </si>
  <si>
    <t>Interviews conducted with approximately 100 hotels, restaurants and caterers to determine the share of food waste at the stages of kitchen preparation and plate waste. Unclear to what extent survey respondents were estimating or based on internal measurement. The waste generation factors from this were applied to CEVES estimates on food purchases in Serbian HoReCa.</t>
  </si>
  <si>
    <t>Data from the Slovenian Statistical Office, but the exact methodology is unclear. The methodological explanation from the same site mentions three different annual surveys on waste collection, generation and recovery/disposal, alongside an ad-hoc questionnaire of public waste collection services. It is unclear to whom the surveys are sent (i.e. to waste generators or to waste collection services) and if it requires submission of observed data or some other form of self-reporting.</t>
  </si>
  <si>
    <t>554 participants taking place in a face-to-face survey. They were asked to measure and record their waste for the 48hr before the survey. Survey across three towns of Richards Bay, Dundee and Harrismith. Mixture of urban, peri-urban and rural households.</t>
  </si>
  <si>
    <t xml:space="preserve">This paper comines a literature review of waste compositional analyses disaggregated by income group across three cities (Cape Town, Johannesburg and Rustenburg). These are then scaled by the waste generation of those specific income groups nationally. Due to the comparison with other datapoints from South Africa and their large variation, this was not considered an estimate in which we could have high confidence. </t>
  </si>
  <si>
    <t>44,927 households across 74 collection routes in Johannesburg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</si>
  <si>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20,439 households across 41 collection routes in Ekurhuleni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</si>
  <si>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123 households across 5 areas of Tshwane Metropolitan Municipality had their food waste weighed. The food waste was collected separately and weighed on a weekly basis for a period of 3 weeks. The sample of 123 are out of 133 respondents on a survey who indicated that they wasted food. Another 77 respondents indicated that they did not waste food, and were seemingly not asked to weigh their waste. This may bias the results by only auditing those who self-describe themselves as someone who wastes food, and not including measurements from much smaller waste generators.
The paper does not present a single waste figure. Instead, it has been derived from Table 4.9 using the waste generation rate per household, number of people in household and share of that household size in the sample to get a weighted per capita estimate (the Sum of [household waste / number of people in household] * [share of total sample which is this houehold size] for each household size).
The paper does include some disposal method information but not enough to adjust the figures. For example, 14% of respondents claimed they fed food waste to pets, but this does not clearly translate to 14% of food waste being fed to animals. As a result, no adjustment was carried out.</t>
  </si>
  <si>
    <t>The figure comes from a review paper which cites a study produced by the Spanish Environment Ministry. It involved 4000 households doing an online waste diary survey, 2000 of which documented their shopping and waste with the other half used to develop user profile and preferences. This only looks at edible waste so has been adjusted.</t>
  </si>
  <si>
    <t>The figure comes from a review paper which cites a study produced by the Spanish Environment Ministry. It is similar to the other Spanish datapoint but involves a higher number of households, with 12,000 considered for building the profile of shopping habits and 4,000 doing the waste diary. This only looks at edible waste so has been adjusted.</t>
  </si>
  <si>
    <t>The JICA study refers to a range of locally conducted surveys on waste generation units and waste composition, combined with waste generation rates obtained by SATREPS (Science and Technology Research Partnership for Sustainable Development) in 2014, a previous JICA project. The methodological details of the locally outsourced surveys are not clear. Although the waste generation rates are captured at a household level, it appears as though the compositional analysis may have been done at an aggregated level, such as at the landfill. This and the methodological uncertainty reduces our confidence in the estimates, so they are rated 'medium confidence' only.</t>
  </si>
  <si>
    <t xml:space="preserve">The estimate comes from Avfall Sverige (Swedish Waste management and Recycling Association) data on the amounts of separate food waste collection and composition estimates for mixed municipal waste. Home composting is included in the separate food waste estimate. The waste estimates are adjusted by a figure of 0.80 to account for home-like business waste collected by municipalities. </t>
  </si>
  <si>
    <t>This estimate takes waste factors derived from two different papers, both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</si>
  <si>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This estimate takes waste factors derived from two different papers,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</si>
  <si>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The paper is produced by Naturvårdsverket, the Swedish Environmental Protection Agency, and is based on industry reporting to the EPA. The summary (in English) does not provide detailed methodology on number of companies reporting.</t>
  </si>
  <si>
    <t>This paper cites Baier and Reinhard (2007) for food service installations, and Andrini and Bauen (2005) for restaurants. Both are in German and involved waste audits. 40 food service installations were audited and 20 restaurants. These estimates have been combined to create an estimate of total Out of Home waste.</t>
  </si>
  <si>
    <t>Household data comes from a combination of data on the composition and weight of residual and organic recycling schemes from Local Authorities. The share of waste which is disposed of via the sewer has been removed from the estimate, though the waste composted at home has not.</t>
  </si>
  <si>
    <t>Food waste data remodelled based on WRAP's 2013 analysis of food waste in the hospitality and food service sector, a study which employed waste compositional analyses and analysis of DEFRA survey information. This data was re-weighted to account for the change in number and size of premises, number of pupils served by school catering etc.</t>
  </si>
  <si>
    <t>Data provided by Retail signatories to Courtauld 2025, which cover more than 95% of the food retail sector (by sales), were used. They were scaled up based on market coverage.</t>
  </si>
  <si>
    <t>75 households in middle and low-income settlements, primarily in high population density informal settlements. Provided with waste bags for three different days which were collected and sorted.</t>
  </si>
  <si>
    <t>US EPA synthesis of food waste consistent with the FLW protocol. Combines waste generation factors from other studies with relevant scaling statistics. 12 studies which directly measure waste were used to inform residential generation rate, nearly all of which were waste compositional analyses. 15% going to sewer / wastewater treatment has been removed.</t>
  </si>
  <si>
    <t>US EPA synthesis of food waste consistent with the FLW protocol. Combines waste generation factors from other studies with relevant scaling statistics, such as employees or revenue for a sector. Food Service as an estimate which combines hospitality (hotels, restaurants/food service; sports venues) and institutional (healthcare, office buildings, military and prisons, schools and universities). 51 studies in total used to inform Food Service generation rate across the various subsectors. Waste management pathways were provided for the commercial and institutional subsectors separately; only in the commercial hospitality subsector was some surplus managed to a non-waste destination (14% donated), this has been accounted for.</t>
  </si>
  <si>
    <t>US EPA synthesis of food waste consistent with the FLW protocol. Combines waste generation factors from other studies with relevant scaling statistics, such as employees or revenue for a sector. Nine studies were used, a mixture of waste audits and surveys, to form the waste generation factors. Wholesale also estimated, not included in the paper. 9 studies used to inform supermarket and supercenter waste generation rate. Waste management pathways for wholesale/retail were provided, these were used to remove the share donated (21%) and going to animal feed (14%)</t>
  </si>
  <si>
    <t>100 households across ten different sampling points were selected. The sample is considered to be representative of Can Tho City in terms of household size. They had their waste analysed at two points in time: once in the dry season for a month, once in the rainy season for a two week period.</t>
  </si>
  <si>
    <t>120 households were sampled for the period of one week. They were provided with plastic bags in which to put household waste which were collected daily. Satellite imagery on the distribution of housing types in Da Nang were used to scale the data according to those housing types and form an estimate for the city.</t>
  </si>
  <si>
    <t>60 households across three areas (distinguished by housing density) sorted their waste weekly for a period of one month. The households were given plastic containers for different wastes: food, plastics, paper, textile, grass and other wastes. They therefore separated it themselves, but did not weigh or estimate it themselves.</t>
  </si>
  <si>
    <t>Unclear</t>
  </si>
  <si>
    <t>2011-2012</t>
  </si>
  <si>
    <t>2004 - 2009</t>
  </si>
  <si>
    <t>2010-11</t>
  </si>
  <si>
    <t>Share of waste which is food waste, distinct from organic</t>
  </si>
  <si>
    <t>Share of waste which is food waste, no other organic estimate</t>
  </si>
  <si>
    <t>Share of purchases wasted</t>
  </si>
  <si>
    <t>Share of total food waste generation</t>
  </si>
  <si>
    <t>Tonnes / year</t>
  </si>
  <si>
    <t>Tonnes / day</t>
  </si>
  <si>
    <t>Million tonnes / year</t>
  </si>
  <si>
    <t>Thousand tonnes / year</t>
  </si>
  <si>
    <t>KG / day</t>
  </si>
  <si>
    <t>Million kg / year</t>
  </si>
  <si>
    <t>Million pounds / year</t>
  </si>
  <si>
    <t>kg / day</t>
  </si>
  <si>
    <t>UST / year</t>
  </si>
  <si>
    <t/>
  </si>
  <si>
    <t>kg / capita / day</t>
  </si>
  <si>
    <t>kg / establishment / day</t>
  </si>
  <si>
    <t>kg / capita / year</t>
  </si>
  <si>
    <t>g / capita / day</t>
  </si>
  <si>
    <t>Ton / € million turnover PPP adjusted</t>
  </si>
  <si>
    <t>kg / capita / month</t>
  </si>
  <si>
    <t>g / capita / week</t>
  </si>
  <si>
    <t>kg / capita / week</t>
  </si>
  <si>
    <t>&gt; 14.13%</t>
  </si>
  <si>
    <t>&gt;17.98%</t>
  </si>
  <si>
    <t>Sum of edible (211858) and inedible (256447), multiplied to remove the share which is going to Animal Feed (28%) and the amount being discharged to toilets/sinks (3%). See Table 3.  Edible fraction: 45%. Assumes an equal amount of edible and inedible waste gets fed to animals</t>
  </si>
  <si>
    <t>Includes edible / inedible splits for each sector and subsector, see Table in Summary.</t>
  </si>
  <si>
    <t>The solid waste was 8.22 Mt, of which Edible portion 2.82 Mt</t>
  </si>
  <si>
    <t>Waste composition has avoidable and unavoidable split. 15.7kg is unavoidable, 34.3kg avoidable. The headline statistics they offer are for avoidable waste only, but in this case it has been adjusted.</t>
  </si>
  <si>
    <t>Share of food waste which is edible based on Fredrikstad and Hallingdal data and weighted by population size of the areas, to get an estimate for the whole of Norway. Amounts to 46.3kg edible.</t>
  </si>
  <si>
    <t>Data from industry</t>
  </si>
  <si>
    <t>Study Number</t>
  </si>
  <si>
    <t>Title</t>
  </si>
  <si>
    <t>Publication Year</t>
  </si>
  <si>
    <t>Multiple</t>
  </si>
  <si>
    <t>https://www.ademe.fr/etat-lieux-masses-gaspillages-alimentaires-gestion-differentes-etapes-chaine-alimentaire</t>
  </si>
  <si>
    <t>Scaling Factors:</t>
  </si>
  <si>
    <t>Share_note</t>
  </si>
  <si>
    <t>FW_Share_estimate</t>
  </si>
  <si>
    <t>kg / Capita / year</t>
  </si>
  <si>
    <t>Household diary studies</t>
  </si>
  <si>
    <t>Household edible waste</t>
  </si>
  <si>
    <t>Food Service edible waste</t>
  </si>
  <si>
    <t>Retail edible waste</t>
  </si>
  <si>
    <t>Food Waste Index
Level 1 Annex</t>
  </si>
  <si>
    <t>Alongside the data from the source paper are the adjustments made for the purposes of Level 1 modelling. This took place in two stages:
1) Normalising all food waste measurements to a single metric, kg/capita/year
2) Adjusting the food waste estimate to account for known biases or different scopes of measurement.
This is detailed in the Methodology Appendix. These adjustments lead to a final estimate of food waste, expressed as kg/capita/year, in the final column of the Database table. These were the figures used to calculate the Food Waste Index Level 1 estimates, following the methodology detailed in the Appendix.</t>
  </si>
  <si>
    <t>Name</t>
  </si>
  <si>
    <t>Notes</t>
  </si>
  <si>
    <t>Where appropriate, the Database contains formulae within the cells to help understand the approach taken. In particular, this is the case when the food waste estimate (whether total or per capita) was derived from information within the source paper. As an example, when daily generation of residual waste (i.e. all products) was presented alongside a share of waste which was food waste, these two figures were multiplied together to form the food waste estimate. By presenting the figures as they are in the source paper, it should be easier to trace the evidence back to its origin.
For the purposes of improving readability, other values are hard coded as numbers. For a full description of the method, including the sources of these figures, see the Methodological Appendix to the main report.</t>
  </si>
  <si>
    <t>Every row represents a different 'datapoint'. A single study can contain multiple datapoints: each datapoint represents a separate observation, such as a different year, geographic territory or sector. Where a study took multiple observations to inform a single estimate for a larger geographic entity, that larger entity was taken as a single datapoint. In some cases, therefore, a single datapoint is the aggregation of a series of studies or observations which have been carried out in the source paper.
The Database presents the key information from each identified study: its geographic scope, its sectoral coverage, its methodology and the data extracted from the source. The paper numbers correspond to the titles and links on the 'References' tab.</t>
  </si>
  <si>
    <t>User instructions</t>
  </si>
  <si>
    <t>https://openjicareport.jica.go.jp/pdf/12126843.pdf</t>
  </si>
  <si>
    <t>https://doi.org/10.3390/su11123381</t>
  </si>
  <si>
    <t>https://beta.wrap.org.uk/resources/report/conceptual-framework-national-strategy-food-loss-and-waste-mexico</t>
  </si>
  <si>
    <t>https://openjicareport.jica.go.jp/pdf/12246336_01.pdf</t>
  </si>
  <si>
    <t>https://www.stat.si/StatWeb/en/news/Index/8433</t>
  </si>
  <si>
    <t>https://www.stat.si/StatWeb/en/News/Index/9230</t>
  </si>
  <si>
    <t>https://openjicareport.jica.go.jp/pdf/12250213.pdf</t>
  </si>
  <si>
    <t>Key adjustments</t>
  </si>
  <si>
    <t>The key adjustment made to the data from the source paper were adjustments to improve comparability and align the estimates more closely with what is measured as part of the Food Waste Index. These rely on scaling factors to account for the underreporting bias of household diary studies and the inedible portion of waste either not measured or not presented in some studies.
The calculation of these scaling factors is detailed in the Appendix.</t>
  </si>
  <si>
    <t>Created by</t>
  </si>
  <si>
    <t>Created on</t>
  </si>
  <si>
    <t>Number assigned to the study for the purposes of the Level 1 estimate. These correspond to the numbers in the References tab.</t>
  </si>
  <si>
    <t>Title of the source paper.</t>
  </si>
  <si>
    <t>The calendar year in which the paper was published.</t>
  </si>
  <si>
    <t xml:space="preserve">A hyperlink, if applicable, to the study. </t>
  </si>
  <si>
    <t>Standard country code for statistical use.</t>
  </si>
  <si>
    <t>Whether the country is classified as 'Developed' or 'Developing'.</t>
  </si>
  <si>
    <t>The geographic sub-region as per UNSD groupings. See: https://unstats.un.org/unsd/methodology/m49/</t>
  </si>
  <si>
    <t>The income group of the country of study, as defined by the World Bank's income groups. See: https://datahelpdesk.worldbank.org/knowledgebase/articles/906519-world-bank-country-and-lending-groups</t>
  </si>
  <si>
    <t>Denotes whether a study was conducted as an estimate of food waste for the whole country or a municipal or sub-national area.</t>
  </si>
  <si>
    <t>If the study was an estimate of a municipal or sub-national area, the name of that area as written in the paper.</t>
  </si>
  <si>
    <t>The population of the country in 2019, expressed in millions of people.</t>
  </si>
  <si>
    <t>A "1" denotes that the datapoint was an estimate of Household food waste.</t>
  </si>
  <si>
    <t>A "1" denotes that the datapoint was an estimate of Food Service food waste.</t>
  </si>
  <si>
    <t>A "1" denotes that the datapoint was an estimate of Retail food waste.</t>
  </si>
  <si>
    <t>The classification of the datapoint into 'High' (1) or 'Medium' (2) confidence levels.</t>
  </si>
  <si>
    <t>A brief textual description of the datapoint: its methodology, the sample size and duration (if known) and how it was calculated.</t>
  </si>
  <si>
    <t>A "1" denotes that this datapoint measured Household food waste using diary methodology, therefore requiring adjustment for comparability.</t>
  </si>
  <si>
    <t>A "1" denotes that this datapoint measured only the edible portion of food waste (across any sector), therefore requiring adjustment for comparability.</t>
  </si>
  <si>
    <t>If known, the year that a study was conducted, as distinct from the year it was published. Blanks indicate that it was not presented in the paper but was not needed, as the paper expressed waste in per capita terms. Numbers in red indicate that it was not presented in the paper but was required to scale a total food waste estimate into a per capita estimate. In these cases, the year of study has been assumed to be two years prior to the year of publication.</t>
  </si>
  <si>
    <t>A note contextualising the 'FW_Share_Estimate' variable into a number of categories relating to: food waste as a share of purchases; food waste as a share of the total waste generation by that stage; food waste at that stage as a share of total food waste across the measured chain.</t>
  </si>
  <si>
    <t>If applicable, a percentage value related to the food waste. In some cases these were used to derive the food waste estimate.</t>
  </si>
  <si>
    <t>If presented, a mass value for food waste estimated across the entire geographic entity and sector of the datapoint.</t>
  </si>
  <si>
    <t>Mass_estimate</t>
  </si>
  <si>
    <t>Original_Mass_Measure</t>
  </si>
  <si>
    <t>Adjusts the 'Mass_estimate' variable to one year in cases where 'Original_Mass_Measure' denotes that it was measured at a different timescale. Datapoints which were not adjusted are presented in grey.</t>
  </si>
  <si>
    <t>If applicable, the population of the country in the year of the study. Taken from UNSD population data, with linear extrapolations between the available datapoints to fill gaps where population estimates were unavaiable.</t>
  </si>
  <si>
    <t>If applicable, the population of the sub-national area in the year of the study. Wherever possible, this was taken from the source paper to ensure comparability of geographic boundaries.</t>
  </si>
  <si>
    <t>Original_Normalised_Mass_Measure</t>
  </si>
  <si>
    <t>The product of the four adjustment figure variables.</t>
  </si>
  <si>
    <t>Study_#</t>
  </si>
  <si>
    <t>Publication_year</t>
  </si>
  <si>
    <t>M49_Code</t>
  </si>
  <si>
    <t>WB_Income_Category</t>
  </si>
  <si>
    <t>Study_area_level</t>
  </si>
  <si>
    <t>Study_area_name</t>
  </si>
  <si>
    <t>Food_Service</t>
  </si>
  <si>
    <t>Confidence_Classification</t>
  </si>
  <si>
    <t>Household_Diary?</t>
  </si>
  <si>
    <t>In cases where the 'Household_Diary?' variable is marked as 1, the scaling factor to account for diary bias is presented. Datapoints where adjustment is not required are written in grey.</t>
  </si>
  <si>
    <t>Edible_Waste_Only?</t>
  </si>
  <si>
    <t>In cases where the 'Edible_Waste_Only?' variable is marked as 1 and the datapoint is a Household datapoint, the scaling factor to account for inedible waste in the Household sector is presented. Datapoints where adjustment is not required are written in grey.</t>
  </si>
  <si>
    <t>In cases where the 'Edible_Waste_Only?' variable is marked as 1 and the datapoint is a Food Service datapoint, the scaling factor to account for inedible waste in the Food Service sector is presented. Datapoints where adjustment is not required are written in grey.</t>
  </si>
  <si>
    <t>In cases where the 'Edible_Waste_Only?' variable is marked as 1 and the datapoint is a Retail datapoint, the scaling factor to account for inedible waste in the Retail sector is presented. Datapoints where adjustment is not required are written in grey.</t>
  </si>
  <si>
    <t>Year(s)_covered</t>
  </si>
  <si>
    <t>Edible_Avoidable_Share</t>
  </si>
  <si>
    <t>Weight_Adjustment_T</t>
  </si>
  <si>
    <t>Time_Adjustment_Y</t>
  </si>
  <si>
    <t>Derived_Estimate_Needed?</t>
  </si>
  <si>
    <t>Study_Year_Country_Population</t>
  </si>
  <si>
    <t>Study_Year_Subnational_Population</t>
  </si>
  <si>
    <t>Normalised_Mass_Estimate</t>
  </si>
  <si>
    <t>Normalised_Weight_Adjustment_kg</t>
  </si>
  <si>
    <t>Normalised_Time_Adjustment_Y</t>
  </si>
  <si>
    <t>Standardised_Normalised_Mass_kg/capita/year</t>
  </si>
  <si>
    <t>Standardised_Mass_tonnes/year</t>
  </si>
  <si>
    <t>Preferred_estimate_kg/capita</t>
  </si>
  <si>
    <t>Household_Diary_Adjustment</t>
  </si>
  <si>
    <t>Household_Inedible_Adjustment</t>
  </si>
  <si>
    <t>Food_Service_Inedible_Adjustment</t>
  </si>
  <si>
    <t>Retail_Inedible_Adjustment</t>
  </si>
  <si>
    <t>Total_Adjustment</t>
  </si>
  <si>
    <t>Final_kg/cap/yr_estimate</t>
  </si>
  <si>
    <t>62% of food (total, across all sectors) was inedible parts. As this was across all sectors, it was not applied. The statistics also include a breakdown based on where the food is treated.</t>
  </si>
  <si>
    <t>Panel 3 has breakdown of food into Unusued food, more &gt;1/2 whole (7.71% total waste), 'General food waste' (24.83% total waste), 'big fruit peels/cores' (10.32% total waste). It would not be possible to classify what is edible or inedible within 'general food waste', but the 'Unused food' is 7.71/42.86%, suggesting it is at very least 17.98%</t>
  </si>
  <si>
    <t xml:space="preserve">Food disaggregated into 'prepared' (i.e. leftovers, 8.56%) and 'not prepared' (assumed to include scraps, 52%). Distinct from garden waste, textiles, wood. Table 4-6 has composition. This amounts to at least 14% being edible (prepared) through 8.56/60.56. Not prepared would be a mixture of edible and inedible waste so we cannot with confidence say the share of edible or avoidable waste.
</t>
  </si>
  <si>
    <t>7.85kg of the normalised food waste estimate was considered avoidable</t>
  </si>
  <si>
    <t>0.41 Mt was considered avoidable</t>
  </si>
  <si>
    <t>Food service divided into 'gastronomy' (restaurants) and 'collective' (canteens). 7.1kg of gastronomy and 9.6kg of collective considered avoidable.</t>
  </si>
  <si>
    <t>Avoidable waste registered as 175,000 tonnes, not avoidable from food preparation as 48,500 tonnes. Approximately 22% was therefore unavoidable.
The source goes into more detail with split of avoidable food waste in subsectors: restaurants; accommodation establishments; canteens; other similar establishments like coffee houses.</t>
  </si>
  <si>
    <t>1.22 Mt was considered avoidable</t>
  </si>
  <si>
    <t xml:space="preserve">Separates edible and inedible waste. Approximately 23/32 kg/capita was edible. </t>
  </si>
  <si>
    <t xml:space="preserve">Waste presented separately as edible (43391) and inedible (21437) in Table 5. </t>
  </si>
  <si>
    <t>Report states that 69% of food waste is from waste collected by local authorities (excluding sewer and home composting); 108 kg / person / year. 23% goes to sewer - this has been removed to improve comparability 
WRAP's food surplus and waste key facts document was used to calculate the edible share, which is 4.5/6.6 Mt.</t>
  </si>
  <si>
    <t>Calculated dividing edible portion by food waste generation, as per slide 4.</t>
  </si>
  <si>
    <t>Hospitality and Catering were presented separately. In both cases, edible and inedible cases were presented separately. For Hospitality, the edible fraction was 28%. In catering, the edible fraction was 95%. The edible share calculated is based on the tonnes of edible waste generated across all of food service / tonnes total food waste, and therefore accounts for the relative size of hospitality and catering subsectors.</t>
  </si>
  <si>
    <t>62% of restaurants is 'unnecessary', 52% of catering. This is multiplied by their waste generation and combined to get the food service edible waste share.</t>
  </si>
  <si>
    <t>59% of the total food waste was avoidable (as defined in the source, 'food loss'). The paper also contains a breakdown of different size of waste per portion in different institutions.</t>
  </si>
  <si>
    <t>As per the graphic on the source site, 530 g edible waste.</t>
  </si>
  <si>
    <t>Has estimates of avoidable and partly avoidable waste as being 157,000 tonnes.</t>
  </si>
  <si>
    <t>Includes splits at household level of avoidable and unavoidable, plus further disaggregation into food type (Fig 1). Thisis mesured in kg/household/year. Total Food waste is 183 kg/household/year, of which 103 is avoidable and 80 unavoidable.</t>
  </si>
  <si>
    <t>Splits food waste into 'avoidable' and 'unavoidable' food waste. Avoidable: 246,977 tonnes; unavoidable: 208,552. This is further disaggregated by different house types, there is also a breakdown of different food stuffs (see Tables 7, 8 and 9).</t>
  </si>
  <si>
    <t>Avoidable food waste presented as 54% of total food waste.</t>
  </si>
  <si>
    <t>Edible / inedible splits are presented for each subsector. The edible waste arisings are summed and divided by the total food waste for the food service sector as a whole.</t>
  </si>
  <si>
    <t>Paper includes breakdown of avoidable, potentially avoidable and unavoidable. Avoidable waste was 48.81% of total food waste and liquid waste. Possibly avoidable was 4.16%, this is assumed to be 50% avoidable and 50% unavoidable for comparability purposes. A breakdown of specific food categories is also presented.</t>
  </si>
  <si>
    <t xml:space="preserve">Presents avoidable and unavoidable splits. Avoidable food waste was on average 48.8% of household food waste. </t>
  </si>
  <si>
    <t>Edible portion / food waste generation, as per slide 4</t>
  </si>
  <si>
    <t>2.69 Mt was considered avoidable</t>
  </si>
  <si>
    <t>Has avoidable food waste (which they term 'food loss') estimate as constituting 36% of total food waste generation. As a result, avoidable food waste was 16.8kg / person / year.
The authors also present some breakdowns of types of foods which are discarded.</t>
  </si>
  <si>
    <t>35% of household waste was considered 'unnecessary', i.e. could have been eaten were it not for some form of human error. This is considered to be the same as 'avoidable' food waste.</t>
  </si>
  <si>
    <t>The avoidable/unavoidable split is presented. 31% was considered avoidable.</t>
  </si>
  <si>
    <t>The avoidable/unavoidable split is presented. 29.8 kg / cap / year avoidable. This is divided by the total waste to get an edible share.</t>
  </si>
  <si>
    <t>Edible_Avoidable_Note</t>
  </si>
  <si>
    <t>Only edible waste is presented.</t>
  </si>
  <si>
    <t>If applicable, a percentage value expressing the share of food waste which was considered 'edible' or 'avoidable'. In many cases, this variable is a sum based on the total food waste and a mass value of edible or avoidable waste presented in the source.</t>
  </si>
  <si>
    <t>This Annex presents the database of datapoints which were used to inform the Level 1 food waste estimates in the 2021 UNEP Food Waste Index Report. It is intended to serve as an additional resource to aid the understanding of that report and offer transparency on the data collection and adjustment which inform the Level 1 Food Waste Index (FWI) estimates.</t>
  </si>
  <si>
    <t>Variable column title</t>
  </si>
  <si>
    <t>The country in which the measurement took place.</t>
  </si>
  <si>
    <t>The methodology of the food waste estimate grouped into one of seven categories based on how the data was measured.</t>
  </si>
  <si>
    <t>Textual information to contextualise the 'Edible_Avoidable_Share' variable, including definitions used in the paper (i.e. edible/inedible or avoidable/unavoidable).</t>
  </si>
  <si>
    <t>The metric and timescale of the 'Mass_estimate' variable as presenteed in the source paper for the datapoint.</t>
  </si>
  <si>
    <t>Brings the two adjustments (weight and time) into a single column which is standardised to tonnes per year.</t>
  </si>
  <si>
    <t>A "1" denotes that there was no per capita estimate found in the source paper for this datapoint. Therefore, a per capita estimate needs to be derived from the 'Standardised_mass_tonnes/year' variable.</t>
  </si>
  <si>
    <t>If applicable, uses the 'Standardised_mass_tonnes/year' and relevant population estimates to derive a kg/capita estimate for the datapoint.</t>
  </si>
  <si>
    <t>If presented, a mass value for food waste estimated per capita.</t>
  </si>
  <si>
    <t>The metric and timescale of the 'Normalised_Mass_estimate' variable as presenteed in the source paper for the datapoint.</t>
  </si>
  <si>
    <t>Adjusts the 'Normalised_mass_estimate' variable to kg/capita in cases where 'Original_Normalised_Mass_Measure' denotes that it was measured at using a different metric. Datapoints which were not adjusted are presented in grey.</t>
  </si>
  <si>
    <t>Adjusts the timescale of 'Normalised_Weight_Adjustment_kg' variable to one year in cases where 'Original_Mass_Measure' denotes that it measured a different timescale. Datapoints which were not adjusted are presented in grey.</t>
  </si>
  <si>
    <t>Adjusts the 'Time_adjustment_y' variable to metric tonnes in cases where 'Original_Mass_Measure' denotes that it was measured by a different metric. Datapoints which were not adjusted are presented in grey.</t>
  </si>
  <si>
    <t>Derived_Normalised_kg/capita/year</t>
  </si>
  <si>
    <t>The 'Standardised_Normalised_Mass_kg/capita/year' and 'Derived_Normalised_kg/capita/year' variables are compared, in cases where both are present. 'Standardised_Normalised_Mass_kg/capita/year' values are prioritised ahead of values derived using population estimates and are denoted the 'Preferred' estimate. In cases where no normalised estimate was available, the 'Derived_Normalised_kg/capita/year' value is used.</t>
  </si>
  <si>
    <t>The 'Preferred_estimate_kg/capita' variable multiplied by the adjustment figure. This is the final kg/capita estimate used for the datapoint within the Food Waste Index report and calculations.</t>
  </si>
  <si>
    <t>Matavfall I Sverige: Uppkomst och benhandling 2018</t>
  </si>
  <si>
    <t>li</t>
  </si>
  <si>
    <t>National Food Waste Baseline: Final assessment report</t>
  </si>
  <si>
    <t>Author(s)</t>
  </si>
  <si>
    <t>Arcadis</t>
  </si>
  <si>
    <t>Food Waste Statistics Austria</t>
  </si>
  <si>
    <t>Environment Agency Austria</t>
  </si>
  <si>
    <t>Caldeira, Carla; Barco Cobalea, Hector; Serenella, Sala; De Laurentiis, Valeria; European Commission; Joint Research Centre</t>
  </si>
  <si>
    <t>Review of studies on food waste accounting at Member State level.</t>
  </si>
  <si>
    <t>Minister of works: 195 thousand tons of food waste annually</t>
  </si>
  <si>
    <t>Alayam</t>
  </si>
  <si>
    <t>Generation and Assessing the Composition of Household Solid Waste in Commercial Capital City of Bangladesh</t>
  </si>
  <si>
    <t>Salam, Mohammed Abdus; Hossain, Lokman; Das, Satyajit Roy; Wahab, Razak; Hossain, Mohammed Kamal</t>
  </si>
  <si>
    <t>Household solid waste characteristics and management in Chittagong, Bangladesh</t>
  </si>
  <si>
    <t>Sujauddin, Mohammad; Huda, S.M.S.; Hoque, A.T.M. Rafiqul</t>
  </si>
  <si>
    <t>Preparatory Survey for Integrated Solid Waste Management in Nairobi City in the Republic of Kenya</t>
  </si>
  <si>
    <t>JICA</t>
  </si>
  <si>
    <t>The Study on the Solid Waste Management in Dhaka City</t>
  </si>
  <si>
    <t>Project on Master Plan Study for Integrated Solid Waste Management in Bogota, D.C.</t>
  </si>
  <si>
    <t>Project for Integrated Solid Waste Management Master Plan in Gujranwala</t>
  </si>
  <si>
    <t>Food Waste and Food Losses: Prevention and Valorisation</t>
  </si>
  <si>
    <t>Flemish Food Supply Chain Platform for Food Loss</t>
  </si>
  <si>
    <t>Inter-American Development Bank</t>
  </si>
  <si>
    <t>Intercâmbio Brasil-União Europeia sobre desperdício de alimentos: relatório final</t>
  </si>
  <si>
    <t>Araujo, G.P. de; Lourenço, C.E.; Araújo, C.M.L. de; Bastos, A.</t>
  </si>
  <si>
    <t>Environment and Climate Change Canada</t>
  </si>
  <si>
    <t>An Overview of the Resources and Environmental Issues from Wasted Food in Urban Catering Across China</t>
  </si>
  <si>
    <t>Gao, Liwei; Cheng, Shengkui; Cao, Xiaochang; Zhang, Dan; Xiaojie Liu; Qin, Qi; Liu, Yao</t>
  </si>
  <si>
    <t>Characterization, quantification and management of household solid waste: A case study in China</t>
  </si>
  <si>
    <t>Gu, Binxian; Wang, Haikun; Chen, Zun; Jiang, Suqin; Zhu, Weimo; Liu, Miaomiao; Chen, Yangqing; Wu, Yi; He, Sheng; Cheng, Rong; Yang, Jie; Bi, Jun</t>
  </si>
  <si>
    <t>Rural household food waste characteristics and driving factors in China</t>
  </si>
  <si>
    <t>Li, Yunyun; Wang, Ling-en; Liu, Gang; Cheng, Shengkui</t>
  </si>
  <si>
    <t>Food waste collection and recycling for value-added products: potential applications and challenges in Hong Kong</t>
  </si>
  <si>
    <t>Lo, Irene M. C.; Woon, Kok Sin</t>
  </si>
  <si>
    <t>Survey of composition and generation rate of household wastes in Beijing, China</t>
  </si>
  <si>
    <t>Qu, Xiao-yan; Li, Zhen-shan; Xie, Xin-yuan; Sui, Yu-mei; Yang, Lei; Chen, You</t>
  </si>
  <si>
    <t>Food consumption and waste and the embedded carbon, water and ecological footprints of households in China</t>
  </si>
  <si>
    <t>Song, Guobao; Li, Mingjing; Semakula, Henry Musoke; Zhang, Shushen</t>
  </si>
  <si>
    <t>Anaerobic digestion based waste-to-energy technologies can halve the climate impact of China’s fast-growing food waste by 2040</t>
  </si>
  <si>
    <t>Zhang, Hui; Liu, Gang; Xue, Li; Zuo, Jian; Chen, Ting; Vuppaladadiyam, Arun; Duan, Huabo</t>
  </si>
  <si>
    <t>Kortlægning af madaffald i servicesektoren: Detail handel, restauranter og storkøkkener</t>
  </si>
  <si>
    <t>Danish Environmental Protection Agency</t>
  </si>
  <si>
    <t>Food waste from Danish households: Generation and composition</t>
  </si>
  <si>
    <t>Edjabou, Maklawe Essonanawe; Petersen, Claus; Scheutz, Charlotte; Astrup, Thomas Fruergaard</t>
  </si>
  <si>
    <t>Kortlægning af sammenstaetningen af dagrenovation og kildesorteret oranisk affald fra husholdninger</t>
  </si>
  <si>
    <t>Toidujäätmete ja toidukao teke Eesti kodumajapidamistes ja toitlustusasutustes</t>
  </si>
  <si>
    <t>Moora, Harri; Evelin, Urbel-Piirsalu; Õunapuu, Kerlin</t>
  </si>
  <si>
    <t>Analysis of food waste in the Estonian food trade sector and the food industry Summary</t>
  </si>
  <si>
    <t>Moora, Harri; Piirsalu, Evelin; Viilvere, Triin</t>
  </si>
  <si>
    <t>Solid Waste Generation Rate and Characterization Study for Laga Tafo Laga Dadi Town, Oromia, Ethiopia</t>
  </si>
  <si>
    <t>Assefa, Mesfin</t>
  </si>
  <si>
    <t>Estimates of European food waste levels</t>
  </si>
  <si>
    <t>Stenmarck, Åsa; Jensen, Carl; Quested, Tom; Moates, Graham; Buksti, Michael; Cseh, Balázs; Juul, Selina; Parry, Andrew; Politano, Alessandro; Redlingshofer, Barbara; Scherhaufer, Silvia; Silvennoinen, Kirsi; Soethoudt, Han; Zübert, Christine; Östergren, Karin</t>
  </si>
  <si>
    <t>Food waste in the Finnish food chain</t>
  </si>
  <si>
    <t>Katajajuuri, Juha-Matti; Silvennoinen, Kirsi; Hartikainen, Hanna; Heikkilä, Lotta; Reinikainen, Anu</t>
  </si>
  <si>
    <t>Pertes et gaspillages alimentaires : l'état des lieux et leur gestion par étapes de la chaîne alimentaire</t>
  </si>
  <si>
    <t>ADEME</t>
  </si>
  <si>
    <t>Preparatory study on food waste across EU 27</t>
  </si>
  <si>
    <t>BIO Intelligence Service</t>
  </si>
  <si>
    <t>Seasonal variation of municipal solid waste generation and composition in four East European cities</t>
  </si>
  <si>
    <t>Denafas, Gintaras; Ruzgas, Tomas; Martuzevičius, Dainius; Shmarin, Sergey; Hoffmann, Michael; Mykhaylenko, Valeriy; Ogorodnik, Stanislav; Romanov, Mikhail; Neguliaeva, Ekaterina; Chusov, Alexander; Turkadze, Tsitsino; Bochoidze, Inga; Ludwig, Christian</t>
  </si>
  <si>
    <t>Food waste in Germany – Baseline 2015 – Summary</t>
  </si>
  <si>
    <t>Schmidt, Thomas; Schneider, Felicitas; Leverenz, Dominik; Hafner, Gerold</t>
  </si>
  <si>
    <t>Municipal solid waste characterization and quantification as a measure towards effective waste management in Ghana</t>
  </si>
  <si>
    <t>Miezah, Kodwo; Obiri-Danso, Kwasi; Kádár, Zsófia; Fei-Baffoe, Bernard; Mensah, Moses Y.</t>
  </si>
  <si>
    <t>The implications of food waste generation on climate change: The case of Greece</t>
  </si>
  <si>
    <t>Abeliotis, Konstadinos; Lasaridi, Katia; Costarelli, Vassiliki; Chroni, Christina</t>
  </si>
  <si>
    <t>Quantification of Household Food Waste in Hungary: A Replication Study Using the FUSIONS Methodology</t>
  </si>
  <si>
    <t>Kasza, Gyula; Dorkó, Annamária; Kunszabó, Atilla; Szakos, Dávid</t>
  </si>
  <si>
    <t>An Analytical Study of Effect of Family Income and Size on Per Capita Household Solid Waste Generation in Developing Countries</t>
  </si>
  <si>
    <t>Grover, Priya; Singh, Pavitra</t>
  </si>
  <si>
    <t>Municipal Solid Waste Quantification, Characterization and Management in Rajam</t>
  </si>
  <si>
    <t>Ramakrishna, V</t>
  </si>
  <si>
    <t>Household solid waste generation and composition in different family size and socio-economic groups: A case study</t>
  </si>
  <si>
    <t>Suthar, Surindra; Singh, Pavitra</t>
  </si>
  <si>
    <t>Community participation in household solid waste reduction in Surabaya, Indonesia</t>
  </si>
  <si>
    <t>Dhokhikah, Yeny; Trihadiningrum, Yulinah; Sunaryo, Sony</t>
  </si>
  <si>
    <t>Kitchen Food Waste Inventory for Residential Areas in Baghdad City</t>
  </si>
  <si>
    <t>Al-Maliky, Salam J. Bash; ElKhayat, Zainab Qahtan</t>
  </si>
  <si>
    <t>A Study on Solid Waste Composition And Characteristics of Mosul City/Iraq</t>
  </si>
  <si>
    <t>Al-Rawi, Sati M.; Al-Tayyar, Taha A.</t>
  </si>
  <si>
    <t>Al-Mas'udi, R.M.; Al-Haydari, M.A.S.</t>
  </si>
  <si>
    <t>Household Behavior on Solid Waste Management a Case of Al-Kut City</t>
  </si>
  <si>
    <t>Sulaymon, Dr Abbas H; Ibraheem, Dr Jathwa A; Graimed, Bassim H</t>
  </si>
  <si>
    <t>Characteristics and Compositions of Solid Waste in Nassiriya City</t>
  </si>
  <si>
    <t>Yasir, Ryidh A; Abudi, Zaidun Naji</t>
  </si>
  <si>
    <t>What gets measured gets managed: A new method of measuring household food waste</t>
  </si>
  <si>
    <t>Elimelech, Efrat; Ayalon, Ofira; Ert, Eyal</t>
  </si>
  <si>
    <t>Food Waste and Rescue in Israel: The Economic, Social and Environmental Impact</t>
  </si>
  <si>
    <t>Leket Israel</t>
  </si>
  <si>
    <t>Gli sprechi alimentari nella grande distribuzione organizzata in Italia. Quantificazione e analisi dei prodotti alimentari smaltiti nei supermercati e ipermercati.</t>
  </si>
  <si>
    <t>Cicatiello, Clara; Franco, Silvio; Falasconi, Luca</t>
  </si>
  <si>
    <t>Quantities, Determinants, and Awareness of Households’ Food Waste in Italy: A Comparison between Diary and Questionnaires Quantities’</t>
  </si>
  <si>
    <t>Giordano, Claudia; Alboni, Fabrizio; Falasconi, Luca</t>
  </si>
  <si>
    <t>Reducing Food Loss and Waste &amp; Promoting Recycling</t>
  </si>
  <si>
    <t>Food Industry Policy Office</t>
  </si>
  <si>
    <t>Linkages with SDG 11.6.1 on MSW and composition analysis</t>
  </si>
  <si>
    <t>Takeuchi, Nao</t>
  </si>
  <si>
    <t>The Determinants of Household Food Waste Generation and its Associated Caloric and Nutrient Losses: The Case of Lebanon</t>
  </si>
  <si>
    <t>Chalak, Ali; Abiad, Mohamad G.; Diab, Mohamad; Nasreddine, Lara</t>
  </si>
  <si>
    <t>Luxembourg Environment Ministry</t>
  </si>
  <si>
    <t>Household food composition and disposal behaviour in Malaysia</t>
  </si>
  <si>
    <t>Jereme, Innocent; Chamhuri, Siwar; Talib, Basri Abdul; Begum, Rawshan Ara</t>
  </si>
  <si>
    <t>The 3R Potential of Household Waste in Bangi, Malaysia</t>
  </si>
  <si>
    <t>Watanabe, Kohei</t>
  </si>
  <si>
    <t>Mexico Conceptual Framework for a National Strategy on Food Loss and Waste</t>
  </si>
  <si>
    <t>Kemper, Karin; Voegele, Juergen; Hickey, Valerie; Ahuja, Preeti S; Poveda, Renan; Edmeades, Svetlana; Kneller, Claire; Swannell, Richard; Gillick, Sam; Corallo, Ana; Aguilar, Genaro; Alencastro, Selene; Felix, Erika; Sebastian, Ashwini</t>
  </si>
  <si>
    <t>Synthesis report on food waste in Dutch households in 2019</t>
  </si>
  <si>
    <t>The Netherlands Nutrition Centre Foundation</t>
  </si>
  <si>
    <t>Sunshine Yates Consulting</t>
  </si>
  <si>
    <t>Love Food Hate Waste NZ</t>
  </si>
  <si>
    <t>Determination and Quantification of Household Solid Waste Generation for Planning Suitable Sustainable Waste Management in Nigeria</t>
  </si>
  <si>
    <t>Orhorhoro, Ejiroghene Kelly; Ebunilo, Patrick Okechukwu; Sadjere, Godwin Ejuvwedia</t>
  </si>
  <si>
    <t>Stensgård, Aina Elstad; Hanssen, Ole Jørgen</t>
  </si>
  <si>
    <t>Food Waste in Norway: Report on Key Figures, 2015-2018</t>
  </si>
  <si>
    <t>Stensgård, Aina Elstad; Prestrud, Kjersti; Hanssen, Ole Jørgen; Callewaert, Pieter</t>
  </si>
  <si>
    <t>Edible food waste from Norwegian households—Detailed food waste composition analysis among households in two different regions in Norway</t>
  </si>
  <si>
    <t>Hanssen, Ole Jørgen; Syversen, Frode; Stø, Eivind</t>
  </si>
  <si>
    <t>The Pilot Study of Characteristics of Household Waste Generated in Suburban Parts of Rural Areas</t>
  </si>
  <si>
    <t>Steinhoff-Wrześniewska, Aleksandra</t>
  </si>
  <si>
    <t>Tiarcenter</t>
  </si>
  <si>
    <t>Analysis of Key Requirements for Effective Implementation of Biogas Technology for Municipal Solid Waste Management in Sub-Saharan Africa. A Case Study of Kigali City, Rwanda</t>
  </si>
  <si>
    <t>Mucyo, Sylvie</t>
  </si>
  <si>
    <t>Saudi FLW Baseline: Food Loss &amp; Waste Index in Kingdom of Saudi Arabia</t>
  </si>
  <si>
    <t>SAGO</t>
  </si>
  <si>
    <t>Bogdanović,, Marija; Bobić, Danijela; Danon, Marko; Suzić, Marija</t>
  </si>
  <si>
    <t>Food Waste, Slovenia, 2018</t>
  </si>
  <si>
    <t>Republic of Slovenia Statistical Office</t>
  </si>
  <si>
    <t>Food waste and waste indicators, Slovenia, 2019</t>
  </si>
  <si>
    <t>Local setting influences the quantity of household food waste in mid-sized South African towns</t>
  </si>
  <si>
    <t>Chakona, Gamuchirai; Shackleton, Charlie M.</t>
  </si>
  <si>
    <t>The costs of household food waste in South Africa</t>
  </si>
  <si>
    <t>Nahman, Anton; de Lange, Willem; Oelofse, Suzan; Godfrey, Linda</t>
  </si>
  <si>
    <t>Household food waste disposal in South Africa: A case study of Johannesburg and Ekurhuleni</t>
  </si>
  <si>
    <t>Oelofse, Suzan; Muswema, Aubrey; Ramukhwatho, Fhumulani</t>
  </si>
  <si>
    <t>An Assessment of the Household Food Wastage in a Developing Country: A Case Study of Five Areas in the City of Tshwane Metropolitan Municipality, Guateng Province, South Africa</t>
  </si>
  <si>
    <t>Ramukhwatho, Fhumulani Ruth</t>
  </si>
  <si>
    <t>Data Collection Survey on Solid Waste Management in Democratic Socialist Republic of Sri Lanka</t>
  </si>
  <si>
    <t>Food waste volumes in Sweden 2012</t>
  </si>
  <si>
    <t>Swedish Environmental Protection Agency</t>
  </si>
  <si>
    <t>Quantifying food losses and the potential for reduction in Switzerland</t>
  </si>
  <si>
    <t>Beretta, Claudio; Stoessel, Franziska; Baier, Urs; Hellweg, Stefanie</t>
  </si>
  <si>
    <t>UK Progress against Courtauld 2025 targets and UN Sustainable Development Goal 12.3</t>
  </si>
  <si>
    <t>WRAP</t>
  </si>
  <si>
    <t>Characterization of Household Waste in Kinondoni Municipality, Dar Es Salaam</t>
  </si>
  <si>
    <t>Oberlin, Aisa S.</t>
  </si>
  <si>
    <t>U.S. Environmental Protection Agency</t>
  </si>
  <si>
    <t>Household solid waste generation and characteristic in a Mekong Delta city, Vietnam</t>
  </si>
  <si>
    <t>Thanh, Nguyen Phuc; Matsui, Yasuhiro; Fujiwara, Takeshi</t>
  </si>
  <si>
    <t>Assessment of Household Solid Waste Generation and Composition by Building Type in Da Nang, Vietnam</t>
  </si>
  <si>
    <t>Vetter-Gindele, Jannik; Braun, Andreas; Warth, Gebhard; Bui, Tram Thi Quynh; Bachofer, Felix; Eltrop, Ludger</t>
  </si>
  <si>
    <t>Solid waste management - case study of Ndola, Zambia</t>
  </si>
  <si>
    <t>Edema, Mojisola O.; Sichamba, Victor; Ntengwe, Felix W.</t>
  </si>
  <si>
    <t>M49 code</t>
  </si>
  <si>
    <t>Household estimate (kg/capita/year)</t>
  </si>
  <si>
    <t>Household estimate (tonnes/year)</t>
  </si>
  <si>
    <t>Confidence in estimate</t>
  </si>
  <si>
    <t>Kazakhstan</t>
  </si>
  <si>
    <t>Kyrgyzstan</t>
  </si>
  <si>
    <t>Tajikistan</t>
  </si>
  <si>
    <t>Turkmenistan</t>
  </si>
  <si>
    <t>Uzbekistan</t>
  </si>
  <si>
    <t>China, Hong Kong SAR</t>
  </si>
  <si>
    <t>China, Macao SAR</t>
  </si>
  <si>
    <t>Dem. People's Rep. Korea</t>
  </si>
  <si>
    <t>Mongolia</t>
  </si>
  <si>
    <t>Republic of Korea</t>
  </si>
  <si>
    <t>Belarus</t>
  </si>
  <si>
    <t>Bulgaria</t>
  </si>
  <si>
    <t>Czechia</t>
  </si>
  <si>
    <t>Republic of Moldova</t>
  </si>
  <si>
    <t>Romania</t>
  </si>
  <si>
    <t>Slovakia</t>
  </si>
  <si>
    <t>Ukraine</t>
  </si>
  <si>
    <t>Anguilla</t>
  </si>
  <si>
    <t>Antigua and Barbuda</t>
  </si>
  <si>
    <t>Argentina</t>
  </si>
  <si>
    <t>Aruba</t>
  </si>
  <si>
    <t>Bahamas</t>
  </si>
  <si>
    <t>Barbados</t>
  </si>
  <si>
    <t>Bolivia (Plurin. State of)</t>
  </si>
  <si>
    <t>British Virgin Islands</t>
  </si>
  <si>
    <t>Cayman Islands</t>
  </si>
  <si>
    <t>Chile</t>
  </si>
  <si>
    <t>Costa Rica</t>
  </si>
  <si>
    <t>Cuba</t>
  </si>
  <si>
    <t>Curaçao</t>
  </si>
  <si>
    <t>Dominica</t>
  </si>
  <si>
    <t>Dominican Republic</t>
  </si>
  <si>
    <t>Ecuador</t>
  </si>
  <si>
    <t>El Salvador</t>
  </si>
  <si>
    <t>Falkland Islands (Malvinas)</t>
  </si>
  <si>
    <t>French Guiana</t>
  </si>
  <si>
    <t>Grenada</t>
  </si>
  <si>
    <t>Guadeloupe</t>
  </si>
  <si>
    <t>Guatemala</t>
  </si>
  <si>
    <t>Guyana</t>
  </si>
  <si>
    <t>Haiti</t>
  </si>
  <si>
    <t>Honduras</t>
  </si>
  <si>
    <t>Jamaica</t>
  </si>
  <si>
    <t>Martinique</t>
  </si>
  <si>
    <t>Montserrat</t>
  </si>
  <si>
    <t>Nicaragua</t>
  </si>
  <si>
    <t>Panama</t>
  </si>
  <si>
    <t>Paraguay</t>
  </si>
  <si>
    <t>Peru</t>
  </si>
  <si>
    <t>Puerto Rico</t>
  </si>
  <si>
    <t>Saint Barthélemy</t>
  </si>
  <si>
    <t>Saint Kitts and Nevis</t>
  </si>
  <si>
    <t>Saint Lucia</t>
  </si>
  <si>
    <t>Saint Martin (French part)</t>
  </si>
  <si>
    <t>Saint Vincent &amp; Grenadines</t>
  </si>
  <si>
    <t>Sint Maarten (Dutch part)</t>
  </si>
  <si>
    <t>Suriname</t>
  </si>
  <si>
    <t>Trinidad and Tobago</t>
  </si>
  <si>
    <t>Turks and Caicos Islands</t>
  </si>
  <si>
    <t>United States Virgin Islands</t>
  </si>
  <si>
    <t>Uruguay</t>
  </si>
  <si>
    <t>Venezuela (Boliv. Rep. of)</t>
  </si>
  <si>
    <t>Fiji</t>
  </si>
  <si>
    <t>New Caledonia</t>
  </si>
  <si>
    <t>Papua New Guinea</t>
  </si>
  <si>
    <t>Solomon Islands</t>
  </si>
  <si>
    <t>Vanuatu</t>
  </si>
  <si>
    <t>Guam</t>
  </si>
  <si>
    <t>Kiribati</t>
  </si>
  <si>
    <t>Marshall Islands</t>
  </si>
  <si>
    <t>Micronesia (Fed. States of)</t>
  </si>
  <si>
    <t>Nauru</t>
  </si>
  <si>
    <t>Northern Mariana Islands</t>
  </si>
  <si>
    <t>Palau</t>
  </si>
  <si>
    <t>Algeria</t>
  </si>
  <si>
    <t>Egypt</t>
  </si>
  <si>
    <t>Libya</t>
  </si>
  <si>
    <t>Morocco</t>
  </si>
  <si>
    <t>Sudan</t>
  </si>
  <si>
    <t>Tunisia</t>
  </si>
  <si>
    <t>Western Sahara</t>
  </si>
  <si>
    <t>Bermuda</t>
  </si>
  <si>
    <t>Greenland</t>
  </si>
  <si>
    <t>Saint Pierre and Miquelon</t>
  </si>
  <si>
    <t>Faroe Islands</t>
  </si>
  <si>
    <t>Iceland</t>
  </si>
  <si>
    <t>Isle of Man</t>
  </si>
  <si>
    <t>Latvia</t>
  </si>
  <si>
    <t>Lithuania</t>
  </si>
  <si>
    <t>United Kingdom</t>
  </si>
  <si>
    <t>American Samoa</t>
  </si>
  <si>
    <t>Cook Islands</t>
  </si>
  <si>
    <t>French Polynesia</t>
  </si>
  <si>
    <t>Niue</t>
  </si>
  <si>
    <t>Samoa</t>
  </si>
  <si>
    <t>Tokelau</t>
  </si>
  <si>
    <t>Tonga</t>
  </si>
  <si>
    <t>Tuvalu</t>
  </si>
  <si>
    <t>Wallis and Futuna Islands</t>
  </si>
  <si>
    <t>Brunei Darussalam</t>
  </si>
  <si>
    <t>Cambodia</t>
  </si>
  <si>
    <t>Lao People's Dem. Rep.</t>
  </si>
  <si>
    <t>Myanmar</t>
  </si>
  <si>
    <t>Philippines</t>
  </si>
  <si>
    <t>Singapore</t>
  </si>
  <si>
    <t>Thailand</t>
  </si>
  <si>
    <t>Timor-Leste</t>
  </si>
  <si>
    <t>Afghanistan</t>
  </si>
  <si>
    <t>Bhutan</t>
  </si>
  <si>
    <t>Iran (Islamic Republic of)</t>
  </si>
  <si>
    <t>Maldives</t>
  </si>
  <si>
    <t>Nepal</t>
  </si>
  <si>
    <t>Albania</t>
  </si>
  <si>
    <t>Andorra</t>
  </si>
  <si>
    <t>Bosnia and Herzegovina</t>
  </si>
  <si>
    <t>Croatia</t>
  </si>
  <si>
    <t>Gibraltar</t>
  </si>
  <si>
    <t>Holy See</t>
  </si>
  <si>
    <t>Montenegro</t>
  </si>
  <si>
    <t>North Macedonia</t>
  </si>
  <si>
    <t>Portugal</t>
  </si>
  <si>
    <t>San Marino</t>
  </si>
  <si>
    <t>Angola</t>
  </si>
  <si>
    <t>Benin</t>
  </si>
  <si>
    <t>Botswana</t>
  </si>
  <si>
    <t>Burkina Faso</t>
  </si>
  <si>
    <t>Burundi</t>
  </si>
  <si>
    <t>Cabo Verde</t>
  </si>
  <si>
    <t>Cameroon</t>
  </si>
  <si>
    <t>Central African Republic</t>
  </si>
  <si>
    <t>Chad</t>
  </si>
  <si>
    <t>Comoros</t>
  </si>
  <si>
    <t>Congo</t>
  </si>
  <si>
    <t>Côte d’Ivoire</t>
  </si>
  <si>
    <t>Dem. Rep. of the Congo</t>
  </si>
  <si>
    <t>Djibouti</t>
  </si>
  <si>
    <t>Equatorial Guinea</t>
  </si>
  <si>
    <t>Eritrea</t>
  </si>
  <si>
    <t>Eswatini</t>
  </si>
  <si>
    <t>Gabon</t>
  </si>
  <si>
    <t>Gambia</t>
  </si>
  <si>
    <t>Guinea</t>
  </si>
  <si>
    <t>Guinea-Bissau</t>
  </si>
  <si>
    <t>Lesotho</t>
  </si>
  <si>
    <t>Liberia</t>
  </si>
  <si>
    <t>Madagascar</t>
  </si>
  <si>
    <t>Malawi</t>
  </si>
  <si>
    <t>Mali</t>
  </si>
  <si>
    <t>Mauritania</t>
  </si>
  <si>
    <t>Mauritius</t>
  </si>
  <si>
    <t>Mayotte</t>
  </si>
  <si>
    <t>Mozambique</t>
  </si>
  <si>
    <t>Namibia</t>
  </si>
  <si>
    <t>Niger</t>
  </si>
  <si>
    <t>Réunion</t>
  </si>
  <si>
    <t>Saint Helena</t>
  </si>
  <si>
    <t>Sao Tome and Principe</t>
  </si>
  <si>
    <t>Senegal</t>
  </si>
  <si>
    <t>Seychelles</t>
  </si>
  <si>
    <t>Sierra Leone</t>
  </si>
  <si>
    <t>Somalia</t>
  </si>
  <si>
    <t>South Sudan</t>
  </si>
  <si>
    <t>Togo</t>
  </si>
  <si>
    <t>Uganda</t>
  </si>
  <si>
    <t>United Rep. of Tanzania</t>
  </si>
  <si>
    <t>Zimbabwe</t>
  </si>
  <si>
    <t>Armenia</t>
  </si>
  <si>
    <t>Azerbaijan</t>
  </si>
  <si>
    <t>Cyprus</t>
  </si>
  <si>
    <t>Jordan</t>
  </si>
  <si>
    <t>Kuwait</t>
  </si>
  <si>
    <t>Oman</t>
  </si>
  <si>
    <t>Qatar</t>
  </si>
  <si>
    <t>State of Palestine</t>
  </si>
  <si>
    <t>Syrian Arab Republic</t>
  </si>
  <si>
    <t>Turkey</t>
  </si>
  <si>
    <t>United Arab Emirates</t>
  </si>
  <si>
    <t>Yemen</t>
  </si>
  <si>
    <t>Liechtenstein</t>
  </si>
  <si>
    <t>Monaco</t>
  </si>
  <si>
    <t>High confidence</t>
  </si>
  <si>
    <t>Central Asia</t>
  </si>
  <si>
    <t>Very Low Confidence</t>
  </si>
  <si>
    <t>Medium confidence</t>
  </si>
  <si>
    <t>Melanesia</t>
  </si>
  <si>
    <t>Micronesia</t>
  </si>
  <si>
    <t>Northern Africa</t>
  </si>
  <si>
    <t>Low Confidence</t>
  </si>
  <si>
    <t>Polynesia</t>
  </si>
  <si>
    <t>Food service estimate (tonnes/year)</t>
  </si>
  <si>
    <t>High Confidence</t>
  </si>
  <si>
    <t>Medium Confidence</t>
  </si>
  <si>
    <t>Retail estimate (kg/capita/year)</t>
  </si>
  <si>
    <t>Retail estimate (tonnes/year)</t>
  </si>
  <si>
    <t>Note: Territories with * have no estimates generated. These territories are included in the UNSD list of countries but are not included in the World Bank's income classification grouping.</t>
  </si>
  <si>
    <t>The workbook is laid out to be read from left to right (both between the tabs and within each one). The Variables tab explains each of the headings of the columns in the Database tab. The Database tab contains all of the information regarding the datapoints and adjustments made to them. The References tab presents the sources of all of the datapoints. All links were functional at last date checked (05/02/2021). In addition to this, the Household Estimates, Food Service Estimates and Retail Estimates tabs display all of the Level 1 estimates, by sector, for every country. These tables are reproduced in the main report Appendices.
The Database tab begins with the bibliographic information of the datapoint. This includes links to the source paper. This is followed by the geographic information of the datapoint, the sectoral information and methodological information, including a 'Description' box which summarises the key points. This is followed by the data as it was presented in the source: this could be as total waste for a geographic area, normalised waste per capita (or other unit), and some of these estimates included share estimates, such as food waste as a share of total waste. This is then normalised to a single metric, expressed as kg/capita/year. Following this are the adjustments made to account for methodological differences. Values which remain unchanged are presented in a faded colour to help identify where adjustments were made. The final column is the kg/capita/year estimate which was used to inform the Level 1 Food Waste estimates.</t>
  </si>
  <si>
    <t>Hamish Forbes and Dr Tom Quested (Research Analysts, WRAP: hamish.forbes@wrap.org.uk, tom.quested@wrap.org.uk)</t>
  </si>
  <si>
    <t>Column1</t>
  </si>
  <si>
    <t>2020 Population</t>
  </si>
  <si>
    <t>Country or Area</t>
  </si>
  <si>
    <t>ISO-alpha3 code</t>
  </si>
  <si>
    <t>AFG</t>
  </si>
  <si>
    <t>Åland Islands</t>
  </si>
  <si>
    <t>ALA</t>
  </si>
  <si>
    <t>ALB</t>
  </si>
  <si>
    <t>DZA</t>
  </si>
  <si>
    <t>ASM</t>
  </si>
  <si>
    <t>AND</t>
  </si>
  <si>
    <t>AGO</t>
  </si>
  <si>
    <t>AIA</t>
  </si>
  <si>
    <t>Antarctica</t>
  </si>
  <si>
    <t>ATA</t>
  </si>
  <si>
    <t>ATG</t>
  </si>
  <si>
    <t>ARG</t>
  </si>
  <si>
    <t>ARM</t>
  </si>
  <si>
    <t>ABW</t>
  </si>
  <si>
    <t>AUS</t>
  </si>
  <si>
    <t>AUT</t>
  </si>
  <si>
    <t>AZE</t>
  </si>
  <si>
    <t>BHS</t>
  </si>
  <si>
    <t>BHR</t>
  </si>
  <si>
    <t>BGD</t>
  </si>
  <si>
    <t>BRB</t>
  </si>
  <si>
    <t>BLR</t>
  </si>
  <si>
    <t>BEL</t>
  </si>
  <si>
    <t>BLZ</t>
  </si>
  <si>
    <t>BEN</t>
  </si>
  <si>
    <t>BMU</t>
  </si>
  <si>
    <t>BTN</t>
  </si>
  <si>
    <t>Bolivia (Plurinational State of)</t>
  </si>
  <si>
    <t>BOL</t>
  </si>
  <si>
    <t>Bonaire, Sint Eustatius and Saba</t>
  </si>
  <si>
    <t>BES</t>
  </si>
  <si>
    <t>BIH</t>
  </si>
  <si>
    <t>BWA</t>
  </si>
  <si>
    <t>Bouvet Island</t>
  </si>
  <si>
    <t>BVT</t>
  </si>
  <si>
    <t>BRA</t>
  </si>
  <si>
    <t>British Indian Ocean Territory</t>
  </si>
  <si>
    <t>IOT</t>
  </si>
  <si>
    <t>VGB</t>
  </si>
  <si>
    <t>BRN</t>
  </si>
  <si>
    <t>BGR</t>
  </si>
  <si>
    <t>BFA</t>
  </si>
  <si>
    <t>BDI</t>
  </si>
  <si>
    <t>CPV</t>
  </si>
  <si>
    <t>KHM</t>
  </si>
  <si>
    <t>CMR</t>
  </si>
  <si>
    <t>CAN</t>
  </si>
  <si>
    <t>CYM</t>
  </si>
  <si>
    <t>CAF</t>
  </si>
  <si>
    <t>TCD</t>
  </si>
  <si>
    <t>CHL</t>
  </si>
  <si>
    <t>CHN</t>
  </si>
  <si>
    <t>China, Hong Kong Special Administrative Region</t>
  </si>
  <si>
    <t>HKG</t>
  </si>
  <si>
    <t>China, Macao Special Administrative Region</t>
  </si>
  <si>
    <t>MAC</t>
  </si>
  <si>
    <t>Christmas Island</t>
  </si>
  <si>
    <t>CXR</t>
  </si>
  <si>
    <t>Cocos (Keeling) Islands</t>
  </si>
  <si>
    <t>CCK</t>
  </si>
  <si>
    <t>COL</t>
  </si>
  <si>
    <t>COM</t>
  </si>
  <si>
    <t>COG</t>
  </si>
  <si>
    <t>COK</t>
  </si>
  <si>
    <t>CRI</t>
  </si>
  <si>
    <t>CIV</t>
  </si>
  <si>
    <t>HRV</t>
  </si>
  <si>
    <t>CUB</t>
  </si>
  <si>
    <t>CUW</t>
  </si>
  <si>
    <t>CYP</t>
  </si>
  <si>
    <t>CZE</t>
  </si>
  <si>
    <t>Democratic People's Republic of Korea</t>
  </si>
  <si>
    <t>PRK</t>
  </si>
  <si>
    <t>Democratic Republic of the Congo</t>
  </si>
  <si>
    <t>COD</t>
  </si>
  <si>
    <t>DNK</t>
  </si>
  <si>
    <t>DJI</t>
  </si>
  <si>
    <t>DMA</t>
  </si>
  <si>
    <t>DOM</t>
  </si>
  <si>
    <t>ECU</t>
  </si>
  <si>
    <t>EGY</t>
  </si>
  <si>
    <t>SLV</t>
  </si>
  <si>
    <t>GNQ</t>
  </si>
  <si>
    <t>ERI</t>
  </si>
  <si>
    <t>EST</t>
  </si>
  <si>
    <t>SWZ</t>
  </si>
  <si>
    <t>ETH</t>
  </si>
  <si>
    <t>FLK</t>
  </si>
  <si>
    <t>FRO</t>
  </si>
  <si>
    <t>FJI</t>
  </si>
  <si>
    <t>FIN</t>
  </si>
  <si>
    <t>FRA</t>
  </si>
  <si>
    <t>GUF</t>
  </si>
  <si>
    <t>PYF</t>
  </si>
  <si>
    <t>French Southern Territories</t>
  </si>
  <si>
    <t>ATF</t>
  </si>
  <si>
    <t>GAB</t>
  </si>
  <si>
    <t>GMB</t>
  </si>
  <si>
    <t>GEO</t>
  </si>
  <si>
    <t>DEU</t>
  </si>
  <si>
    <t>GHA</t>
  </si>
  <si>
    <t>GIB</t>
  </si>
  <si>
    <t>GRC</t>
  </si>
  <si>
    <t>GRL</t>
  </si>
  <si>
    <t>GRD</t>
  </si>
  <si>
    <t>GLP</t>
  </si>
  <si>
    <t>GUM</t>
  </si>
  <si>
    <t>GTM</t>
  </si>
  <si>
    <t>Guernsey</t>
  </si>
  <si>
    <t>GGY</t>
  </si>
  <si>
    <t>GIN</t>
  </si>
  <si>
    <t>GNB</t>
  </si>
  <si>
    <t>GUY</t>
  </si>
  <si>
    <t>HTI</t>
  </si>
  <si>
    <t>Heard Island and McDonald Islands</t>
  </si>
  <si>
    <t>HMD</t>
  </si>
  <si>
    <t>VAT</t>
  </si>
  <si>
    <t>HND</t>
  </si>
  <si>
    <t>HUN</t>
  </si>
  <si>
    <t>ISL</t>
  </si>
  <si>
    <t>IND</t>
  </si>
  <si>
    <t>IDN</t>
  </si>
  <si>
    <t>IRN</t>
  </si>
  <si>
    <t>IRQ</t>
  </si>
  <si>
    <t>IRL</t>
  </si>
  <si>
    <t>IMN</t>
  </si>
  <si>
    <t>ISR</t>
  </si>
  <si>
    <t>ITA</t>
  </si>
  <si>
    <t>JAM</t>
  </si>
  <si>
    <t>JPN</t>
  </si>
  <si>
    <t>Jersey</t>
  </si>
  <si>
    <t>JEY</t>
  </si>
  <si>
    <t>JOR</t>
  </si>
  <si>
    <t>KAZ</t>
  </si>
  <si>
    <t>KEN</t>
  </si>
  <si>
    <t>KIR</t>
  </si>
  <si>
    <t>KWT</t>
  </si>
  <si>
    <t>KGZ</t>
  </si>
  <si>
    <t>Lao People's Democratic Republic</t>
  </si>
  <si>
    <t>LAO</t>
  </si>
  <si>
    <t>LVA</t>
  </si>
  <si>
    <t>LBN</t>
  </si>
  <si>
    <t>LSO</t>
  </si>
  <si>
    <t>LBR</t>
  </si>
  <si>
    <t>LBY</t>
  </si>
  <si>
    <t>LIE</t>
  </si>
  <si>
    <t>LTU</t>
  </si>
  <si>
    <t>LUX</t>
  </si>
  <si>
    <t>MDG</t>
  </si>
  <si>
    <t>MWI</t>
  </si>
  <si>
    <t>MYS</t>
  </si>
  <si>
    <t>MDV</t>
  </si>
  <si>
    <t>MLI</t>
  </si>
  <si>
    <t>MLT</t>
  </si>
  <si>
    <t>MHL</t>
  </si>
  <si>
    <t>MTQ</t>
  </si>
  <si>
    <t>MRT</t>
  </si>
  <si>
    <t>MUS</t>
  </si>
  <si>
    <t>MYT</t>
  </si>
  <si>
    <t>MEX</t>
  </si>
  <si>
    <t>Micronesia (Federated States of)</t>
  </si>
  <si>
    <t>FSM</t>
  </si>
  <si>
    <t>MCO</t>
  </si>
  <si>
    <t>MNG</t>
  </si>
  <si>
    <t>MNE</t>
  </si>
  <si>
    <t>MSR</t>
  </si>
  <si>
    <t>MAR</t>
  </si>
  <si>
    <t>MOZ</t>
  </si>
  <si>
    <t>MMR</t>
  </si>
  <si>
    <t>NAM</t>
  </si>
  <si>
    <t>NRU</t>
  </si>
  <si>
    <t>NPL</t>
  </si>
  <si>
    <t>NLD</t>
  </si>
  <si>
    <t>NCL</t>
  </si>
  <si>
    <t>NZL</t>
  </si>
  <si>
    <t>NIC</t>
  </si>
  <si>
    <t>NER</t>
  </si>
  <si>
    <t>NGA</t>
  </si>
  <si>
    <t>NIU</t>
  </si>
  <si>
    <t>Norfolk Island</t>
  </si>
  <si>
    <t>NFK</t>
  </si>
  <si>
    <t>MKD</t>
  </si>
  <si>
    <t>MNP</t>
  </si>
  <si>
    <t>NOR</t>
  </si>
  <si>
    <t>OMN</t>
  </si>
  <si>
    <t>PAK</t>
  </si>
  <si>
    <t>PLW</t>
  </si>
  <si>
    <t>PAN</t>
  </si>
  <si>
    <t>PNG</t>
  </si>
  <si>
    <t>PRY</t>
  </si>
  <si>
    <t>PER</t>
  </si>
  <si>
    <t>PHL</t>
  </si>
  <si>
    <t>Pitcairn</t>
  </si>
  <si>
    <t>PCN</t>
  </si>
  <si>
    <t>POL</t>
  </si>
  <si>
    <t>PRT</t>
  </si>
  <si>
    <t>PRI</t>
  </si>
  <si>
    <t>QAT</t>
  </si>
  <si>
    <t>KOR</t>
  </si>
  <si>
    <t>MDA</t>
  </si>
  <si>
    <t>REU</t>
  </si>
  <si>
    <t>ROU</t>
  </si>
  <si>
    <t>RUS</t>
  </si>
  <si>
    <t>RWA</t>
  </si>
  <si>
    <t>BLM</t>
  </si>
  <si>
    <t>SHN</t>
  </si>
  <si>
    <t>KNA</t>
  </si>
  <si>
    <t>LCA</t>
  </si>
  <si>
    <t>Saint Martin (French Part)</t>
  </si>
  <si>
    <t>MAF</t>
  </si>
  <si>
    <t>SPM</t>
  </si>
  <si>
    <t>Saint Vincent and the Grenadines</t>
  </si>
  <si>
    <t>VCT</t>
  </si>
  <si>
    <t>WSM</t>
  </si>
  <si>
    <t>SMR</t>
  </si>
  <si>
    <t>STP</t>
  </si>
  <si>
    <t>Sark</t>
  </si>
  <si>
    <t>SAU</t>
  </si>
  <si>
    <t>SEN</t>
  </si>
  <si>
    <t>SRB</t>
  </si>
  <si>
    <t>SYC</t>
  </si>
  <si>
    <t>SLE</t>
  </si>
  <si>
    <t>SGP</t>
  </si>
  <si>
    <t>SXM</t>
  </si>
  <si>
    <t>SVK</t>
  </si>
  <si>
    <t>SVN</t>
  </si>
  <si>
    <t>SLB</t>
  </si>
  <si>
    <t>SOM</t>
  </si>
  <si>
    <t>ZAF</t>
  </si>
  <si>
    <t>South Georgia and the South Sandwich Islands</t>
  </si>
  <si>
    <t>SGS</t>
  </si>
  <si>
    <t>SSD</t>
  </si>
  <si>
    <t>ESP</t>
  </si>
  <si>
    <t>LKA</t>
  </si>
  <si>
    <t>PSE</t>
  </si>
  <si>
    <t>SDN</t>
  </si>
  <si>
    <t>SUR</t>
  </si>
  <si>
    <t>Svalbard and Jan Mayen Islands</t>
  </si>
  <si>
    <t>SJM</t>
  </si>
  <si>
    <t>SWE</t>
  </si>
  <si>
    <t>CHE</t>
  </si>
  <si>
    <t>SYR</t>
  </si>
  <si>
    <t>TJK</t>
  </si>
  <si>
    <t>THA</t>
  </si>
  <si>
    <t>TLS</t>
  </si>
  <si>
    <t>TGO</t>
  </si>
  <si>
    <t>TKL</t>
  </si>
  <si>
    <t>TON</t>
  </si>
  <si>
    <t>TTO</t>
  </si>
  <si>
    <t>TUN</t>
  </si>
  <si>
    <t>Türkiye</t>
  </si>
  <si>
    <t>TUR</t>
  </si>
  <si>
    <t>TKM</t>
  </si>
  <si>
    <t>TCA</t>
  </si>
  <si>
    <t>TUV</t>
  </si>
  <si>
    <t>UGA</t>
  </si>
  <si>
    <t>UKR</t>
  </si>
  <si>
    <t>ARE</t>
  </si>
  <si>
    <t>GBR</t>
  </si>
  <si>
    <t>TZA</t>
  </si>
  <si>
    <t>United States Minor Outlying Islands</t>
  </si>
  <si>
    <t>UMI</t>
  </si>
  <si>
    <t>USA</t>
  </si>
  <si>
    <t>VIR</t>
  </si>
  <si>
    <t>URY</t>
  </si>
  <si>
    <t>UZB</t>
  </si>
  <si>
    <t>VUT</t>
  </si>
  <si>
    <t>Venezuela (Bolivarian Republic of)</t>
  </si>
  <si>
    <t>VEN</t>
  </si>
  <si>
    <t>VNM</t>
  </si>
  <si>
    <t>WLF</t>
  </si>
  <si>
    <t>ESH</t>
  </si>
  <si>
    <t>YEM</t>
  </si>
  <si>
    <t>ZMB</t>
  </si>
  <si>
    <t>ZWE</t>
  </si>
  <si>
    <t>Country Code</t>
  </si>
  <si>
    <t>Access to Electricity CC</t>
  </si>
  <si>
    <t>2020 GDP (2015 Constant)</t>
  </si>
  <si>
    <t>2020 Access to Electricity CC</t>
  </si>
  <si>
    <t>GDP Per Capita (2015 Constant)</t>
  </si>
  <si>
    <t>Tourism Receipts (Current USD$)</t>
  </si>
  <si>
    <t>Tourism Receipts (Current USD)</t>
  </si>
  <si>
    <t xml:space="preserve">Tourism % GDP </t>
  </si>
  <si>
    <t>Agriculture, forestry, and fishing, value added (% of GDP)</t>
  </si>
  <si>
    <t>Rural population</t>
  </si>
  <si>
    <t>Food Production Index</t>
  </si>
  <si>
    <t>Imports of goods and services (% of GDP)</t>
  </si>
  <si>
    <t>Exports of goods and services (% of GDP)</t>
  </si>
  <si>
    <t>Electric power consumption (kWh per capita)</t>
  </si>
  <si>
    <t>Population density (people per sq. km of land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</si>
</sst>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0.00_-;\-* #,##0.00_-;_-* &quot;-&quot;??_-;_-@_-"/>
    <numFmt numFmtId="165" formatCode="_-* #,##0_-;\-* #,##0_-;_-* &quot;-&quot;??_-;_-@_-"/>
    <numFmt numFmtId="166" formatCode="0;\-0;;@"/>
    <numFmt numFmtId="167" formatCode="0.00;\-0.00;;@"/>
    <numFmt numFmtId="168" formatCode="_(&quot;$&quot;* #,##0_);_(&quot;$&quot;* \(#,##0\);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i/>
      <sz val="11"/>
      <color theme="1"/>
      <name val="Calibri"/>
      <family val="2"/>
      <scheme val="minor"/>
    </font>
    <font>
      <sz val="11"/>
      <color rgb="FF000000"/>
      <name val="Calibri"/>
      <family val="2"/>
      <scheme val="minor"/>
    </font>
    <font>
      <sz val="11"/>
      <name val="Calibri"/>
      <family val="2"/>
      <scheme val="minor"/>
    </font>
    <font>
      <sz val="11"/>
      <color rgb="FFC00000"/>
      <name val="Calibri"/>
      <family val="2"/>
      <scheme val="minor"/>
    </font>
    <font>
      <b/>
      <sz val="9"/>
      <color rgb="FF000000"/>
      <name val="Calibri"/>
      <family val="2"/>
    </font>
    <font>
      <b/>
      <sz val="9"/>
      <color theme="1"/>
      <name val="Calibri"/>
      <family val="2"/>
      <scheme val="minor"/>
    </font>
    <font>
      <sz val="9"/>
      <color theme="1"/>
      <name val="Calibri"/>
      <family val="2"/>
      <scheme val="minor"/>
    </font>
    <font>
      <sz val="9"/>
      <color rgb="FF000000"/>
      <name val="Calibri"/>
      <family val="2"/>
    </font>
    <font>
      <b/>
      <i/>
      <sz val="9"/>
      <color rgb="FF000000"/>
      <name val="Calibri"/>
      <family val="2"/>
    </font>
    <font>
      <sz val="8"/>
      <name val="Calibri"/>
      <family val="2"/>
      <scheme val="minor"/>
    </font>
    <font>
      <sz val="11"/>
      <color theme="0"/>
      <name val="Calibri"/>
      <family val="2"/>
      <scheme val="minor"/>
    </font>
    <font>
      <b/>
      <sz val="8"/>
      <color theme="1"/>
      <name val="Calibri"/>
      <family val="2"/>
      <scheme val="minor"/>
    </font>
    <font>
      <sz val="8"/>
      <color theme="1"/>
      <name val="Calibri"/>
      <family val="2"/>
      <scheme val="minor"/>
    </font>
    <font>
      <i/>
      <sz val="9"/>
      <color theme="1"/>
      <name val="Calibri"/>
      <family val="2"/>
      <scheme val="minor"/>
    </font>
    <font>
      <sz val="8"/>
      <color rgb="FF000000"/>
      <name val="Calibri"/>
      <family val="2"/>
      <scheme val="minor"/>
    </font>
    <font>
      <b/>
      <sz val="13"/>
      <color rgb="FF333333"/>
      <name val="Helvetica Neue"/>
      <family val="2"/>
    </font>
    <font>
      <sz val="13"/>
      <color rgb="FF333333"/>
      <name val="Helvetica Neue"/>
      <family val="2"/>
    </font>
  </fonts>
  <fills count="11">
    <fill>
      <patternFill patternType="none"/>
    </fill>
    <fill>
      <patternFill patternType="gray125"/>
    </fill>
    <fill>
      <patternFill patternType="solid">
        <fgColor theme="0" tint="-0.14999847407452621"/>
        <bgColor theme="0" tint="-0.14999847407452621"/>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bgColor theme="0" tint="-0.14999847407452621"/>
      </patternFill>
    </fill>
    <fill>
      <patternFill patternType="solid">
        <fgColor theme="0" tint="-4.9989318521683403E-2"/>
        <bgColor theme="4"/>
      </patternFill>
    </fill>
    <fill>
      <patternFill patternType="solid">
        <fgColor theme="0" tint="-4.9989318521683403E-2"/>
        <bgColor theme="4" tint="0.79998168889431442"/>
      </patternFill>
    </fill>
    <fill>
      <patternFill patternType="solid">
        <fgColor rgb="FFF2F2F2"/>
        <bgColor rgb="FFD9E1F2"/>
      </patternFill>
    </fill>
  </fills>
  <borders count="40">
    <border>
      <left/>
      <right/>
      <top/>
      <bottom/>
      <diagonal/>
    </border>
    <border>
      <left/>
      <right/>
      <top/>
      <bottom style="thin">
        <color theme="1"/>
      </bottom>
      <diagonal/>
    </border>
    <border>
      <left style="medium">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thin">
        <color theme="1"/>
      </bottom>
      <diagonal/>
    </border>
    <border>
      <left/>
      <right style="medium">
        <color theme="1" tint="0.34998626667073579"/>
      </right>
      <top/>
      <bottom style="thin">
        <color theme="1"/>
      </bottom>
      <diagonal/>
    </border>
    <border>
      <left style="medium">
        <color theme="1" tint="0.34998626667073579"/>
      </left>
      <right style="medium">
        <color theme="1" tint="0.34998626667073579"/>
      </right>
      <top style="thin">
        <color theme="1" tint="0.34998626667073579"/>
      </top>
      <bottom/>
      <diagonal/>
    </border>
    <border>
      <left style="medium">
        <color indexed="64"/>
      </left>
      <right/>
      <top/>
      <bottom style="thin">
        <color theme="1"/>
      </bottom>
      <diagonal/>
    </border>
    <border>
      <left/>
      <right style="medium">
        <color indexed="64"/>
      </right>
      <top/>
      <bottom style="thin">
        <color theme="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theme="1" tint="0.34998626667073579"/>
      </right>
      <top/>
      <bottom style="medium">
        <color indexed="64"/>
      </bottom>
      <diagonal/>
    </border>
    <border>
      <left style="medium">
        <color theme="1" tint="0.34998626667073579"/>
      </left>
      <right/>
      <top/>
      <bottom style="medium">
        <color indexed="64"/>
      </bottom>
      <diagonal/>
    </border>
    <border>
      <left/>
      <right style="medium">
        <color indexed="64"/>
      </right>
      <top/>
      <bottom style="medium">
        <color indexed="64"/>
      </bottom>
      <diagonal/>
    </border>
    <border>
      <left/>
      <right style="double">
        <color rgb="FF0070C0"/>
      </right>
      <top style="double">
        <color rgb="FF0070C0"/>
      </top>
      <bottom style="double">
        <color rgb="FF0070C0"/>
      </bottom>
      <diagonal/>
    </border>
    <border>
      <left style="double">
        <color rgb="FF0070C0"/>
      </left>
      <right style="double">
        <color rgb="FF0070C0"/>
      </right>
      <top style="double">
        <color rgb="FF0070C0"/>
      </top>
      <bottom/>
      <diagonal/>
    </border>
    <border>
      <left/>
      <right/>
      <top style="double">
        <color rgb="FF0070C0"/>
      </top>
      <bottom/>
      <diagonal/>
    </border>
    <border>
      <left/>
      <right style="double">
        <color rgb="FF0070C0"/>
      </right>
      <top style="double">
        <color rgb="FF0070C0"/>
      </top>
      <bottom/>
      <diagonal/>
    </border>
    <border>
      <left style="double">
        <color rgb="FF0070C0"/>
      </left>
      <right/>
      <top style="double">
        <color rgb="FF0070C0"/>
      </top>
      <bottom/>
      <diagonal/>
    </border>
    <border>
      <left style="double">
        <color rgb="FF0070C0"/>
      </left>
      <right/>
      <top/>
      <bottom/>
      <diagonal/>
    </border>
    <border>
      <left/>
      <right style="double">
        <color rgb="FF0070C0"/>
      </right>
      <top/>
      <bottom/>
      <diagonal/>
    </border>
    <border>
      <left style="double">
        <color rgb="FF0070C0"/>
      </left>
      <right/>
      <top/>
      <bottom style="double">
        <color rgb="FF0070C0"/>
      </bottom>
      <diagonal/>
    </border>
    <border>
      <left/>
      <right/>
      <top/>
      <bottom style="double">
        <color rgb="FF0070C0"/>
      </bottom>
      <diagonal/>
    </border>
    <border>
      <left/>
      <right style="double">
        <color rgb="FF0070C0"/>
      </right>
      <top/>
      <bottom style="double">
        <color rgb="FF0070C0"/>
      </bottom>
      <diagonal/>
    </border>
    <border>
      <left/>
      <right style="double">
        <color rgb="FF0070C0"/>
      </right>
      <top style="double">
        <color rgb="FF0070C0"/>
      </top>
      <bottom style="thin">
        <color theme="1"/>
      </bottom>
      <diagonal/>
    </border>
    <border>
      <left style="double">
        <color rgb="FF0070C0"/>
      </left>
      <right/>
      <top style="double">
        <color rgb="FF0070C0"/>
      </top>
      <bottom style="double">
        <color rgb="FF0070C0"/>
      </bottom>
      <diagonal/>
    </border>
    <border>
      <left/>
      <right style="medium">
        <color theme="1" tint="0.34998626667073579"/>
      </right>
      <top style="thin">
        <color theme="1" tint="0.34998626667073579"/>
      </top>
      <bottom style="thin">
        <color theme="1" tint="0.34998626667073579"/>
      </bottom>
      <diagonal/>
    </border>
    <border>
      <left style="double">
        <color rgb="FF0070C0"/>
      </left>
      <right/>
      <top style="double">
        <color rgb="FF0070C0"/>
      </top>
      <bottom style="thin">
        <color indexed="64"/>
      </bottom>
      <diagonal/>
    </border>
    <border>
      <left/>
      <right/>
      <top style="double">
        <color rgb="FF0070C0"/>
      </top>
      <bottom style="thin">
        <color indexed="64"/>
      </bottom>
      <diagonal/>
    </border>
    <border>
      <left/>
      <right/>
      <top/>
      <bottom style="thin">
        <color indexed="64"/>
      </bottom>
      <diagonal/>
    </border>
    <border>
      <left style="thin">
        <color theme="2" tint="-0.499984740745262"/>
      </left>
      <right style="thin">
        <color theme="2" tint="-0.49998474074526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44" fontId="1" fillId="0" borderId="0" applyFont="0" applyFill="0" applyBorder="0" applyAlignment="0" applyProtection="0"/>
  </cellStyleXfs>
  <cellXfs count="240">
    <xf numFmtId="0" fontId="0" fillId="0" borderId="0" xfId="0"/>
    <xf numFmtId="0" fontId="12" fillId="0" borderId="0" xfId="0" applyFont="1" applyAlignment="1">
      <alignment wrapText="1"/>
    </xf>
    <xf numFmtId="0" fontId="0" fillId="0" borderId="0" xfId="0" applyAlignment="1">
      <alignment horizontal="center" vertical="center"/>
    </xf>
    <xf numFmtId="9" fontId="0" fillId="0" borderId="0" xfId="2" applyFont="1" applyBorder="1"/>
    <xf numFmtId="166" fontId="0" fillId="0" borderId="0" xfId="0" applyNumberFormat="1"/>
    <xf numFmtId="165" fontId="0" fillId="0" borderId="0" xfId="1" applyNumberFormat="1" applyFont="1" applyBorder="1"/>
    <xf numFmtId="0" fontId="0" fillId="4" borderId="0" xfId="0" applyFill="1"/>
    <xf numFmtId="0" fontId="0" fillId="5" borderId="0" xfId="0" applyFill="1"/>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horizontal="center" vertical="center" wrapText="1"/>
    </xf>
    <xf numFmtId="0" fontId="0" fillId="5" borderId="0" xfId="0" applyFill="1" applyAlignment="1">
      <alignment vertical="center" wrapText="1"/>
    </xf>
    <xf numFmtId="0" fontId="0" fillId="5" borderId="0" xfId="0" applyFill="1" applyAlignment="1">
      <alignment horizontal="center"/>
    </xf>
    <xf numFmtId="0" fontId="0" fillId="5" borderId="0" xfId="0" applyFill="1" applyAlignment="1">
      <alignment wrapText="1"/>
    </xf>
    <xf numFmtId="0" fontId="0" fillId="0" borderId="6" xfId="0" applyBorder="1"/>
    <xf numFmtId="0" fontId="0" fillId="0" borderId="1" xfId="0" applyBorder="1"/>
    <xf numFmtId="0" fontId="0" fillId="0" borderId="7" xfId="0" applyBorder="1"/>
    <xf numFmtId="0" fontId="0" fillId="0" borderId="5" xfId="0" applyBorder="1"/>
    <xf numFmtId="9" fontId="1" fillId="0" borderId="0" xfId="2" applyFont="1" applyBorder="1"/>
    <xf numFmtId="165" fontId="1" fillId="0" borderId="6" xfId="1" applyNumberFormat="1" applyFont="1" applyBorder="1"/>
    <xf numFmtId="165" fontId="1" fillId="0" borderId="1" xfId="1" applyNumberFormat="1" applyFont="1" applyBorder="1"/>
    <xf numFmtId="165" fontId="1" fillId="0" borderId="0" xfId="1" applyNumberFormat="1" applyFont="1" applyBorder="1"/>
    <xf numFmtId="166" fontId="0" fillId="0" borderId="5" xfId="0" applyNumberFormat="1" applyBorder="1"/>
    <xf numFmtId="167" fontId="0" fillId="0" borderId="4" xfId="0" applyNumberFormat="1" applyBorder="1"/>
    <xf numFmtId="167" fontId="0" fillId="0" borderId="0" xfId="0" applyNumberFormat="1"/>
    <xf numFmtId="2" fontId="0" fillId="0" borderId="1" xfId="0" applyNumberFormat="1" applyBorder="1"/>
    <xf numFmtId="1" fontId="0" fillId="3" borderId="3" xfId="0" applyNumberFormat="1" applyFill="1" applyBorder="1"/>
    <xf numFmtId="1" fontId="0" fillId="0" borderId="0" xfId="0" applyNumberFormat="1"/>
    <xf numFmtId="9" fontId="1" fillId="0" borderId="1" xfId="2" applyFont="1" applyBorder="1"/>
    <xf numFmtId="0" fontId="0" fillId="0" borderId="9" xfId="0" applyBorder="1"/>
    <xf numFmtId="0" fontId="0" fillId="0" borderId="10" xfId="0" applyBorder="1"/>
    <xf numFmtId="0" fontId="0" fillId="6" borderId="0" xfId="0" applyFill="1"/>
    <xf numFmtId="166" fontId="0" fillId="6" borderId="0" xfId="0" applyNumberFormat="1" applyFill="1"/>
    <xf numFmtId="165" fontId="0" fillId="6" borderId="0" xfId="1" applyNumberFormat="1" applyFont="1" applyFill="1" applyBorder="1"/>
    <xf numFmtId="166" fontId="0" fillId="6" borderId="5" xfId="0" applyNumberFormat="1" applyFill="1" applyBorder="1"/>
    <xf numFmtId="167" fontId="0" fillId="6" borderId="4" xfId="0" applyNumberFormat="1" applyFill="1" applyBorder="1"/>
    <xf numFmtId="9" fontId="0" fillId="6" borderId="0" xfId="2" applyFont="1" applyFill="1" applyBorder="1"/>
    <xf numFmtId="165" fontId="0" fillId="6" borderId="4" xfId="1" applyNumberFormat="1" applyFont="1" applyFill="1" applyBorder="1"/>
    <xf numFmtId="9" fontId="8" fillId="6" borderId="0" xfId="2" applyFont="1" applyFill="1" applyBorder="1"/>
    <xf numFmtId="0" fontId="8" fillId="6" borderId="5" xfId="0" applyFont="1" applyFill="1" applyBorder="1"/>
    <xf numFmtId="0" fontId="2" fillId="5" borderId="19" xfId="0" applyFont="1" applyFill="1" applyBorder="1" applyAlignment="1">
      <alignment horizontal="center" vertical="center"/>
    </xf>
    <xf numFmtId="0" fontId="0" fillId="0" borderId="22" xfId="0" applyBorder="1"/>
    <xf numFmtId="0" fontId="0" fillId="0" borderId="23" xfId="0" applyBorder="1"/>
    <xf numFmtId="1" fontId="0" fillId="5" borderId="25" xfId="0" applyNumberFormat="1" applyFill="1" applyBorder="1"/>
    <xf numFmtId="0" fontId="11" fillId="0" borderId="28" xfId="0" applyFont="1" applyBorder="1" applyAlignment="1">
      <alignment wrapText="1"/>
    </xf>
    <xf numFmtId="0" fontId="12" fillId="2" borderId="23" xfId="0" applyFont="1" applyFill="1" applyBorder="1"/>
    <xf numFmtId="0" fontId="13" fillId="2" borderId="0" xfId="0" applyFont="1" applyFill="1"/>
    <xf numFmtId="0" fontId="12" fillId="2" borderId="0" xfId="0" applyFont="1" applyFill="1"/>
    <xf numFmtId="0" fontId="5" fillId="2" borderId="0" xfId="3" applyFill="1" applyBorder="1" applyAlignment="1"/>
    <xf numFmtId="0" fontId="12" fillId="2" borderId="24" xfId="0" applyFont="1" applyFill="1" applyBorder="1"/>
    <xf numFmtId="0" fontId="12" fillId="0" borderId="23" xfId="0" applyFont="1" applyBorder="1"/>
    <xf numFmtId="0" fontId="13" fillId="0" borderId="0" xfId="0" applyFont="1"/>
    <xf numFmtId="0" fontId="12" fillId="0" borderId="0" xfId="0" applyFont="1"/>
    <xf numFmtId="0" fontId="5" fillId="0" borderId="0" xfId="3" applyBorder="1" applyAlignment="1"/>
    <xf numFmtId="0" fontId="12" fillId="0" borderId="24" xfId="0" applyFont="1" applyBorder="1"/>
    <xf numFmtId="0" fontId="14" fillId="2" borderId="0" xfId="0" applyFont="1" applyFill="1"/>
    <xf numFmtId="0" fontId="14" fillId="0" borderId="0" xfId="0" applyFont="1"/>
    <xf numFmtId="0" fontId="12" fillId="0" borderId="25" xfId="0" applyFont="1" applyBorder="1"/>
    <xf numFmtId="0" fontId="13" fillId="0" borderId="26" xfId="0" applyFont="1" applyBorder="1"/>
    <xf numFmtId="0" fontId="5" fillId="0" borderId="26" xfId="3" applyBorder="1" applyAlignment="1"/>
    <xf numFmtId="0" fontId="12" fillId="0" borderId="27" xfId="0" applyFont="1" applyBorder="1"/>
    <xf numFmtId="0" fontId="0" fillId="5" borderId="20" xfId="0" applyFill="1" applyBorder="1" applyAlignment="1">
      <alignment horizontal="center" vertical="center" wrapText="1"/>
    </xf>
    <xf numFmtId="0" fontId="0" fillId="5" borderId="24" xfId="0" applyFill="1" applyBorder="1" applyAlignment="1">
      <alignment wrapText="1"/>
    </xf>
    <xf numFmtId="0" fontId="0" fillId="5" borderId="23" xfId="0" applyFill="1"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2" fontId="0" fillId="5" borderId="0" xfId="0" applyNumberFormat="1" applyFill="1"/>
    <xf numFmtId="0" fontId="0" fillId="5" borderId="21" xfId="0" applyFill="1" applyBorder="1" applyAlignment="1">
      <alignment horizontal="center" vertical="center" wrapText="1"/>
    </xf>
    <xf numFmtId="0" fontId="0" fillId="5" borderId="24" xfId="0" applyFill="1" applyBorder="1" applyAlignment="1">
      <alignment horizontal="center" vertical="center" wrapText="1"/>
    </xf>
    <xf numFmtId="0" fontId="0" fillId="5" borderId="24" xfId="0" applyFill="1" applyBorder="1" applyAlignment="1">
      <alignment horizontal="left" vertical="top" wrapText="1"/>
    </xf>
    <xf numFmtId="0" fontId="0" fillId="5" borderId="24" xfId="0" applyFill="1" applyBorder="1" applyAlignment="1">
      <alignment horizontal="left" vertical="center" wrapText="1"/>
    </xf>
    <xf numFmtId="14" fontId="0" fillId="5" borderId="24" xfId="0" applyNumberFormat="1" applyFill="1" applyBorder="1" applyAlignment="1">
      <alignment horizontal="left" wrapText="1"/>
    </xf>
    <xf numFmtId="0" fontId="0" fillId="5" borderId="26"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21" xfId="0" applyFill="1" applyBorder="1" applyAlignment="1">
      <alignment horizontal="left" wrapText="1"/>
    </xf>
    <xf numFmtId="0" fontId="0" fillId="5" borderId="25" xfId="0" applyFill="1" applyBorder="1" applyAlignment="1">
      <alignment vertical="center" wrapText="1"/>
    </xf>
    <xf numFmtId="0" fontId="0" fillId="5" borderId="26" xfId="0" applyFill="1" applyBorder="1" applyAlignment="1">
      <alignment vertical="center" wrapText="1"/>
    </xf>
    <xf numFmtId="0" fontId="0" fillId="5" borderId="26" xfId="0" applyFill="1" applyBorder="1" applyAlignment="1">
      <alignment wrapText="1"/>
    </xf>
    <xf numFmtId="0" fontId="0" fillId="5" borderId="27" xfId="0" applyFill="1" applyBorder="1" applyAlignment="1">
      <alignment wrapText="1"/>
    </xf>
    <xf numFmtId="0" fontId="0" fillId="5" borderId="22" xfId="0" applyFill="1" applyBorder="1" applyAlignment="1">
      <alignment vertical="center" wrapText="1"/>
    </xf>
    <xf numFmtId="0" fontId="0" fillId="5" borderId="20" xfId="0" applyFill="1" applyBorder="1" applyAlignment="1">
      <alignment vertical="center" wrapText="1"/>
    </xf>
    <xf numFmtId="0" fontId="0" fillId="5" borderId="20" xfId="0" applyFill="1" applyBorder="1" applyAlignment="1">
      <alignment wrapText="1"/>
    </xf>
    <xf numFmtId="0" fontId="0" fillId="5" borderId="21" xfId="0" applyFill="1" applyBorder="1" applyAlignment="1">
      <alignment wrapText="1"/>
    </xf>
    <xf numFmtId="0" fontId="0" fillId="5" borderId="25" xfId="0" applyFill="1" applyBorder="1" applyAlignment="1">
      <alignment horizontal="center" vertical="center" wrapText="1"/>
    </xf>
    <xf numFmtId="0" fontId="0" fillId="5" borderId="26" xfId="0" applyFill="1" applyBorder="1" applyAlignment="1">
      <alignment horizontal="left" vertical="center" wrapText="1"/>
    </xf>
    <xf numFmtId="0" fontId="0" fillId="5" borderId="27" xfId="0" applyFill="1" applyBorder="1" applyAlignment="1">
      <alignment horizontal="left" vertical="center" wrapText="1"/>
    </xf>
    <xf numFmtId="0" fontId="0" fillId="5" borderId="22" xfId="0" applyFill="1" applyBorder="1"/>
    <xf numFmtId="0" fontId="0" fillId="5" borderId="20" xfId="0" applyFill="1" applyBorder="1"/>
    <xf numFmtId="0" fontId="0" fillId="5" borderId="21" xfId="0" applyFill="1" applyBorder="1"/>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0" fillId="5" borderId="26" xfId="0" applyFill="1" applyBorder="1" applyAlignment="1">
      <alignment vertical="center"/>
    </xf>
    <xf numFmtId="0" fontId="0" fillId="5" borderId="20" xfId="0" applyFill="1" applyBorder="1" applyAlignment="1">
      <alignment horizontal="center" vertical="center"/>
    </xf>
    <xf numFmtId="0" fontId="0" fillId="5" borderId="27" xfId="0" applyFill="1" applyBorder="1" applyAlignment="1">
      <alignment horizontal="left" wrapText="1"/>
    </xf>
    <xf numFmtId="0" fontId="0" fillId="5" borderId="27" xfId="0" applyFill="1" applyBorder="1" applyAlignment="1">
      <alignment vertical="center" wrapText="1"/>
    </xf>
    <xf numFmtId="0" fontId="0" fillId="5" borderId="21" xfId="0" applyFill="1" applyBorder="1" applyAlignment="1">
      <alignment vertical="center" wrapText="1"/>
    </xf>
    <xf numFmtId="0" fontId="0" fillId="5" borderId="27" xfId="0" applyFill="1" applyBorder="1" applyAlignment="1">
      <alignment horizontal="center" vertical="center"/>
    </xf>
    <xf numFmtId="0" fontId="0" fillId="5" borderId="27" xfId="0" applyFill="1" applyBorder="1" applyAlignment="1">
      <alignment vertical="center"/>
    </xf>
    <xf numFmtId="2" fontId="0" fillId="5" borderId="24" xfId="0" applyNumberFormat="1" applyFill="1" applyBorder="1"/>
    <xf numFmtId="2" fontId="0" fillId="5" borderId="27" xfId="0" applyNumberFormat="1" applyFill="1" applyBorder="1"/>
    <xf numFmtId="0" fontId="0" fillId="5" borderId="11" xfId="0" applyFill="1" applyBorder="1"/>
    <xf numFmtId="0" fontId="5" fillId="5" borderId="5" xfId="3" applyFill="1" applyBorder="1"/>
    <xf numFmtId="0" fontId="0" fillId="5" borderId="4" xfId="0" applyFill="1" applyBorder="1"/>
    <xf numFmtId="0" fontId="0" fillId="5" borderId="5" xfId="0" applyFill="1" applyBorder="1"/>
    <xf numFmtId="0" fontId="9" fillId="5" borderId="12" xfId="0" applyFont="1" applyFill="1" applyBorder="1"/>
    <xf numFmtId="9" fontId="0" fillId="5" borderId="0" xfId="2" applyFont="1" applyFill="1" applyBorder="1"/>
    <xf numFmtId="165" fontId="0" fillId="5" borderId="4" xfId="1" applyNumberFormat="1" applyFont="1" applyFill="1" applyBorder="1"/>
    <xf numFmtId="1" fontId="0" fillId="5" borderId="0" xfId="0" applyNumberFormat="1" applyFill="1"/>
    <xf numFmtId="165" fontId="0" fillId="5" borderId="0" xfId="1" applyNumberFormat="1" applyFont="1" applyFill="1" applyBorder="1"/>
    <xf numFmtId="166" fontId="0" fillId="5" borderId="0" xfId="0" applyNumberFormat="1" applyFill="1"/>
    <xf numFmtId="166" fontId="0" fillId="5" borderId="5" xfId="0" applyNumberFormat="1" applyFill="1" applyBorder="1"/>
    <xf numFmtId="167" fontId="0" fillId="5" borderId="4" xfId="0" applyNumberFormat="1" applyFill="1" applyBorder="1"/>
    <xf numFmtId="1" fontId="0" fillId="5" borderId="2" xfId="0" applyNumberFormat="1" applyFill="1" applyBorder="1"/>
    <xf numFmtId="0" fontId="0" fillId="7" borderId="11" xfId="0" applyFill="1" applyBorder="1"/>
    <xf numFmtId="0" fontId="0" fillId="7" borderId="0" xfId="0" applyFill="1"/>
    <xf numFmtId="0" fontId="5" fillId="7" borderId="5" xfId="3" applyFill="1" applyBorder="1"/>
    <xf numFmtId="0" fontId="0" fillId="7" borderId="4" xfId="0" applyFill="1" applyBorder="1"/>
    <xf numFmtId="0" fontId="0" fillId="7" borderId="5" xfId="0" applyFill="1" applyBorder="1"/>
    <xf numFmtId="0" fontId="0" fillId="7" borderId="0" xfId="0" applyFill="1" applyAlignment="1">
      <alignment horizontal="center" vertical="center"/>
    </xf>
    <xf numFmtId="0" fontId="9" fillId="7" borderId="12" xfId="0" applyFont="1" applyFill="1" applyBorder="1"/>
    <xf numFmtId="9" fontId="0" fillId="7" borderId="0" xfId="2" applyFont="1" applyFill="1" applyBorder="1"/>
    <xf numFmtId="165" fontId="0" fillId="7" borderId="4" xfId="1" applyNumberFormat="1" applyFont="1" applyFill="1" applyBorder="1"/>
    <xf numFmtId="165" fontId="0" fillId="7" borderId="0" xfId="1" applyNumberFormat="1" applyFont="1" applyFill="1" applyBorder="1"/>
    <xf numFmtId="0" fontId="0" fillId="7" borderId="12" xfId="0" applyFill="1" applyBorder="1"/>
    <xf numFmtId="9" fontId="8" fillId="7" borderId="0" xfId="2" applyFont="1" applyFill="1" applyBorder="1" applyAlignment="1"/>
    <xf numFmtId="0" fontId="8" fillId="7" borderId="5" xfId="0" applyFont="1" applyFill="1" applyBorder="1"/>
    <xf numFmtId="0" fontId="0" fillId="5" borderId="12" xfId="0" applyFill="1" applyBorder="1"/>
    <xf numFmtId="9" fontId="8" fillId="5" borderId="0" xfId="2" applyFont="1" applyFill="1" applyBorder="1"/>
    <xf numFmtId="0" fontId="8" fillId="5" borderId="5" xfId="0" applyFont="1" applyFill="1" applyBorder="1"/>
    <xf numFmtId="9" fontId="8" fillId="7" borderId="0" xfId="2" applyFont="1" applyFill="1" applyBorder="1"/>
    <xf numFmtId="9" fontId="8" fillId="5" borderId="0" xfId="2" quotePrefix="1" applyFont="1" applyFill="1" applyBorder="1"/>
    <xf numFmtId="3" fontId="8" fillId="5" borderId="5" xfId="0" quotePrefix="1" applyNumberFormat="1" applyFont="1" applyFill="1" applyBorder="1"/>
    <xf numFmtId="0" fontId="8" fillId="7" borderId="5" xfId="0" quotePrefix="1" applyFont="1" applyFill="1" applyBorder="1"/>
    <xf numFmtId="9" fontId="8" fillId="5" borderId="0" xfId="2" applyFont="1" applyFill="1" applyBorder="1" applyAlignment="1"/>
    <xf numFmtId="0" fontId="7" fillId="5" borderId="0" xfId="0" applyFont="1" applyFill="1"/>
    <xf numFmtId="3" fontId="8" fillId="5" borderId="5" xfId="0" applyNumberFormat="1" applyFont="1" applyFill="1" applyBorder="1"/>
    <xf numFmtId="0" fontId="9" fillId="5" borderId="0" xfId="0" applyFont="1" applyFill="1"/>
    <xf numFmtId="0" fontId="5" fillId="7" borderId="5" xfId="3" applyFill="1" applyBorder="1" applyAlignment="1"/>
    <xf numFmtId="0" fontId="9" fillId="7" borderId="0" xfId="0" applyFont="1" applyFill="1"/>
    <xf numFmtId="0" fontId="5" fillId="5" borderId="5" xfId="3" applyFill="1" applyBorder="1" applyAlignment="1"/>
    <xf numFmtId="0" fontId="6" fillId="7" borderId="0" xfId="0" applyFont="1" applyFill="1"/>
    <xf numFmtId="9" fontId="0" fillId="7" borderId="0" xfId="2" applyFont="1" applyFill="1" applyBorder="1" applyAlignment="1"/>
    <xf numFmtId="4" fontId="8" fillId="7" borderId="5" xfId="0" applyNumberFormat="1" applyFont="1" applyFill="1" applyBorder="1"/>
    <xf numFmtId="9" fontId="8" fillId="5" borderId="5" xfId="0" applyNumberFormat="1" applyFont="1" applyFill="1" applyBorder="1"/>
    <xf numFmtId="13" fontId="0" fillId="5" borderId="0" xfId="2" applyNumberFormat="1" applyFont="1" applyFill="1" applyBorder="1"/>
    <xf numFmtId="1" fontId="0" fillId="7" borderId="2" xfId="0" applyNumberFormat="1" applyFill="1" applyBorder="1"/>
    <xf numFmtId="9" fontId="0" fillId="5" borderId="0" xfId="2" applyFont="1" applyFill="1" applyBorder="1" applyAlignment="1"/>
    <xf numFmtId="0" fontId="8" fillId="7" borderId="0" xfId="0" applyFont="1" applyFill="1"/>
    <xf numFmtId="0" fontId="8" fillId="5" borderId="0" xfId="0" applyFont="1" applyFill="1"/>
    <xf numFmtId="1" fontId="0" fillId="5" borderId="30" xfId="0" applyNumberFormat="1" applyFill="1" applyBorder="1"/>
    <xf numFmtId="2" fontId="0" fillId="0" borderId="0" xfId="0" applyNumberFormat="1"/>
    <xf numFmtId="0" fontId="16" fillId="0" borderId="0" xfId="0" applyFont="1" applyAlignment="1">
      <alignment horizontal="center" vertical="center"/>
    </xf>
    <xf numFmtId="0" fontId="16" fillId="0" borderId="1" xfId="0" applyFont="1" applyBorder="1" applyAlignment="1">
      <alignment horizontal="center" vertical="center"/>
    </xf>
    <xf numFmtId="0" fontId="16" fillId="0" borderId="5" xfId="0" applyFont="1" applyBorder="1"/>
    <xf numFmtId="0" fontId="10" fillId="0" borderId="31" xfId="0" applyFont="1" applyBorder="1" applyAlignment="1">
      <alignment wrapText="1"/>
    </xf>
    <xf numFmtId="0" fontId="11" fillId="0" borderId="32" xfId="0" applyFont="1" applyBorder="1" applyAlignment="1">
      <alignment wrapText="1"/>
    </xf>
    <xf numFmtId="0" fontId="10" fillId="0" borderId="33" xfId="0" applyFont="1" applyBorder="1" applyAlignment="1">
      <alignment wrapText="1"/>
    </xf>
    <xf numFmtId="0" fontId="17" fillId="8" borderId="34" xfId="0" applyFont="1" applyFill="1" applyBorder="1" applyAlignment="1">
      <alignment horizontal="center" vertical="center" wrapText="1"/>
    </xf>
    <xf numFmtId="165" fontId="18" fillId="9" borderId="35" xfId="1" applyNumberFormat="1" applyFont="1" applyFill="1" applyBorder="1" applyAlignment="1">
      <alignment wrapText="1"/>
    </xf>
    <xf numFmtId="0" fontId="18" fillId="9" borderId="35" xfId="0" applyFont="1" applyFill="1" applyBorder="1" applyAlignment="1">
      <alignment wrapText="1"/>
    </xf>
    <xf numFmtId="165" fontId="18" fillId="6" borderId="35" xfId="1" applyNumberFormat="1" applyFont="1" applyFill="1" applyBorder="1" applyAlignment="1">
      <alignment horizontal="center" vertical="center" wrapText="1"/>
    </xf>
    <xf numFmtId="0" fontId="18" fillId="9" borderId="36" xfId="0" applyFont="1" applyFill="1" applyBorder="1" applyAlignment="1">
      <alignment wrapText="1"/>
    </xf>
    <xf numFmtId="165" fontId="18" fillId="6" borderId="36" xfId="1" applyNumberFormat="1" applyFont="1" applyFill="1" applyBorder="1" applyAlignment="1">
      <alignment horizontal="center" vertical="center" wrapText="1"/>
    </xf>
    <xf numFmtId="0" fontId="0" fillId="0" borderId="0" xfId="0" applyAlignment="1">
      <alignment wrapText="1"/>
    </xf>
    <xf numFmtId="0" fontId="19" fillId="6" borderId="37" xfId="0" applyFont="1" applyFill="1" applyBorder="1" applyAlignment="1">
      <alignment horizontal="center" wrapText="1"/>
    </xf>
    <xf numFmtId="0" fontId="19" fillId="6" borderId="38" xfId="0" applyFont="1" applyFill="1" applyBorder="1" applyAlignment="1">
      <alignment horizontal="center" wrapText="1"/>
    </xf>
    <xf numFmtId="0" fontId="19" fillId="6" borderId="39" xfId="0" applyFont="1" applyFill="1" applyBorder="1" applyAlignment="1">
      <alignment horizontal="center" wrapText="1"/>
    </xf>
    <xf numFmtId="0" fontId="0" fillId="6" borderId="11" xfId="0" applyFill="1" applyBorder="1"/>
    <xf numFmtId="0" fontId="0" fillId="7" borderId="13" xfId="0" applyFill="1" applyBorder="1"/>
    <xf numFmtId="0" fontId="0" fillId="7" borderId="14" xfId="0" applyFill="1" applyBorder="1"/>
    <xf numFmtId="0" fontId="5" fillId="6" borderId="5" xfId="3" applyFill="1" applyBorder="1"/>
    <xf numFmtId="0" fontId="5" fillId="7" borderId="15" xfId="3" applyFill="1" applyBorder="1"/>
    <xf numFmtId="0" fontId="0" fillId="6" borderId="4" xfId="0" applyFill="1" applyBorder="1"/>
    <xf numFmtId="0" fontId="0" fillId="7" borderId="16" xfId="0" applyFill="1" applyBorder="1"/>
    <xf numFmtId="0" fontId="0" fillId="5" borderId="14" xfId="0" applyFill="1" applyBorder="1"/>
    <xf numFmtId="0" fontId="0" fillId="6" borderId="5" xfId="0" applyFill="1" applyBorder="1"/>
    <xf numFmtId="0" fontId="0" fillId="5" borderId="15" xfId="0" applyFill="1" applyBorder="1"/>
    <xf numFmtId="0" fontId="0" fillId="7" borderId="15" xfId="0" applyFill="1" applyBorder="1"/>
    <xf numFmtId="0" fontId="0" fillId="6" borderId="0" xfId="0" applyFill="1" applyAlignment="1">
      <alignment horizontal="center" vertical="center"/>
    </xf>
    <xf numFmtId="0" fontId="0" fillId="7" borderId="14" xfId="0" applyFill="1" applyBorder="1" applyAlignment="1">
      <alignment horizontal="center" vertical="center"/>
    </xf>
    <xf numFmtId="0" fontId="0" fillId="6" borderId="12" xfId="0" applyFill="1" applyBorder="1"/>
    <xf numFmtId="0" fontId="0" fillId="7" borderId="17" xfId="0" applyFill="1" applyBorder="1"/>
    <xf numFmtId="1" fontId="0" fillId="6" borderId="2" xfId="0" applyNumberFormat="1" applyFill="1" applyBorder="1"/>
    <xf numFmtId="1" fontId="0" fillId="5" borderId="8" xfId="0" applyNumberFormat="1" applyFill="1" applyBorder="1"/>
    <xf numFmtId="2" fontId="0" fillId="6" borderId="0" xfId="0" applyNumberFormat="1" applyFill="1"/>
    <xf numFmtId="165" fontId="17" fillId="8" borderId="34" xfId="0" applyNumberFormat="1" applyFont="1" applyFill="1" applyBorder="1" applyAlignment="1">
      <alignment horizontal="center" vertical="center" wrapText="1"/>
    </xf>
    <xf numFmtId="165" fontId="0" fillId="0" borderId="0" xfId="1" applyNumberFormat="1" applyFont="1"/>
    <xf numFmtId="165" fontId="0" fillId="0" borderId="0" xfId="0" applyNumberFormat="1"/>
    <xf numFmtId="0" fontId="20" fillId="10" borderId="35" xfId="0" applyFont="1" applyFill="1" applyBorder="1" applyAlignment="1">
      <alignment wrapText="1"/>
    </xf>
    <xf numFmtId="0" fontId="21" fillId="0" borderId="0" xfId="0" applyFont="1"/>
    <xf numFmtId="0" fontId="22" fillId="0" borderId="0" xfId="0" applyFont="1"/>
    <xf numFmtId="44" fontId="0" fillId="0" borderId="0" xfId="4" applyFont="1"/>
    <xf numFmtId="168" fontId="0" fillId="0" borderId="0" xfId="4" applyNumberFormat="1" applyFont="1"/>
    <xf numFmtId="10" fontId="0" fillId="0" borderId="0" xfId="2" applyNumberFormat="1" applyFont="1"/>
    <xf numFmtId="0" fontId="0" fillId="4" borderId="0" xfId="0" applyFill="1" applyAlignment="1">
      <alignment horizontal="center"/>
    </xf>
    <xf numFmtId="0" fontId="0" fillId="5" borderId="26" xfId="0" applyFill="1" applyBorder="1" applyAlignment="1">
      <alignment horizontal="left" wrapText="1"/>
    </xf>
    <xf numFmtId="14" fontId="0" fillId="5" borderId="0" xfId="0" applyNumberFormat="1" applyFill="1" applyAlignment="1">
      <alignment horizontal="left" wrapText="1"/>
    </xf>
    <xf numFmtId="0" fontId="0" fillId="5" borderId="23" xfId="0" applyFill="1" applyBorder="1" applyAlignment="1">
      <alignment horizontal="center"/>
    </xf>
    <xf numFmtId="0" fontId="0" fillId="5" borderId="24" xfId="0" applyFill="1" applyBorder="1" applyAlignment="1">
      <alignment horizontal="center"/>
    </xf>
    <xf numFmtId="0" fontId="0" fillId="5" borderId="22" xfId="0" applyFill="1" applyBorder="1" applyAlignment="1">
      <alignment horizontal="center" vertical="center"/>
    </xf>
    <xf numFmtId="0" fontId="0" fillId="5" borderId="21" xfId="0" applyFill="1" applyBorder="1" applyAlignment="1">
      <alignment horizontal="center" vertic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5" borderId="27" xfId="0" applyFill="1" applyBorder="1" applyAlignment="1">
      <alignment horizontal="center" vertical="center"/>
    </xf>
    <xf numFmtId="0" fontId="0" fillId="5" borderId="0" xfId="0" applyFill="1" applyAlignment="1">
      <alignment horizontal="left"/>
    </xf>
    <xf numFmtId="0" fontId="0" fillId="5" borderId="0" xfId="0" applyFill="1" applyAlignment="1">
      <alignment horizontal="left" vertical="center" wrapText="1"/>
    </xf>
    <xf numFmtId="0" fontId="0" fillId="5" borderId="0" xfId="0" applyFill="1" applyAlignment="1">
      <alignment horizontal="center" vertical="center" wrapText="1"/>
    </xf>
    <xf numFmtId="0" fontId="0" fillId="5" borderId="29" xfId="0" applyFill="1" applyBorder="1" applyAlignment="1">
      <alignment horizontal="center"/>
    </xf>
    <xf numFmtId="0" fontId="0" fillId="5" borderId="18" xfId="0" applyFill="1" applyBorder="1" applyAlignment="1">
      <alignment horizontal="center"/>
    </xf>
    <xf numFmtId="0" fontId="0" fillId="5" borderId="22"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24" xfId="0" applyFill="1" applyBorder="1" applyAlignment="1">
      <alignment horizontal="center" vertical="center" wrapText="1"/>
    </xf>
    <xf numFmtId="0" fontId="0" fillId="5" borderId="2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26" xfId="0" applyFill="1" applyBorder="1" applyAlignment="1">
      <alignment horizontal="center" vertical="center" wrapText="1"/>
    </xf>
    <xf numFmtId="0" fontId="0" fillId="5" borderId="0" xfId="0" applyFill="1" applyAlignment="1">
      <alignment horizontal="left" vertical="top" wrapText="1"/>
    </xf>
    <xf numFmtId="0" fontId="0" fillId="5" borderId="20" xfId="0" applyFill="1" applyBorder="1" applyAlignment="1">
      <alignment horizontal="left" wrapText="1"/>
    </xf>
    <xf numFmtId="0" fontId="0" fillId="0" borderId="23" xfId="0" applyBorder="1" applyAlignment="1">
      <alignment horizontal="left"/>
    </xf>
    <xf numFmtId="0" fontId="0" fillId="0" borderId="0" xfId="0" applyAlignment="1">
      <alignment horizontal="left"/>
    </xf>
    <xf numFmtId="0" fontId="0" fillId="0" borderId="24" xfId="0" applyBorder="1" applyAlignment="1">
      <alignment horizontal="left"/>
    </xf>
    <xf numFmtId="0" fontId="0" fillId="0" borderId="22"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3" xfId="0" applyBorder="1" applyAlignment="1">
      <alignment horizontal="left" wrapText="1"/>
    </xf>
    <xf numFmtId="0" fontId="0" fillId="0" borderId="0" xfId="0" applyAlignment="1">
      <alignment horizontal="left" wrapText="1"/>
    </xf>
    <xf numFmtId="0" fontId="0" fillId="0" borderId="24" xfId="0" applyBorder="1" applyAlignment="1">
      <alignment horizontal="left" wrapText="1"/>
    </xf>
    <xf numFmtId="0" fontId="8" fillId="0" borderId="23" xfId="0" applyFont="1" applyBorder="1" applyAlignment="1">
      <alignment horizontal="left"/>
    </xf>
    <xf numFmtId="0" fontId="8" fillId="0" borderId="0" xfId="0" applyFont="1" applyAlignment="1">
      <alignment horizontal="left"/>
    </xf>
    <xf numFmtId="0" fontId="8" fillId="0" borderId="24" xfId="0" applyFont="1"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2" fillId="5" borderId="20" xfId="0" applyFont="1" applyFill="1" applyBorder="1" applyAlignment="1">
      <alignment horizontal="center" vertical="center"/>
    </xf>
    <xf numFmtId="0" fontId="2" fillId="5" borderId="21" xfId="0" applyFont="1" applyFill="1" applyBorder="1" applyAlignment="1">
      <alignment horizontal="center" vertical="center"/>
    </xf>
    <xf numFmtId="165" fontId="17" fillId="8" borderId="34" xfId="1" applyNumberFormat="1" applyFont="1" applyFill="1" applyBorder="1" applyAlignment="1">
      <alignment horizontal="center" vertical="center" wrapText="1"/>
    </xf>
  </cellXfs>
  <cellStyles count="5">
    <cellStyle name="Comma" xfId="1" builtinId="3"/>
    <cellStyle name="Currency" xfId="4" builtinId="4"/>
    <cellStyle name="Hyperlink" xfId="3" builtinId="8"/>
    <cellStyle name="Normal" xfId="0" builtinId="0"/>
    <cellStyle name="Percent" xfId="2" builtinId="5"/>
  </cellStyles>
  <dxfs count="103">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numFmt numFmtId="2" formatCode="0.00"/>
      <fill>
        <patternFill patternType="solid">
          <fgColor indexed="64"/>
          <bgColor theme="0" tint="-4.9989318521683403E-2"/>
        </patternFill>
      </fill>
    </dxf>
    <dxf>
      <numFmt numFmtId="1" formatCode="0"/>
      <fill>
        <patternFill patternType="solid">
          <fgColor indexed="64"/>
          <bgColor theme="0" tint="-4.9989318521683403E-2"/>
        </patternFill>
      </fill>
      <border diagonalUp="0" diagonalDown="0" outline="0">
        <left style="medium">
          <color theme="1" tint="0.34998626667073579"/>
        </left>
        <right style="medium">
          <color theme="1" tint="0.34998626667073579"/>
        </right>
        <top style="thin">
          <color theme="1" tint="0.34998626667073579"/>
        </top>
        <bottom style="thin">
          <color theme="1" tint="0.34998626667073579"/>
        </bottom>
      </border>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166" formatCode="0;\-0;;@"/>
      <fill>
        <patternFill>
          <bgColor theme="0" tint="-4.9989318521683403E-2"/>
        </patternFill>
      </fill>
    </dxf>
    <dxf>
      <numFmt numFmtId="166" formatCode="0;\-0;;@"/>
      <fill>
        <patternFill>
          <bgColor theme="0" tint="-4.9989318521683403E-2"/>
        </patternFill>
      </fill>
    </dxf>
    <dxf>
      <numFmt numFmtId="2" formatCode="0.00"/>
      <fill>
        <patternFill patternType="solid">
          <fgColor indexed="64"/>
          <bgColor theme="0"/>
        </patternFill>
      </fill>
    </dxf>
    <dxf>
      <numFmt numFmtId="2" formatCode="0.00"/>
      <fill>
        <patternFill patternType="solid">
          <fgColor indexed="64"/>
          <bgColor theme="0"/>
        </patternFill>
      </fill>
    </dxf>
    <dxf>
      <fill>
        <patternFill>
          <bgColor theme="0" tint="-4.9989318521683403E-2"/>
        </patternFill>
      </fill>
    </dxf>
    <dxf>
      <numFmt numFmtId="167" formatCode="0.00;\-0.00;;@"/>
      <fill>
        <patternFill>
          <bgColor theme="0" tint="-4.9989318521683403E-2"/>
        </patternFill>
      </fill>
      <border diagonalUp="0" diagonalDown="0" outline="0">
        <left style="medium">
          <color theme="1" tint="0.34998626667073579"/>
        </left>
      </border>
    </dxf>
    <dxf>
      <font>
        <b val="0"/>
        <i val="0"/>
        <strike val="0"/>
        <condense val="0"/>
        <extend val="0"/>
        <outline val="0"/>
        <shadow val="0"/>
        <u val="none"/>
        <vertAlign val="baseline"/>
        <sz val="11"/>
        <color auto="1"/>
        <name val="Calibri"/>
        <family val="2"/>
        <scheme val="minor"/>
      </font>
      <numFmt numFmtId="166" formatCode="0;\-0;;@"/>
      <fill>
        <patternFill patternType="solid">
          <fgColor theme="0" tint="-0.14999847407452621"/>
          <bgColor theme="0" tint="-4.9989318521683403E-2"/>
        </patternFill>
      </fill>
    </dxf>
    <dxf>
      <font>
        <b val="0"/>
        <i val="0"/>
        <strike val="0"/>
        <condense val="0"/>
        <extend val="0"/>
        <outline val="0"/>
        <shadow val="0"/>
        <u val="none"/>
        <vertAlign val="baseline"/>
        <sz val="11"/>
        <color theme="1"/>
        <name val="Calibri"/>
        <family val="2"/>
        <scheme val="minor"/>
      </font>
      <numFmt numFmtId="165" formatCode="_-* #,##0_-;\-* #,##0_-;_-* &quot;-&quot;??_-;_-@_-"/>
      <fill>
        <patternFill>
          <bgColor theme="0" tint="-4.9989318521683403E-2"/>
        </patternFill>
      </fill>
    </dxf>
    <dxf>
      <numFmt numFmtId="165" formatCode="_-* #,##0_-;\-* #,##0_-;_-* &quot;-&quot;??_-;_-@_-"/>
      <fill>
        <patternFill>
          <bgColor theme="0" tint="-4.9989318521683403E-2"/>
        </patternFill>
      </fill>
    </dxf>
    <dxf>
      <numFmt numFmtId="166" formatCode="0;\-0;;@"/>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65" formatCode="_-* #,##0_-;\-* #,##0_-;_-* &quot;-&quot;??_-;_-@_-"/>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ill>
        <patternFill>
          <bgColor theme="0" tint="-4.9989318521683403E-2"/>
        </patternFill>
      </fill>
    </dxf>
    <dxf>
      <numFmt numFmtId="165" formatCode="_-* #,##0_-;\-* #,##0_-;_-* &quot;-&quot;??_-;_-@_-"/>
      <fill>
        <patternFill>
          <bgColor theme="0" tint="-4.9989318521683403E-2"/>
        </patternFill>
      </fill>
      <border diagonalUp="0" diagonalDown="0" outline="0">
        <left style="medium">
          <color theme="1" tint="0.34998626667073579"/>
        </lef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border>
    </dxf>
    <dxf>
      <fill>
        <patternFill>
          <bgColor theme="0" tint="-4.9989318521683403E-2"/>
        </patternFill>
      </fill>
      <border diagonalUp="0" diagonalDown="0" outline="0">
        <left/>
        <right style="medium">
          <color theme="1" tint="0.34998626667073579"/>
        </right>
        <top/>
        <bottom/>
      </border>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border diagonalUp="0" diagonalDown="0" outline="0">
        <left style="medium">
          <color theme="1" tint="0.34998626667073579"/>
        </left>
        <right/>
        <top/>
        <bottom/>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indexed="64"/>
        </left>
        <right/>
      </border>
    </dxf>
    <dxf>
      <border outline="0">
        <left style="thin">
          <color indexed="64"/>
        </left>
      </border>
    </dxf>
    <dxf>
      <fill>
        <patternFill>
          <bgColor theme="0" tint="-4.9989318521683403E-2"/>
        </patternFill>
      </fill>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514351</xdr:colOff>
      <xdr:row>4</xdr:row>
      <xdr:rowOff>107951</xdr:rowOff>
    </xdr:from>
    <xdr:to>
      <xdr:col>18</xdr:col>
      <xdr:colOff>304801</xdr:colOff>
      <xdr:row>12</xdr:row>
      <xdr:rowOff>19152</xdr:rowOff>
    </xdr:to>
    <xdr:pic>
      <xdr:nvPicPr>
        <xdr:cNvPr id="5" name="Picture 4">
          <a:extLst>
            <a:ext uri="{FF2B5EF4-FFF2-40B4-BE49-F238E27FC236}">
              <a16:creationId xmlns:a16="http://schemas.microsoft.com/office/drawing/2014/main" id="{7F3AEEF0-F8FA-457A-88C2-0F8B8762EA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94751" y="844551"/>
          <a:ext cx="3124200" cy="1384401"/>
        </a:xfrm>
        <a:prstGeom prst="rect">
          <a:avLst/>
        </a:prstGeom>
      </xdr:spPr>
    </xdr:pic>
    <xdr:clientData/>
  </xdr:twoCellAnchor>
  <xdr:twoCellAnchor editAs="oneCell">
    <xdr:from>
      <xdr:col>1</xdr:col>
      <xdr:colOff>412751</xdr:colOff>
      <xdr:row>0</xdr:row>
      <xdr:rowOff>67707</xdr:rowOff>
    </xdr:from>
    <xdr:to>
      <xdr:col>6</xdr:col>
      <xdr:colOff>355601</xdr:colOff>
      <xdr:row>13</xdr:row>
      <xdr:rowOff>22016</xdr:rowOff>
    </xdr:to>
    <xdr:pic>
      <xdr:nvPicPr>
        <xdr:cNvPr id="7" name="Picture 6">
          <a:extLst>
            <a:ext uri="{FF2B5EF4-FFF2-40B4-BE49-F238E27FC236}">
              <a16:creationId xmlns:a16="http://schemas.microsoft.com/office/drawing/2014/main" id="{3C0DF4F0-9A55-48B3-9594-F584D2B774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2351" y="67707"/>
          <a:ext cx="2736850" cy="2348259"/>
        </a:xfrm>
        <a:prstGeom prst="rect">
          <a:avLst/>
        </a:prstGeom>
      </xdr:spPr>
    </xdr:pic>
    <xdr:clientData/>
  </xdr:twoCellAnchor>
  <xdr:twoCellAnchor editAs="oneCell">
    <xdr:from>
      <xdr:col>8</xdr:col>
      <xdr:colOff>444500</xdr:colOff>
      <xdr:row>0</xdr:row>
      <xdr:rowOff>146050</xdr:rowOff>
    </xdr:from>
    <xdr:to>
      <xdr:col>13</xdr:col>
      <xdr:colOff>464834</xdr:colOff>
      <xdr:row>13</xdr:row>
      <xdr:rowOff>69850</xdr:rowOff>
    </xdr:to>
    <xdr:pic>
      <xdr:nvPicPr>
        <xdr:cNvPr id="9" name="Picture 8">
          <a:extLst>
            <a:ext uri="{FF2B5EF4-FFF2-40B4-BE49-F238E27FC236}">
              <a16:creationId xmlns:a16="http://schemas.microsoft.com/office/drawing/2014/main" id="{CAA4DDB9-C4EA-49F1-88F4-2A07C2DB62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67300" y="146050"/>
          <a:ext cx="3068334" cy="2317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crye/Desktop/PLCY798N/Food%20Waste%20Degrowth/World%20Population.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ohncrye/Desktop/PLCY798N/API_NE-2/API_NE.EXP.GNFS.ZS_DS2_en_csv_v2_4757405.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ohncrye/Desktop/PLCY798N/API_EG-2/API_EG.USE.ELEC.KH.PC_DS2_en_csv_v2_4753997.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ohncrye/Desktop/PLCY798N/API_EN/API_EN.POP.DNST_DS2_en_csv_v2_4758906.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hncrye/Downloads/API_NY/GDP%202015%20Constant.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hncrye/Desktop/PLCY798N/Food%20Waste%20Degrowth/UN%20Food%20Waste%20Inde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ohncrye/Downloads/API_EG/Access%20to%20Electricity.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ourism%20Receipt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ohncrye/Downloads/API_NV/API_NV.AGR.TOTL.ZS_DS2_en_csv_v2_4754185.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ohncrye/Desktop/PLCY798N/API_SP-2/API_SP.RUR.TOTL_DS2_en_csv_v2_4754112.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ohncrye/Desktop/PLCY798N/API_AG/API_AG.PRD.FOOD.XD_DS2_en_csv_v2_4753995.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ohncrye/Downloads/API_NE/API_NE.IMP.GNFS.ZS_DS2_en_csv_v2_475760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 Population"/>
    </sheetNames>
    <sheetDataSet>
      <sheetData sheetId="0">
        <row r="2">
          <cell r="B2" t="str">
            <v>Aruba</v>
          </cell>
          <cell r="C2" t="str">
            <v>ABW</v>
          </cell>
          <cell r="BN2">
            <v>106766</v>
          </cell>
        </row>
        <row r="3">
          <cell r="B3" t="str">
            <v>Africa Eastern and Southern</v>
          </cell>
          <cell r="C3" t="str">
            <v>AFE</v>
          </cell>
          <cell r="BN3">
            <v>677243299</v>
          </cell>
        </row>
        <row r="4">
          <cell r="B4" t="str">
            <v>Afghanistan</v>
          </cell>
          <cell r="C4" t="str">
            <v>AFG</v>
          </cell>
          <cell r="BN4">
            <v>38928341</v>
          </cell>
        </row>
        <row r="5">
          <cell r="B5" t="str">
            <v>Africa Western and Central</v>
          </cell>
          <cell r="C5" t="str">
            <v>AFW</v>
          </cell>
          <cell r="BN5">
            <v>458803476</v>
          </cell>
        </row>
        <row r="6">
          <cell r="B6" t="str">
            <v>Angola</v>
          </cell>
          <cell r="C6" t="str">
            <v>AGO</v>
          </cell>
          <cell r="BN6">
            <v>32866268</v>
          </cell>
        </row>
        <row r="7">
          <cell r="B7" t="str">
            <v>Albania</v>
          </cell>
          <cell r="C7" t="str">
            <v>ALB</v>
          </cell>
          <cell r="BN7">
            <v>2837849</v>
          </cell>
        </row>
        <row r="8">
          <cell r="B8" t="str">
            <v>Andorra</v>
          </cell>
          <cell r="C8" t="str">
            <v>AND</v>
          </cell>
          <cell r="BN8">
            <v>77265</v>
          </cell>
        </row>
        <row r="9">
          <cell r="B9" t="str">
            <v>Arab World</v>
          </cell>
          <cell r="C9" t="str">
            <v>ARB</v>
          </cell>
          <cell r="BN9">
            <v>436080728</v>
          </cell>
        </row>
        <row r="10">
          <cell r="B10" t="str">
            <v>United Arab Emirates</v>
          </cell>
          <cell r="C10" t="str">
            <v>ARE</v>
          </cell>
          <cell r="BN10">
            <v>9890400</v>
          </cell>
        </row>
        <row r="11">
          <cell r="B11" t="str">
            <v>Argentina</v>
          </cell>
          <cell r="C11" t="str">
            <v>ARG</v>
          </cell>
          <cell r="BN11">
            <v>45376763</v>
          </cell>
        </row>
        <row r="12">
          <cell r="B12" t="str">
            <v>Armenia</v>
          </cell>
          <cell r="C12" t="str">
            <v>ARM</v>
          </cell>
          <cell r="BN12">
            <v>2963234</v>
          </cell>
        </row>
        <row r="13">
          <cell r="B13" t="str">
            <v>American Samoa</v>
          </cell>
          <cell r="C13" t="str">
            <v>ASM</v>
          </cell>
          <cell r="BN13">
            <v>55197</v>
          </cell>
        </row>
        <row r="14">
          <cell r="B14" t="str">
            <v>Antigua and Barbuda</v>
          </cell>
          <cell r="C14" t="str">
            <v>ATG</v>
          </cell>
          <cell r="BN14">
            <v>97928</v>
          </cell>
        </row>
        <row r="15">
          <cell r="B15" t="str">
            <v>Australia</v>
          </cell>
          <cell r="C15" t="str">
            <v>AUS</v>
          </cell>
          <cell r="BN15">
            <v>25693267</v>
          </cell>
        </row>
        <row r="16">
          <cell r="B16" t="str">
            <v>Austria</v>
          </cell>
          <cell r="C16" t="str">
            <v>AUT</v>
          </cell>
          <cell r="BN16">
            <v>8916864</v>
          </cell>
        </row>
        <row r="17">
          <cell r="B17" t="str">
            <v>Azerbaijan</v>
          </cell>
          <cell r="C17" t="str">
            <v>AZE</v>
          </cell>
          <cell r="BN17">
            <v>10093121</v>
          </cell>
        </row>
        <row r="18">
          <cell r="B18" t="str">
            <v>Burundi</v>
          </cell>
          <cell r="C18" t="str">
            <v>BDI</v>
          </cell>
          <cell r="BN18">
            <v>11890781</v>
          </cell>
        </row>
        <row r="19">
          <cell r="B19" t="str">
            <v>Belgium</v>
          </cell>
          <cell r="C19" t="str">
            <v>BEL</v>
          </cell>
          <cell r="BN19">
            <v>11544241</v>
          </cell>
        </row>
        <row r="20">
          <cell r="B20" t="str">
            <v>Benin</v>
          </cell>
          <cell r="C20" t="str">
            <v>BEN</v>
          </cell>
          <cell r="BN20">
            <v>12123198</v>
          </cell>
        </row>
        <row r="21">
          <cell r="B21" t="str">
            <v>Burkina Faso</v>
          </cell>
          <cell r="C21" t="str">
            <v>BFA</v>
          </cell>
          <cell r="BN21">
            <v>20903278</v>
          </cell>
        </row>
        <row r="22">
          <cell r="B22" t="str">
            <v>Bangladesh</v>
          </cell>
          <cell r="C22" t="str">
            <v>BGD</v>
          </cell>
          <cell r="BN22">
            <v>164689383</v>
          </cell>
        </row>
        <row r="23">
          <cell r="B23" t="str">
            <v>Bulgaria</v>
          </cell>
          <cell r="C23" t="str">
            <v>BGR</v>
          </cell>
          <cell r="BN23">
            <v>6934015</v>
          </cell>
        </row>
        <row r="24">
          <cell r="B24" t="str">
            <v>Bahrain</v>
          </cell>
          <cell r="C24" t="str">
            <v>BHR</v>
          </cell>
          <cell r="BN24">
            <v>1701583</v>
          </cell>
        </row>
        <row r="25">
          <cell r="B25" t="str">
            <v>Bahamas</v>
          </cell>
          <cell r="C25" t="str">
            <v>BHS</v>
          </cell>
          <cell r="BN25">
            <v>393248</v>
          </cell>
        </row>
        <row r="26">
          <cell r="B26" t="str">
            <v>Bosnia and Herzegovina</v>
          </cell>
          <cell r="C26" t="str">
            <v>BIH</v>
          </cell>
          <cell r="BN26">
            <v>3280815</v>
          </cell>
        </row>
        <row r="27">
          <cell r="B27" t="str">
            <v>Belarus</v>
          </cell>
          <cell r="C27" t="str">
            <v>BLR</v>
          </cell>
          <cell r="BN27">
            <v>9379952</v>
          </cell>
        </row>
        <row r="28">
          <cell r="B28" t="str">
            <v>Belize</v>
          </cell>
          <cell r="C28" t="str">
            <v>BLZ</v>
          </cell>
          <cell r="BN28">
            <v>397621</v>
          </cell>
        </row>
        <row r="29">
          <cell r="B29" t="str">
            <v>Bermuda</v>
          </cell>
          <cell r="C29" t="str">
            <v>BMU</v>
          </cell>
          <cell r="BN29">
            <v>63893</v>
          </cell>
        </row>
        <row r="30">
          <cell r="B30" t="str">
            <v>Bolivia (Plurin. State of)</v>
          </cell>
          <cell r="C30" t="str">
            <v>BOL</v>
          </cell>
          <cell r="BN30">
            <v>11673029</v>
          </cell>
        </row>
        <row r="31">
          <cell r="B31" t="str">
            <v>Brazil</v>
          </cell>
          <cell r="C31" t="str">
            <v>BRA</v>
          </cell>
          <cell r="BN31">
            <v>212559409</v>
          </cell>
        </row>
        <row r="32">
          <cell r="B32" t="str">
            <v>Barbados</v>
          </cell>
          <cell r="C32" t="str">
            <v>BRB</v>
          </cell>
          <cell r="BN32">
            <v>287371</v>
          </cell>
        </row>
        <row r="33">
          <cell r="B33" t="str">
            <v>Brunei Darussalam</v>
          </cell>
          <cell r="C33" t="str">
            <v>BRN</v>
          </cell>
          <cell r="BN33">
            <v>437483</v>
          </cell>
        </row>
        <row r="34">
          <cell r="B34" t="str">
            <v>Bhutan</v>
          </cell>
          <cell r="C34" t="str">
            <v>BTN</v>
          </cell>
          <cell r="BN34">
            <v>771612</v>
          </cell>
        </row>
        <row r="35">
          <cell r="B35" t="str">
            <v>Botswana</v>
          </cell>
          <cell r="C35" t="str">
            <v>BWA</v>
          </cell>
          <cell r="BN35">
            <v>2351625</v>
          </cell>
        </row>
        <row r="36">
          <cell r="B36" t="str">
            <v>Central African Republic</v>
          </cell>
          <cell r="C36" t="str">
            <v>CAF</v>
          </cell>
          <cell r="BN36">
            <v>4829764</v>
          </cell>
        </row>
        <row r="37">
          <cell r="B37" t="str">
            <v>Canada</v>
          </cell>
          <cell r="C37" t="str">
            <v>CAN</v>
          </cell>
          <cell r="BN37">
            <v>38037204</v>
          </cell>
        </row>
        <row r="38">
          <cell r="B38" t="str">
            <v>Central Europe and the Baltics</v>
          </cell>
          <cell r="C38" t="str">
            <v>CEB</v>
          </cell>
          <cell r="BN38">
            <v>102172351</v>
          </cell>
        </row>
        <row r="39">
          <cell r="B39" t="str">
            <v>Switzerland</v>
          </cell>
          <cell r="C39" t="str">
            <v>CHE</v>
          </cell>
          <cell r="BN39">
            <v>8636561</v>
          </cell>
        </row>
        <row r="40">
          <cell r="B40" t="str">
            <v>Channel Islands</v>
          </cell>
          <cell r="C40" t="str">
            <v>CHI</v>
          </cell>
          <cell r="BN40">
            <v>173859</v>
          </cell>
        </row>
        <row r="41">
          <cell r="B41" t="str">
            <v>Chile</v>
          </cell>
          <cell r="C41" t="str">
            <v>CHL</v>
          </cell>
          <cell r="BN41">
            <v>19116209</v>
          </cell>
        </row>
        <row r="42">
          <cell r="B42" t="str">
            <v>China</v>
          </cell>
          <cell r="C42" t="str">
            <v>CHN</v>
          </cell>
          <cell r="BN42">
            <v>1411100000</v>
          </cell>
        </row>
        <row r="43">
          <cell r="B43" t="str">
            <v>Côte d’Ivoire</v>
          </cell>
          <cell r="C43" t="str">
            <v>CIV</v>
          </cell>
          <cell r="BN43">
            <v>26378275</v>
          </cell>
        </row>
        <row r="44">
          <cell r="B44" t="str">
            <v>Cameroon</v>
          </cell>
          <cell r="C44" t="str">
            <v>CMR</v>
          </cell>
          <cell r="BN44">
            <v>26545864</v>
          </cell>
        </row>
        <row r="45">
          <cell r="B45" t="str">
            <v>Congo</v>
          </cell>
          <cell r="C45" t="str">
            <v>COD</v>
          </cell>
          <cell r="BN45">
            <v>89561404</v>
          </cell>
        </row>
        <row r="46">
          <cell r="B46" t="str">
            <v>Dem. Rep. of the Congo</v>
          </cell>
          <cell r="C46" t="str">
            <v>COG</v>
          </cell>
          <cell r="BN46">
            <v>5518092</v>
          </cell>
        </row>
        <row r="47">
          <cell r="B47" t="str">
            <v>Colombia</v>
          </cell>
          <cell r="C47" t="str">
            <v>COL</v>
          </cell>
          <cell r="BN47">
            <v>50882884</v>
          </cell>
        </row>
        <row r="48">
          <cell r="B48" t="str">
            <v>Comoros</v>
          </cell>
          <cell r="C48" t="str">
            <v>COM</v>
          </cell>
          <cell r="BN48">
            <v>869595</v>
          </cell>
        </row>
        <row r="49">
          <cell r="B49" t="str">
            <v>Cabo Verde</v>
          </cell>
          <cell r="C49" t="str">
            <v>CPV</v>
          </cell>
          <cell r="BN49">
            <v>555988</v>
          </cell>
        </row>
        <row r="50">
          <cell r="B50" t="str">
            <v>Costa Rica</v>
          </cell>
          <cell r="C50" t="str">
            <v>CRI</v>
          </cell>
          <cell r="BN50">
            <v>5094114</v>
          </cell>
        </row>
        <row r="51">
          <cell r="B51" t="str">
            <v>Caribbean small states</v>
          </cell>
          <cell r="C51" t="str">
            <v>CSS</v>
          </cell>
          <cell r="BN51">
            <v>7442291</v>
          </cell>
        </row>
        <row r="52">
          <cell r="B52" t="str">
            <v>Cuba</v>
          </cell>
          <cell r="C52" t="str">
            <v>CUB</v>
          </cell>
          <cell r="BN52">
            <v>11326616</v>
          </cell>
        </row>
        <row r="53">
          <cell r="B53" t="str">
            <v>Curaçao</v>
          </cell>
          <cell r="C53" t="str">
            <v>CUW</v>
          </cell>
          <cell r="BN53">
            <v>154947</v>
          </cell>
        </row>
        <row r="54">
          <cell r="B54" t="str">
            <v>Cayman Islands</v>
          </cell>
          <cell r="C54" t="str">
            <v>CYM</v>
          </cell>
          <cell r="BN54">
            <v>65720</v>
          </cell>
        </row>
        <row r="55">
          <cell r="B55" t="str">
            <v>Cyprus</v>
          </cell>
          <cell r="C55" t="str">
            <v>CYP</v>
          </cell>
          <cell r="BN55">
            <v>1207361</v>
          </cell>
        </row>
        <row r="56">
          <cell r="B56" t="str">
            <v>Czechia</v>
          </cell>
          <cell r="C56" t="str">
            <v>CZE</v>
          </cell>
          <cell r="BN56">
            <v>10697858</v>
          </cell>
        </row>
        <row r="57">
          <cell r="B57" t="str">
            <v>Germany</v>
          </cell>
          <cell r="C57" t="str">
            <v>DEU</v>
          </cell>
          <cell r="BN57">
            <v>83160871</v>
          </cell>
        </row>
        <row r="58">
          <cell r="B58" t="str">
            <v>Djibouti</v>
          </cell>
          <cell r="C58" t="str">
            <v>DJI</v>
          </cell>
          <cell r="BN58">
            <v>988002</v>
          </cell>
        </row>
        <row r="59">
          <cell r="B59" t="str">
            <v>Dominica</v>
          </cell>
          <cell r="C59" t="str">
            <v>DMA</v>
          </cell>
          <cell r="BN59">
            <v>71991</v>
          </cell>
        </row>
        <row r="60">
          <cell r="B60" t="str">
            <v>Denmark</v>
          </cell>
          <cell r="C60" t="str">
            <v>DNK</v>
          </cell>
          <cell r="BN60">
            <v>5831404</v>
          </cell>
        </row>
        <row r="61">
          <cell r="B61" t="str">
            <v>Dominican Republic</v>
          </cell>
          <cell r="C61" t="str">
            <v>DOM</v>
          </cell>
          <cell r="BN61">
            <v>10847904</v>
          </cell>
        </row>
        <row r="62">
          <cell r="B62" t="str">
            <v>Algeria</v>
          </cell>
          <cell r="C62" t="str">
            <v>DZA</v>
          </cell>
          <cell r="BN62">
            <v>43851043</v>
          </cell>
        </row>
        <row r="63">
          <cell r="B63" t="str">
            <v>East Asia &amp; Pacific (excluding high income)</v>
          </cell>
          <cell r="C63" t="str">
            <v>EAP</v>
          </cell>
          <cell r="BN63">
            <v>2114009483</v>
          </cell>
        </row>
        <row r="64">
          <cell r="B64" t="str">
            <v>Early-demographic dividend</v>
          </cell>
          <cell r="C64" t="str">
            <v>EAR</v>
          </cell>
          <cell r="BN64">
            <v>3332103561</v>
          </cell>
        </row>
        <row r="65">
          <cell r="B65" t="str">
            <v>East Asia &amp; Pacific</v>
          </cell>
          <cell r="C65" t="str">
            <v>EAS</v>
          </cell>
          <cell r="BN65">
            <v>2361517682</v>
          </cell>
        </row>
        <row r="66">
          <cell r="B66" t="str">
            <v>Europe &amp; Central Asia (excluding high income)</v>
          </cell>
          <cell r="C66" t="str">
            <v>ECA</v>
          </cell>
          <cell r="BN66">
            <v>400895993</v>
          </cell>
        </row>
        <row r="67">
          <cell r="B67" t="str">
            <v>Europe &amp; Central Asia</v>
          </cell>
          <cell r="C67" t="str">
            <v>ECS</v>
          </cell>
          <cell r="BN67">
            <v>922976036</v>
          </cell>
        </row>
        <row r="68">
          <cell r="B68" t="str">
            <v>Ecuador</v>
          </cell>
          <cell r="C68" t="str">
            <v>ECU</v>
          </cell>
          <cell r="BN68">
            <v>17643060</v>
          </cell>
        </row>
        <row r="69">
          <cell r="B69" t="str">
            <v>Egypt</v>
          </cell>
          <cell r="C69" t="str">
            <v>EGY</v>
          </cell>
          <cell r="BN69">
            <v>102334403</v>
          </cell>
        </row>
        <row r="70">
          <cell r="B70" t="str">
            <v>Euro area</v>
          </cell>
          <cell r="C70" t="str">
            <v>EMU</v>
          </cell>
          <cell r="BN70">
            <v>342708355</v>
          </cell>
        </row>
        <row r="71">
          <cell r="B71" t="str">
            <v>Eritrea</v>
          </cell>
          <cell r="C71" t="str">
            <v>ERI</v>
          </cell>
        </row>
        <row r="72">
          <cell r="B72" t="str">
            <v>Spain</v>
          </cell>
          <cell r="C72" t="str">
            <v>ESP</v>
          </cell>
          <cell r="BN72">
            <v>47363419</v>
          </cell>
        </row>
        <row r="73">
          <cell r="B73" t="str">
            <v>Estonia</v>
          </cell>
          <cell r="C73" t="str">
            <v>EST</v>
          </cell>
          <cell r="BN73">
            <v>1329479</v>
          </cell>
        </row>
        <row r="74">
          <cell r="B74" t="str">
            <v>Ethiopia</v>
          </cell>
          <cell r="C74" t="str">
            <v>ETH</v>
          </cell>
          <cell r="BN74">
            <v>114963583</v>
          </cell>
        </row>
        <row r="75">
          <cell r="B75" t="str">
            <v>European Union</v>
          </cell>
          <cell r="C75" t="str">
            <v>EUU</v>
          </cell>
          <cell r="BN75">
            <v>447479493</v>
          </cell>
        </row>
        <row r="76">
          <cell r="B76" t="str">
            <v>Fragile and conflict affected situations</v>
          </cell>
          <cell r="C76" t="str">
            <v>FCS</v>
          </cell>
          <cell r="BN76">
            <v>960960554</v>
          </cell>
        </row>
        <row r="77">
          <cell r="B77" t="str">
            <v>Finland</v>
          </cell>
          <cell r="C77" t="str">
            <v>FIN</v>
          </cell>
          <cell r="BN77">
            <v>5529543</v>
          </cell>
        </row>
        <row r="78">
          <cell r="B78" t="str">
            <v>Fiji</v>
          </cell>
          <cell r="C78" t="str">
            <v>FJI</v>
          </cell>
          <cell r="BN78">
            <v>896444</v>
          </cell>
        </row>
        <row r="79">
          <cell r="B79" t="str">
            <v>France</v>
          </cell>
          <cell r="C79" t="str">
            <v>FRA</v>
          </cell>
          <cell r="BN79">
            <v>67379908</v>
          </cell>
        </row>
        <row r="80">
          <cell r="B80" t="str">
            <v>Faroe Islands</v>
          </cell>
          <cell r="C80" t="str">
            <v>FRO</v>
          </cell>
          <cell r="BN80">
            <v>48865</v>
          </cell>
        </row>
        <row r="81">
          <cell r="B81" t="str">
            <v>Micronesia (Fed. States of)</v>
          </cell>
          <cell r="C81" t="str">
            <v>FSM</v>
          </cell>
          <cell r="BN81">
            <v>115021</v>
          </cell>
        </row>
        <row r="82">
          <cell r="B82" t="str">
            <v>Gabon</v>
          </cell>
          <cell r="C82" t="str">
            <v>GAB</v>
          </cell>
          <cell r="BN82">
            <v>2225728</v>
          </cell>
        </row>
        <row r="83">
          <cell r="B83" t="str">
            <v>United Kingdom</v>
          </cell>
          <cell r="C83" t="str">
            <v>GBR</v>
          </cell>
          <cell r="BN83">
            <v>67081000</v>
          </cell>
        </row>
        <row r="84">
          <cell r="B84" t="str">
            <v>Georgia</v>
          </cell>
          <cell r="C84" t="str">
            <v>GEO</v>
          </cell>
          <cell r="BN84">
            <v>3722716</v>
          </cell>
        </row>
        <row r="85">
          <cell r="B85" t="str">
            <v>Ghana</v>
          </cell>
          <cell r="C85" t="str">
            <v>GHA</v>
          </cell>
          <cell r="BN85">
            <v>31072945</v>
          </cell>
        </row>
        <row r="86">
          <cell r="B86" t="str">
            <v>Gibraltar</v>
          </cell>
          <cell r="C86" t="str">
            <v>GIB</v>
          </cell>
          <cell r="BN86">
            <v>33691</v>
          </cell>
        </row>
        <row r="87">
          <cell r="B87" t="str">
            <v>Guinea</v>
          </cell>
          <cell r="C87" t="str">
            <v>GIN</v>
          </cell>
          <cell r="BN87">
            <v>13132792</v>
          </cell>
        </row>
        <row r="88">
          <cell r="B88" t="str">
            <v>Gambia</v>
          </cell>
          <cell r="C88" t="str">
            <v>GMB</v>
          </cell>
          <cell r="BN88">
            <v>2416664</v>
          </cell>
        </row>
        <row r="89">
          <cell r="B89" t="str">
            <v>Guinea-Bissau</v>
          </cell>
          <cell r="C89" t="str">
            <v>GNB</v>
          </cell>
          <cell r="BN89">
            <v>1967998</v>
          </cell>
        </row>
        <row r="90">
          <cell r="B90" t="str">
            <v>Equatorial Guinea</v>
          </cell>
          <cell r="C90" t="str">
            <v>GNQ</v>
          </cell>
          <cell r="BN90">
            <v>1402985</v>
          </cell>
        </row>
        <row r="91">
          <cell r="B91" t="str">
            <v>Greece</v>
          </cell>
          <cell r="C91" t="str">
            <v>GRC</v>
          </cell>
          <cell r="BN91">
            <v>10700556</v>
          </cell>
        </row>
        <row r="92">
          <cell r="B92" t="str">
            <v>Grenada</v>
          </cell>
          <cell r="C92" t="str">
            <v>GRD</v>
          </cell>
          <cell r="BN92">
            <v>112519</v>
          </cell>
        </row>
        <row r="93">
          <cell r="B93" t="str">
            <v>Greenland</v>
          </cell>
          <cell r="C93" t="str">
            <v>GRL</v>
          </cell>
          <cell r="BN93">
            <v>56367</v>
          </cell>
        </row>
        <row r="94">
          <cell r="B94" t="str">
            <v>Guatemala</v>
          </cell>
          <cell r="C94" t="str">
            <v>GTM</v>
          </cell>
          <cell r="BN94">
            <v>16858333</v>
          </cell>
        </row>
        <row r="95">
          <cell r="B95" t="str">
            <v>Guam</v>
          </cell>
          <cell r="C95" t="str">
            <v>GUM</v>
          </cell>
          <cell r="BN95">
            <v>168783</v>
          </cell>
        </row>
        <row r="96">
          <cell r="B96" t="str">
            <v>Guyana</v>
          </cell>
          <cell r="C96" t="str">
            <v>GUY</v>
          </cell>
          <cell r="BN96">
            <v>786559</v>
          </cell>
        </row>
        <row r="97">
          <cell r="B97" t="str">
            <v>High income</v>
          </cell>
          <cell r="C97" t="str">
            <v>HIC</v>
          </cell>
          <cell r="BN97">
            <v>1240684527</v>
          </cell>
        </row>
        <row r="98">
          <cell r="B98" t="str">
            <v>China, Hong Kong SAR</v>
          </cell>
          <cell r="C98" t="str">
            <v>HKG</v>
          </cell>
          <cell r="BN98">
            <v>7481000</v>
          </cell>
        </row>
        <row r="99">
          <cell r="B99" t="str">
            <v>Honduras</v>
          </cell>
          <cell r="C99" t="str">
            <v>HND</v>
          </cell>
          <cell r="BN99">
            <v>9904608</v>
          </cell>
        </row>
        <row r="100">
          <cell r="B100" t="str">
            <v>Heavily indebted poor countries (HIPC)</v>
          </cell>
          <cell r="C100" t="str">
            <v>HPC</v>
          </cell>
          <cell r="BN100">
            <v>823480038</v>
          </cell>
        </row>
        <row r="101">
          <cell r="B101" t="str">
            <v>Croatia</v>
          </cell>
          <cell r="C101" t="str">
            <v>HRV</v>
          </cell>
          <cell r="BN101">
            <v>4047680</v>
          </cell>
        </row>
        <row r="102">
          <cell r="B102" t="str">
            <v>Haiti</v>
          </cell>
          <cell r="C102" t="str">
            <v>HTI</v>
          </cell>
          <cell r="BN102">
            <v>11402533</v>
          </cell>
        </row>
        <row r="103">
          <cell r="B103" t="str">
            <v>Hungary</v>
          </cell>
          <cell r="C103" t="str">
            <v>HUN</v>
          </cell>
          <cell r="BN103">
            <v>9750149</v>
          </cell>
        </row>
        <row r="104">
          <cell r="B104" t="str">
            <v>IBRD only</v>
          </cell>
          <cell r="C104" t="str">
            <v>IBD</v>
          </cell>
          <cell r="BN104">
            <v>4862446431</v>
          </cell>
        </row>
        <row r="105">
          <cell r="B105" t="str">
            <v>IDA &amp; IBRD total</v>
          </cell>
          <cell r="C105" t="str">
            <v>IBT</v>
          </cell>
          <cell r="BN105">
            <v>6571053159</v>
          </cell>
        </row>
        <row r="106">
          <cell r="B106" t="str">
            <v>IDA total</v>
          </cell>
          <cell r="C106" t="str">
            <v>IDA</v>
          </cell>
          <cell r="BN106">
            <v>1708606728</v>
          </cell>
        </row>
        <row r="107">
          <cell r="B107" t="str">
            <v>IDA blend</v>
          </cell>
          <cell r="C107" t="str">
            <v>IDB</v>
          </cell>
          <cell r="BN107">
            <v>574159138</v>
          </cell>
        </row>
        <row r="108">
          <cell r="B108" t="str">
            <v>Indonesia</v>
          </cell>
          <cell r="C108" t="str">
            <v>IDN</v>
          </cell>
          <cell r="BN108">
            <v>273523621</v>
          </cell>
        </row>
        <row r="109">
          <cell r="B109" t="str">
            <v>IDA only</v>
          </cell>
          <cell r="C109" t="str">
            <v>IDX</v>
          </cell>
          <cell r="BN109">
            <v>1134447590</v>
          </cell>
        </row>
        <row r="110">
          <cell r="B110" t="str">
            <v>Isle of Man</v>
          </cell>
          <cell r="C110" t="str">
            <v>IMN</v>
          </cell>
          <cell r="BN110">
            <v>85032</v>
          </cell>
        </row>
        <row r="111">
          <cell r="B111" t="str">
            <v>India</v>
          </cell>
          <cell r="C111" t="str">
            <v>IND</v>
          </cell>
          <cell r="BN111">
            <v>1380004385</v>
          </cell>
        </row>
        <row r="112">
          <cell r="B112" t="str">
            <v>Not classified</v>
          </cell>
          <cell r="C112" t="str">
            <v>INX</v>
          </cell>
        </row>
        <row r="113">
          <cell r="B113" t="str">
            <v>Ireland</v>
          </cell>
          <cell r="C113" t="str">
            <v>IRL</v>
          </cell>
          <cell r="BN113">
            <v>4985674</v>
          </cell>
        </row>
        <row r="114">
          <cell r="B114" t="str">
            <v>Iran (Islamic Republic of)</v>
          </cell>
          <cell r="C114" t="str">
            <v>IRN</v>
          </cell>
          <cell r="BN114">
            <v>83992953</v>
          </cell>
        </row>
        <row r="115">
          <cell r="B115" t="str">
            <v>Iraq</v>
          </cell>
          <cell r="C115" t="str">
            <v>IRQ</v>
          </cell>
          <cell r="BN115">
            <v>40222503</v>
          </cell>
        </row>
        <row r="116">
          <cell r="B116" t="str">
            <v>Iceland</v>
          </cell>
          <cell r="C116" t="str">
            <v>ISL</v>
          </cell>
          <cell r="BN116">
            <v>366463</v>
          </cell>
        </row>
        <row r="117">
          <cell r="B117" t="str">
            <v>Israel</v>
          </cell>
          <cell r="C117" t="str">
            <v>ISR</v>
          </cell>
          <cell r="BN117">
            <v>9215100</v>
          </cell>
        </row>
        <row r="118">
          <cell r="B118" t="str">
            <v>Italy</v>
          </cell>
          <cell r="C118" t="str">
            <v>ITA</v>
          </cell>
          <cell r="BN118">
            <v>59449527</v>
          </cell>
        </row>
        <row r="119">
          <cell r="B119" t="str">
            <v>Jamaica</v>
          </cell>
          <cell r="C119" t="str">
            <v>JAM</v>
          </cell>
          <cell r="BN119">
            <v>2961161</v>
          </cell>
        </row>
        <row r="120">
          <cell r="B120" t="str">
            <v>Jordan</v>
          </cell>
          <cell r="C120" t="str">
            <v>JOR</v>
          </cell>
          <cell r="BN120">
            <v>10203140</v>
          </cell>
        </row>
        <row r="121">
          <cell r="B121" t="str">
            <v>Japan</v>
          </cell>
          <cell r="C121" t="str">
            <v>JPN</v>
          </cell>
          <cell r="BN121">
            <v>126261000</v>
          </cell>
        </row>
        <row r="122">
          <cell r="B122" t="str">
            <v>Kazakhstan</v>
          </cell>
          <cell r="C122" t="str">
            <v>KAZ</v>
          </cell>
          <cell r="BN122">
            <v>18755666</v>
          </cell>
        </row>
        <row r="123">
          <cell r="B123" t="str">
            <v>Kenya</v>
          </cell>
          <cell r="C123" t="str">
            <v>KEN</v>
          </cell>
          <cell r="BN123">
            <v>53771300</v>
          </cell>
        </row>
        <row r="124">
          <cell r="B124" t="str">
            <v>Kyrgyzstan</v>
          </cell>
          <cell r="C124" t="str">
            <v>KGZ</v>
          </cell>
          <cell r="BN124">
            <v>6579900</v>
          </cell>
        </row>
        <row r="125">
          <cell r="B125" t="str">
            <v>Cambodia</v>
          </cell>
          <cell r="C125" t="str">
            <v>KHM</v>
          </cell>
          <cell r="BN125">
            <v>16718971</v>
          </cell>
        </row>
        <row r="126">
          <cell r="B126" t="str">
            <v>Kiribati</v>
          </cell>
          <cell r="C126" t="str">
            <v>KIR</v>
          </cell>
          <cell r="BN126">
            <v>119446</v>
          </cell>
        </row>
        <row r="127">
          <cell r="B127" t="str">
            <v>Saint Kitts and Nevis</v>
          </cell>
          <cell r="C127" t="str">
            <v>KNA</v>
          </cell>
          <cell r="BN127">
            <v>53192</v>
          </cell>
        </row>
        <row r="128">
          <cell r="B128" t="str">
            <v>Republic of Korea</v>
          </cell>
          <cell r="C128" t="str">
            <v>KOR</v>
          </cell>
          <cell r="BN128">
            <v>51836239</v>
          </cell>
        </row>
        <row r="129">
          <cell r="B129" t="str">
            <v>Kuwait</v>
          </cell>
          <cell r="C129" t="str">
            <v>KWT</v>
          </cell>
          <cell r="BN129">
            <v>4270563</v>
          </cell>
        </row>
        <row r="130">
          <cell r="B130" t="str">
            <v>Latin America &amp; Caribbean (excluding high income)</v>
          </cell>
          <cell r="C130" t="str">
            <v>LAC</v>
          </cell>
          <cell r="BN130">
            <v>590928198</v>
          </cell>
        </row>
        <row r="131">
          <cell r="B131" t="str">
            <v>Lao People's Dem. Rep.</v>
          </cell>
          <cell r="C131" t="str">
            <v>LAO</v>
          </cell>
          <cell r="BN131">
            <v>7275556</v>
          </cell>
        </row>
        <row r="132">
          <cell r="B132" t="str">
            <v>Lebanon</v>
          </cell>
          <cell r="C132" t="str">
            <v>LBN</v>
          </cell>
          <cell r="BN132">
            <v>6825442</v>
          </cell>
        </row>
        <row r="133">
          <cell r="B133" t="str">
            <v>Liberia</v>
          </cell>
          <cell r="C133" t="str">
            <v>LBR</v>
          </cell>
          <cell r="BN133">
            <v>5057677</v>
          </cell>
        </row>
        <row r="134">
          <cell r="B134" t="str">
            <v>Libya</v>
          </cell>
          <cell r="C134" t="str">
            <v>LBY</v>
          </cell>
          <cell r="BN134">
            <v>6871287</v>
          </cell>
        </row>
        <row r="135">
          <cell r="B135" t="str">
            <v>Saint Lucia</v>
          </cell>
          <cell r="C135" t="str">
            <v>LCA</v>
          </cell>
          <cell r="BN135">
            <v>183629</v>
          </cell>
        </row>
        <row r="136">
          <cell r="B136" t="str">
            <v>Latin America &amp; Caribbean</v>
          </cell>
          <cell r="C136" t="str">
            <v>LCN</v>
          </cell>
          <cell r="BN136">
            <v>652365260</v>
          </cell>
        </row>
        <row r="137">
          <cell r="B137" t="str">
            <v>Least developed countries: UN classification</v>
          </cell>
          <cell r="C137" t="str">
            <v>LDC</v>
          </cell>
          <cell r="BN137">
            <v>1057131013</v>
          </cell>
        </row>
        <row r="138">
          <cell r="B138" t="str">
            <v>Low income</v>
          </cell>
          <cell r="C138" t="str">
            <v>LIC</v>
          </cell>
          <cell r="BN138">
            <v>683532991</v>
          </cell>
        </row>
        <row r="139">
          <cell r="B139" t="str">
            <v>Liechtenstein</v>
          </cell>
          <cell r="C139" t="str">
            <v>LIE</v>
          </cell>
          <cell r="BN139">
            <v>38137</v>
          </cell>
        </row>
        <row r="140">
          <cell r="B140" t="str">
            <v>Sri Lanka</v>
          </cell>
          <cell r="C140" t="str">
            <v>LKA</v>
          </cell>
          <cell r="BN140">
            <v>21919000</v>
          </cell>
        </row>
        <row r="141">
          <cell r="B141" t="str">
            <v>Lower middle income</v>
          </cell>
          <cell r="C141" t="str">
            <v>LMC</v>
          </cell>
          <cell r="BN141">
            <v>3318682068</v>
          </cell>
        </row>
        <row r="142">
          <cell r="B142" t="str">
            <v>Low &amp; middle income</v>
          </cell>
          <cell r="C142" t="str">
            <v>LMY</v>
          </cell>
          <cell r="BN142">
            <v>6494812232</v>
          </cell>
        </row>
        <row r="143">
          <cell r="B143" t="str">
            <v>Lesotho</v>
          </cell>
          <cell r="C143" t="str">
            <v>LSO</v>
          </cell>
          <cell r="BN143">
            <v>2142252</v>
          </cell>
        </row>
        <row r="144">
          <cell r="B144" t="str">
            <v>Late-demographic dividend</v>
          </cell>
          <cell r="C144" t="str">
            <v>LTE</v>
          </cell>
          <cell r="BN144">
            <v>2316803603</v>
          </cell>
        </row>
        <row r="145">
          <cell r="B145" t="str">
            <v>Lithuania</v>
          </cell>
          <cell r="C145" t="str">
            <v>LTU</v>
          </cell>
          <cell r="BN145">
            <v>2794885</v>
          </cell>
        </row>
        <row r="146">
          <cell r="B146" t="str">
            <v>Luxembourg</v>
          </cell>
          <cell r="C146" t="str">
            <v>LUX</v>
          </cell>
          <cell r="BN146">
            <v>630419</v>
          </cell>
        </row>
        <row r="147">
          <cell r="B147" t="str">
            <v>Latvia</v>
          </cell>
          <cell r="C147" t="str">
            <v>LVA</v>
          </cell>
          <cell r="BN147">
            <v>1900449</v>
          </cell>
        </row>
        <row r="148">
          <cell r="B148" t="str">
            <v>China, Macao SAR</v>
          </cell>
          <cell r="C148" t="str">
            <v>MAC</v>
          </cell>
          <cell r="BN148">
            <v>649342</v>
          </cell>
        </row>
        <row r="149">
          <cell r="B149" t="str">
            <v>Saint Martin (French part)</v>
          </cell>
          <cell r="C149" t="str">
            <v>MAF</v>
          </cell>
          <cell r="BN149">
            <v>38659</v>
          </cell>
        </row>
        <row r="150">
          <cell r="B150" t="str">
            <v>Morocco</v>
          </cell>
          <cell r="C150" t="str">
            <v>MAR</v>
          </cell>
          <cell r="BN150">
            <v>36910558</v>
          </cell>
        </row>
        <row r="151">
          <cell r="B151" t="str">
            <v>Monaco</v>
          </cell>
          <cell r="C151" t="str">
            <v>MCO</v>
          </cell>
          <cell r="BN151">
            <v>39244</v>
          </cell>
        </row>
        <row r="152">
          <cell r="B152" t="str">
            <v>Republic of Moldova</v>
          </cell>
          <cell r="C152" t="str">
            <v>MDA</v>
          </cell>
          <cell r="BN152">
            <v>2620495</v>
          </cell>
        </row>
        <row r="153">
          <cell r="B153" t="str">
            <v>Madagascar</v>
          </cell>
          <cell r="C153" t="str">
            <v>MDG</v>
          </cell>
          <cell r="BN153">
            <v>27691019</v>
          </cell>
        </row>
        <row r="154">
          <cell r="B154" t="str">
            <v>Maldives</v>
          </cell>
          <cell r="C154" t="str">
            <v>MDV</v>
          </cell>
          <cell r="BN154">
            <v>540542</v>
          </cell>
        </row>
        <row r="155">
          <cell r="B155" t="str">
            <v>Middle East &amp; North Africa</v>
          </cell>
          <cell r="C155" t="str">
            <v>MEA</v>
          </cell>
          <cell r="BN155">
            <v>464542370</v>
          </cell>
        </row>
        <row r="156">
          <cell r="B156" t="str">
            <v>Mexico</v>
          </cell>
          <cell r="C156" t="str">
            <v>MEX</v>
          </cell>
          <cell r="BN156">
            <v>128932753</v>
          </cell>
        </row>
        <row r="157">
          <cell r="B157" t="str">
            <v>Marshall Islands</v>
          </cell>
          <cell r="C157" t="str">
            <v>MHL</v>
          </cell>
          <cell r="BN157">
            <v>59194</v>
          </cell>
        </row>
        <row r="158">
          <cell r="B158" t="str">
            <v>Middle income</v>
          </cell>
          <cell r="C158" t="str">
            <v>MIC</v>
          </cell>
          <cell r="BN158">
            <v>5811279241</v>
          </cell>
        </row>
        <row r="159">
          <cell r="B159" t="str">
            <v>North Macedonia</v>
          </cell>
          <cell r="C159" t="str">
            <v>MKD</v>
          </cell>
          <cell r="BN159">
            <v>2072531</v>
          </cell>
        </row>
        <row r="160">
          <cell r="B160" t="str">
            <v>Mali</v>
          </cell>
          <cell r="C160" t="str">
            <v>MLI</v>
          </cell>
          <cell r="BN160">
            <v>20250834</v>
          </cell>
        </row>
        <row r="161">
          <cell r="B161" t="str">
            <v>Malta</v>
          </cell>
          <cell r="C161" t="str">
            <v>MLT</v>
          </cell>
          <cell r="BN161">
            <v>515332</v>
          </cell>
        </row>
        <row r="162">
          <cell r="B162" t="str">
            <v>Myanmar</v>
          </cell>
          <cell r="C162" t="str">
            <v>MMR</v>
          </cell>
          <cell r="BN162">
            <v>54409794</v>
          </cell>
        </row>
        <row r="163">
          <cell r="B163" t="str">
            <v>Middle East &amp; North Africa (excluding high income)</v>
          </cell>
          <cell r="C163" t="str">
            <v>MNA</v>
          </cell>
          <cell r="BN163">
            <v>396147843</v>
          </cell>
        </row>
        <row r="164">
          <cell r="B164" t="str">
            <v>Montenegro</v>
          </cell>
          <cell r="C164" t="str">
            <v>MNE</v>
          </cell>
          <cell r="BN164">
            <v>621306</v>
          </cell>
        </row>
        <row r="165">
          <cell r="B165" t="str">
            <v>Mongolia</v>
          </cell>
          <cell r="C165" t="str">
            <v>MNG</v>
          </cell>
          <cell r="BN165">
            <v>3278292</v>
          </cell>
        </row>
        <row r="166">
          <cell r="B166" t="str">
            <v>Northern Mariana Islands</v>
          </cell>
          <cell r="C166" t="str">
            <v>MNP</v>
          </cell>
          <cell r="BN166">
            <v>57557</v>
          </cell>
        </row>
        <row r="167">
          <cell r="B167" t="str">
            <v>Mozambique</v>
          </cell>
          <cell r="C167" t="str">
            <v>MOZ</v>
          </cell>
          <cell r="BN167">
            <v>31255435</v>
          </cell>
        </row>
        <row r="168">
          <cell r="B168" t="str">
            <v>Mauritania</v>
          </cell>
          <cell r="C168" t="str">
            <v>MRT</v>
          </cell>
          <cell r="BN168">
            <v>4649660</v>
          </cell>
        </row>
        <row r="169">
          <cell r="B169" t="str">
            <v>Mauritius</v>
          </cell>
          <cell r="C169" t="str">
            <v>MUS</v>
          </cell>
          <cell r="BN169">
            <v>1265740</v>
          </cell>
        </row>
        <row r="170">
          <cell r="B170" t="str">
            <v>Malawi</v>
          </cell>
          <cell r="C170" t="str">
            <v>MWI</v>
          </cell>
          <cell r="BN170">
            <v>19129955</v>
          </cell>
        </row>
        <row r="171">
          <cell r="B171" t="str">
            <v>Malaysia</v>
          </cell>
          <cell r="C171" t="str">
            <v>MYS</v>
          </cell>
          <cell r="BN171">
            <v>32365998</v>
          </cell>
        </row>
        <row r="172">
          <cell r="B172" t="str">
            <v>North America</v>
          </cell>
          <cell r="C172" t="str">
            <v>NAC</v>
          </cell>
          <cell r="BN172">
            <v>369602177</v>
          </cell>
        </row>
        <row r="173">
          <cell r="B173" t="str">
            <v>Namibia</v>
          </cell>
          <cell r="C173" t="str">
            <v>NAM</v>
          </cell>
          <cell r="BN173">
            <v>2540916</v>
          </cell>
        </row>
        <row r="174">
          <cell r="B174" t="str">
            <v>New Caledonia</v>
          </cell>
          <cell r="C174" t="str">
            <v>NCL</v>
          </cell>
          <cell r="BN174">
            <v>271960</v>
          </cell>
        </row>
        <row r="175">
          <cell r="B175" t="str">
            <v>Niger</v>
          </cell>
          <cell r="C175" t="str">
            <v>NER</v>
          </cell>
          <cell r="BN175">
            <v>24206636</v>
          </cell>
        </row>
        <row r="176">
          <cell r="B176" t="str">
            <v>Nigeria</v>
          </cell>
          <cell r="C176" t="str">
            <v>NGA</v>
          </cell>
          <cell r="BN176">
            <v>206139587</v>
          </cell>
        </row>
        <row r="177">
          <cell r="B177" t="str">
            <v>Nicaragua</v>
          </cell>
          <cell r="C177" t="str">
            <v>NIC</v>
          </cell>
          <cell r="BN177">
            <v>6624554</v>
          </cell>
        </row>
        <row r="178">
          <cell r="B178" t="str">
            <v>Netherlands</v>
          </cell>
          <cell r="C178" t="str">
            <v>NLD</v>
          </cell>
          <cell r="BN178">
            <v>17441500</v>
          </cell>
        </row>
        <row r="179">
          <cell r="B179" t="str">
            <v>Norway</v>
          </cell>
          <cell r="C179" t="str">
            <v>NOR</v>
          </cell>
          <cell r="BN179">
            <v>5379475</v>
          </cell>
        </row>
        <row r="180">
          <cell r="B180" t="str">
            <v>Nepal</v>
          </cell>
          <cell r="C180" t="str">
            <v>NPL</v>
          </cell>
          <cell r="BN180">
            <v>29136808</v>
          </cell>
        </row>
        <row r="181">
          <cell r="B181" t="str">
            <v>Nauru</v>
          </cell>
          <cell r="C181" t="str">
            <v>NRU</v>
          </cell>
          <cell r="BN181">
            <v>10834</v>
          </cell>
        </row>
        <row r="182">
          <cell r="B182" t="str">
            <v>New Zealand</v>
          </cell>
          <cell r="C182" t="str">
            <v>NZL</v>
          </cell>
          <cell r="BN182">
            <v>5090200</v>
          </cell>
        </row>
        <row r="183">
          <cell r="B183" t="str">
            <v>OECD members</v>
          </cell>
          <cell r="C183" t="str">
            <v>OED</v>
          </cell>
          <cell r="BN183">
            <v>1372980201</v>
          </cell>
        </row>
        <row r="184">
          <cell r="B184" t="str">
            <v>Oman</v>
          </cell>
          <cell r="C184" t="str">
            <v>OMN</v>
          </cell>
          <cell r="BN184">
            <v>5106622</v>
          </cell>
        </row>
        <row r="185">
          <cell r="B185" t="str">
            <v>Other small states</v>
          </cell>
          <cell r="C185" t="str">
            <v>OSS</v>
          </cell>
          <cell r="BN185">
            <v>31929881</v>
          </cell>
        </row>
        <row r="186">
          <cell r="B186" t="str">
            <v>Pakistan</v>
          </cell>
          <cell r="C186" t="str">
            <v>PAK</v>
          </cell>
          <cell r="BN186">
            <v>220892331</v>
          </cell>
        </row>
        <row r="187">
          <cell r="B187" t="str">
            <v>Panama</v>
          </cell>
          <cell r="C187" t="str">
            <v>PAN</v>
          </cell>
          <cell r="BN187">
            <v>4314768</v>
          </cell>
        </row>
        <row r="188">
          <cell r="B188" t="str">
            <v>Peru</v>
          </cell>
          <cell r="C188" t="str">
            <v>PER</v>
          </cell>
          <cell r="BN188">
            <v>32971846</v>
          </cell>
        </row>
        <row r="189">
          <cell r="B189" t="str">
            <v>Philippines</v>
          </cell>
          <cell r="C189" t="str">
            <v>PHL</v>
          </cell>
          <cell r="BN189">
            <v>109581085</v>
          </cell>
        </row>
        <row r="190">
          <cell r="B190" t="str">
            <v>Palau</v>
          </cell>
          <cell r="C190" t="str">
            <v>PLW</v>
          </cell>
          <cell r="BN190">
            <v>18092</v>
          </cell>
        </row>
        <row r="191">
          <cell r="B191" t="str">
            <v>Papua New Guinea</v>
          </cell>
          <cell r="C191" t="str">
            <v>PNG</v>
          </cell>
          <cell r="BN191">
            <v>8947027</v>
          </cell>
        </row>
        <row r="192">
          <cell r="B192" t="str">
            <v>Poland</v>
          </cell>
          <cell r="C192" t="str">
            <v>POL</v>
          </cell>
          <cell r="BN192">
            <v>37899070</v>
          </cell>
        </row>
        <row r="193">
          <cell r="B193" t="str">
            <v>Pre-demographic dividend</v>
          </cell>
          <cell r="C193" t="str">
            <v>PRE</v>
          </cell>
          <cell r="BN193">
            <v>970795671</v>
          </cell>
        </row>
        <row r="194">
          <cell r="B194" t="str">
            <v>Puerto Rico</v>
          </cell>
          <cell r="C194" t="str">
            <v>PRI</v>
          </cell>
          <cell r="BN194">
            <v>3281538</v>
          </cell>
        </row>
        <row r="195">
          <cell r="B195" t="str">
            <v>Dem. People's Rep. Korea</v>
          </cell>
          <cell r="C195" t="str">
            <v>PRK</v>
          </cell>
          <cell r="BN195">
            <v>25778815</v>
          </cell>
        </row>
        <row r="196">
          <cell r="B196" t="str">
            <v>Portugal</v>
          </cell>
          <cell r="C196" t="str">
            <v>PRT</v>
          </cell>
          <cell r="BN196">
            <v>10297081</v>
          </cell>
        </row>
        <row r="197">
          <cell r="B197" t="str">
            <v>Paraguay</v>
          </cell>
          <cell r="C197" t="str">
            <v>PRY</v>
          </cell>
          <cell r="BN197">
            <v>7132530</v>
          </cell>
        </row>
        <row r="198">
          <cell r="B198" t="str">
            <v>State of Palestine</v>
          </cell>
          <cell r="C198" t="str">
            <v>PSE</v>
          </cell>
          <cell r="BN198">
            <v>4803269</v>
          </cell>
        </row>
        <row r="199">
          <cell r="B199" t="str">
            <v>Pacific island small states</v>
          </cell>
          <cell r="C199" t="str">
            <v>PSS</v>
          </cell>
          <cell r="BN199">
            <v>2528958</v>
          </cell>
        </row>
        <row r="200">
          <cell r="B200" t="str">
            <v>Post-demographic dividend</v>
          </cell>
          <cell r="C200" t="str">
            <v>PST</v>
          </cell>
          <cell r="BN200">
            <v>1117278019</v>
          </cell>
        </row>
        <row r="201">
          <cell r="B201" t="str">
            <v>French Polynesia</v>
          </cell>
          <cell r="C201" t="str">
            <v>PYF</v>
          </cell>
          <cell r="BN201">
            <v>280904</v>
          </cell>
        </row>
        <row r="202">
          <cell r="B202" t="str">
            <v>Qatar</v>
          </cell>
          <cell r="C202" t="str">
            <v>QAT</v>
          </cell>
          <cell r="BN202">
            <v>2881060</v>
          </cell>
        </row>
        <row r="203">
          <cell r="B203" t="str">
            <v>Romania</v>
          </cell>
          <cell r="C203" t="str">
            <v>ROU</v>
          </cell>
          <cell r="BN203">
            <v>19257520</v>
          </cell>
        </row>
        <row r="204">
          <cell r="B204" t="str">
            <v>Russian Federation</v>
          </cell>
          <cell r="C204" t="str">
            <v>RUS</v>
          </cell>
          <cell r="BN204">
            <v>144073139</v>
          </cell>
        </row>
        <row r="205">
          <cell r="B205" t="str">
            <v>Rwanda</v>
          </cell>
          <cell r="C205" t="str">
            <v>RWA</v>
          </cell>
          <cell r="BN205">
            <v>12952209</v>
          </cell>
        </row>
        <row r="206">
          <cell r="B206" t="str">
            <v>South Asia</v>
          </cell>
          <cell r="C206" t="str">
            <v>SAS</v>
          </cell>
          <cell r="BN206">
            <v>1856882402</v>
          </cell>
        </row>
        <row r="207">
          <cell r="B207" t="str">
            <v>Saudi Arabia</v>
          </cell>
          <cell r="C207" t="str">
            <v>SAU</v>
          </cell>
          <cell r="BN207">
            <v>34813867</v>
          </cell>
        </row>
        <row r="208">
          <cell r="B208" t="str">
            <v>Sudan</v>
          </cell>
          <cell r="C208" t="str">
            <v>SDN</v>
          </cell>
          <cell r="BN208">
            <v>43849269</v>
          </cell>
        </row>
        <row r="209">
          <cell r="B209" t="str">
            <v>Senegal</v>
          </cell>
          <cell r="C209" t="str">
            <v>SEN</v>
          </cell>
          <cell r="BN209">
            <v>16743930</v>
          </cell>
        </row>
        <row r="210">
          <cell r="B210" t="str">
            <v>Singapore</v>
          </cell>
          <cell r="C210" t="str">
            <v>SGP</v>
          </cell>
          <cell r="BN210">
            <v>5685807</v>
          </cell>
        </row>
        <row r="211">
          <cell r="B211" t="str">
            <v>Solomon Islands</v>
          </cell>
          <cell r="C211" t="str">
            <v>SLB</v>
          </cell>
          <cell r="BN211">
            <v>686878</v>
          </cell>
        </row>
        <row r="212">
          <cell r="B212" t="str">
            <v>Sierra Leone</v>
          </cell>
          <cell r="C212" t="str">
            <v>SLE</v>
          </cell>
          <cell r="BN212">
            <v>7976985</v>
          </cell>
        </row>
        <row r="213">
          <cell r="B213" t="str">
            <v>El Salvador</v>
          </cell>
          <cell r="C213" t="str">
            <v>SLV</v>
          </cell>
          <cell r="BN213">
            <v>6486201</v>
          </cell>
        </row>
        <row r="214">
          <cell r="B214" t="str">
            <v>San Marino</v>
          </cell>
          <cell r="C214" t="str">
            <v>SMR</v>
          </cell>
          <cell r="BN214">
            <v>33938</v>
          </cell>
        </row>
        <row r="215">
          <cell r="B215" t="str">
            <v>Somalia</v>
          </cell>
          <cell r="C215" t="str">
            <v>SOM</v>
          </cell>
          <cell r="BN215">
            <v>15893219</v>
          </cell>
        </row>
        <row r="216">
          <cell r="B216" t="str">
            <v>Serbia</v>
          </cell>
          <cell r="C216" t="str">
            <v>SRB</v>
          </cell>
          <cell r="BN216">
            <v>6899126</v>
          </cell>
        </row>
        <row r="217">
          <cell r="B217" t="str">
            <v>Sub-Saharan Africa (excluding high income)</v>
          </cell>
          <cell r="C217" t="str">
            <v>SSA</v>
          </cell>
          <cell r="BN217">
            <v>1135948313</v>
          </cell>
        </row>
        <row r="218">
          <cell r="B218" t="str">
            <v>South Sudan</v>
          </cell>
          <cell r="C218" t="str">
            <v>SSD</v>
          </cell>
          <cell r="BN218">
            <v>11193729</v>
          </cell>
        </row>
        <row r="219">
          <cell r="B219" t="str">
            <v>Sub-Saharan Africa</v>
          </cell>
          <cell r="C219" t="str">
            <v>SSF</v>
          </cell>
          <cell r="BN219">
            <v>1136046775</v>
          </cell>
        </row>
        <row r="220">
          <cell r="B220" t="str">
            <v>Small states</v>
          </cell>
          <cell r="C220" t="str">
            <v>SST</v>
          </cell>
          <cell r="BN220">
            <v>41901130</v>
          </cell>
        </row>
        <row r="221">
          <cell r="B221" t="str">
            <v>Sao Tome and Principe</v>
          </cell>
          <cell r="C221" t="str">
            <v>STP</v>
          </cell>
          <cell r="BN221">
            <v>219161</v>
          </cell>
        </row>
        <row r="222">
          <cell r="B222" t="str">
            <v>Suriname</v>
          </cell>
          <cell r="C222" t="str">
            <v>SUR</v>
          </cell>
          <cell r="BN222">
            <v>586634</v>
          </cell>
        </row>
        <row r="223">
          <cell r="B223" t="str">
            <v>Slovakia</v>
          </cell>
          <cell r="C223" t="str">
            <v>SVK</v>
          </cell>
          <cell r="BN223">
            <v>5458827</v>
          </cell>
        </row>
        <row r="224">
          <cell r="B224" t="str">
            <v>Slovenia</v>
          </cell>
          <cell r="C224" t="str">
            <v>SVN</v>
          </cell>
          <cell r="BN224">
            <v>2102419</v>
          </cell>
        </row>
        <row r="225">
          <cell r="B225" t="str">
            <v>Sweden</v>
          </cell>
          <cell r="C225" t="str">
            <v>SWE</v>
          </cell>
          <cell r="BN225">
            <v>10353442</v>
          </cell>
        </row>
        <row r="226">
          <cell r="B226" t="str">
            <v>Eswatini</v>
          </cell>
          <cell r="C226" t="str">
            <v>SWZ</v>
          </cell>
          <cell r="BN226">
            <v>1160164</v>
          </cell>
        </row>
        <row r="227">
          <cell r="B227" t="str">
            <v>Sint Maarten (Dutch part)</v>
          </cell>
          <cell r="C227" t="str">
            <v>SXM</v>
          </cell>
          <cell r="BN227">
            <v>42310</v>
          </cell>
        </row>
        <row r="228">
          <cell r="B228" t="str">
            <v>Seychelles</v>
          </cell>
          <cell r="C228" t="str">
            <v>SYC</v>
          </cell>
          <cell r="BN228">
            <v>98462</v>
          </cell>
        </row>
        <row r="229">
          <cell r="B229" t="str">
            <v>Syrian Arab Republic</v>
          </cell>
          <cell r="C229" t="str">
            <v>SYR</v>
          </cell>
          <cell r="BN229">
            <v>17500657</v>
          </cell>
        </row>
        <row r="230">
          <cell r="B230" t="str">
            <v>Turks and Caicos Islands</v>
          </cell>
          <cell r="C230" t="str">
            <v>TCA</v>
          </cell>
          <cell r="BN230">
            <v>38718</v>
          </cell>
        </row>
        <row r="231">
          <cell r="B231" t="str">
            <v>Chad</v>
          </cell>
          <cell r="C231" t="str">
            <v>TCD</v>
          </cell>
          <cell r="BN231">
            <v>16425859</v>
          </cell>
        </row>
        <row r="232">
          <cell r="B232" t="str">
            <v>East Asia &amp; Pacific (IDA &amp; IBRD countries)</v>
          </cell>
          <cell r="C232" t="str">
            <v>TEA</v>
          </cell>
          <cell r="BN232">
            <v>2088186305</v>
          </cell>
        </row>
        <row r="233">
          <cell r="B233" t="str">
            <v>Europe &amp; Central Asia (IDA &amp; IBRD countries)</v>
          </cell>
          <cell r="C233" t="str">
            <v>TEC</v>
          </cell>
          <cell r="BN233">
            <v>462100263</v>
          </cell>
        </row>
        <row r="234">
          <cell r="B234" t="str">
            <v>Togo</v>
          </cell>
          <cell r="C234" t="str">
            <v>TGO</v>
          </cell>
          <cell r="BN234">
            <v>8278737</v>
          </cell>
        </row>
        <row r="235">
          <cell r="B235" t="str">
            <v>Thailand</v>
          </cell>
          <cell r="C235" t="str">
            <v>THA</v>
          </cell>
          <cell r="BN235">
            <v>69799978</v>
          </cell>
        </row>
        <row r="236">
          <cell r="B236" t="str">
            <v>Tajikistan</v>
          </cell>
          <cell r="C236" t="str">
            <v>TJK</v>
          </cell>
          <cell r="BN236">
            <v>9537642</v>
          </cell>
        </row>
        <row r="237">
          <cell r="B237" t="str">
            <v>Turkmenistan</v>
          </cell>
          <cell r="C237" t="str">
            <v>TKM</v>
          </cell>
          <cell r="BN237">
            <v>6031187</v>
          </cell>
        </row>
        <row r="238">
          <cell r="B238" t="str">
            <v>Latin America &amp; the Caribbean (IDA &amp; IBRD countries)</v>
          </cell>
          <cell r="C238" t="str">
            <v>TLA</v>
          </cell>
          <cell r="BN238">
            <v>636492840</v>
          </cell>
        </row>
        <row r="239">
          <cell r="B239" t="str">
            <v>Timor-Leste</v>
          </cell>
          <cell r="C239" t="str">
            <v>TLS</v>
          </cell>
          <cell r="BN239">
            <v>1318442</v>
          </cell>
        </row>
        <row r="240">
          <cell r="B240" t="str">
            <v>Middle East &amp; North Africa (IDA &amp; IBRD countries)</v>
          </cell>
          <cell r="C240" t="str">
            <v>TMN</v>
          </cell>
          <cell r="BN240">
            <v>391344574</v>
          </cell>
        </row>
        <row r="241">
          <cell r="B241" t="str">
            <v>Tonga</v>
          </cell>
          <cell r="C241" t="str">
            <v>TON</v>
          </cell>
          <cell r="BN241">
            <v>105697</v>
          </cell>
        </row>
        <row r="242">
          <cell r="B242" t="str">
            <v>South Asia (IDA &amp; IBRD)</v>
          </cell>
          <cell r="C242" t="str">
            <v>TSA</v>
          </cell>
          <cell r="BN242">
            <v>1856882402</v>
          </cell>
        </row>
        <row r="243">
          <cell r="B243" t="str">
            <v>Sub-Saharan Africa (IDA &amp; IBRD countries)</v>
          </cell>
          <cell r="C243" t="str">
            <v>TSS</v>
          </cell>
          <cell r="BN243">
            <v>1136046775</v>
          </cell>
        </row>
        <row r="244">
          <cell r="B244" t="str">
            <v>Trinidad and Tobago</v>
          </cell>
          <cell r="C244" t="str">
            <v>TTO</v>
          </cell>
          <cell r="BN244">
            <v>1399491</v>
          </cell>
        </row>
        <row r="245">
          <cell r="B245" t="str">
            <v>Tunisia</v>
          </cell>
          <cell r="C245" t="str">
            <v>TUN</v>
          </cell>
          <cell r="BN245">
            <v>11818618</v>
          </cell>
        </row>
        <row r="246">
          <cell r="B246" t="str">
            <v>Turkey</v>
          </cell>
          <cell r="C246" t="str">
            <v>TUR</v>
          </cell>
          <cell r="BN246">
            <v>84339067</v>
          </cell>
        </row>
        <row r="247">
          <cell r="B247" t="str">
            <v>Tuvalu</v>
          </cell>
          <cell r="C247" t="str">
            <v>TUV</v>
          </cell>
          <cell r="BN247">
            <v>11792</v>
          </cell>
        </row>
        <row r="248">
          <cell r="B248" t="str">
            <v>United Rep. of Tanzania</v>
          </cell>
          <cell r="C248" t="str">
            <v>TZA</v>
          </cell>
          <cell r="BN248">
            <v>59734213</v>
          </cell>
        </row>
        <row r="249">
          <cell r="B249" t="str">
            <v>Uganda</v>
          </cell>
          <cell r="C249" t="str">
            <v>UGA</v>
          </cell>
          <cell r="BN249">
            <v>45741000</v>
          </cell>
        </row>
        <row r="250">
          <cell r="B250" t="str">
            <v>Ukraine</v>
          </cell>
          <cell r="C250" t="str">
            <v>UKR</v>
          </cell>
          <cell r="BN250">
            <v>44132049</v>
          </cell>
        </row>
        <row r="251">
          <cell r="B251" t="str">
            <v>Upper middle income</v>
          </cell>
          <cell r="C251" t="str">
            <v>UMC</v>
          </cell>
          <cell r="BN251">
            <v>2492597173</v>
          </cell>
        </row>
        <row r="252">
          <cell r="B252" t="str">
            <v>Uruguay</v>
          </cell>
          <cell r="C252" t="str">
            <v>URY</v>
          </cell>
          <cell r="BN252">
            <v>3473727</v>
          </cell>
        </row>
        <row r="253">
          <cell r="B253" t="str">
            <v>United States of America</v>
          </cell>
          <cell r="C253" t="str">
            <v>USA</v>
          </cell>
          <cell r="BN253">
            <v>331501080</v>
          </cell>
        </row>
        <row r="254">
          <cell r="B254" t="str">
            <v>Uzbekistan</v>
          </cell>
          <cell r="C254" t="str">
            <v>UZB</v>
          </cell>
          <cell r="BN254">
            <v>34232050</v>
          </cell>
        </row>
        <row r="255">
          <cell r="B255" t="str">
            <v>Saint Vincent &amp; Grenadines</v>
          </cell>
          <cell r="C255" t="str">
            <v>VCT</v>
          </cell>
          <cell r="BN255">
            <v>110947</v>
          </cell>
        </row>
        <row r="256">
          <cell r="B256" t="str">
            <v>Venezuela (Boliv. Rep. of)</v>
          </cell>
          <cell r="C256" t="str">
            <v>VEN</v>
          </cell>
          <cell r="BN256">
            <v>28435943</v>
          </cell>
        </row>
        <row r="257">
          <cell r="B257" t="str">
            <v>British Virgin Islands</v>
          </cell>
          <cell r="C257" t="str">
            <v>VGB</v>
          </cell>
          <cell r="BN257">
            <v>30237</v>
          </cell>
        </row>
        <row r="258">
          <cell r="B258" t="str">
            <v>United States Virgin Islands</v>
          </cell>
          <cell r="C258" t="str">
            <v>VIR</v>
          </cell>
          <cell r="BN258">
            <v>106290</v>
          </cell>
        </row>
        <row r="259">
          <cell r="B259" t="str">
            <v>Viet Nam</v>
          </cell>
          <cell r="C259" t="str">
            <v>VNM</v>
          </cell>
          <cell r="BN259">
            <v>97338583</v>
          </cell>
        </row>
        <row r="260">
          <cell r="B260" t="str">
            <v>Vanuatu</v>
          </cell>
          <cell r="C260" t="str">
            <v>VUT</v>
          </cell>
          <cell r="BN260">
            <v>307150</v>
          </cell>
        </row>
        <row r="261">
          <cell r="B261" t="str">
            <v>World</v>
          </cell>
          <cell r="C261" t="str">
            <v>WLD</v>
          </cell>
          <cell r="BN261">
            <v>7763932702</v>
          </cell>
        </row>
        <row r="262">
          <cell r="B262" t="str">
            <v>Samoa</v>
          </cell>
          <cell r="C262" t="str">
            <v>WSM</v>
          </cell>
          <cell r="BN262">
            <v>198410</v>
          </cell>
        </row>
        <row r="263">
          <cell r="B263" t="str">
            <v>Kosovo</v>
          </cell>
          <cell r="C263" t="str">
            <v>XKX</v>
          </cell>
          <cell r="BN263">
            <v>1790133</v>
          </cell>
        </row>
        <row r="264">
          <cell r="B264" t="str">
            <v>Yemen</v>
          </cell>
          <cell r="C264" t="str">
            <v>YEM</v>
          </cell>
          <cell r="BN264">
            <v>29825968</v>
          </cell>
        </row>
        <row r="265">
          <cell r="B265" t="str">
            <v>South Africa</v>
          </cell>
          <cell r="C265" t="str">
            <v>ZAF</v>
          </cell>
          <cell r="BN265">
            <v>59308690</v>
          </cell>
        </row>
        <row r="266">
          <cell r="B266" t="str">
            <v>Zambia</v>
          </cell>
          <cell r="C266" t="str">
            <v>ZMB</v>
          </cell>
          <cell r="BN266">
            <v>18383956</v>
          </cell>
        </row>
        <row r="267">
          <cell r="B267" t="str">
            <v>Zimbabwe</v>
          </cell>
          <cell r="C267" t="str">
            <v>ZWE</v>
          </cell>
          <cell r="BN267">
            <v>14862927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NE.EXP.GNFS.ZS_DS2_en_csv_v"/>
    </sheetNames>
    <sheetDataSet>
      <sheetData sheetId="0" refreshError="1">
        <row r="6">
          <cell r="B6" t="str">
            <v>ABW</v>
          </cell>
          <cell r="BL6">
            <v>74.582278481012693</v>
          </cell>
        </row>
        <row r="7">
          <cell r="B7" t="str">
            <v>AFE</v>
          </cell>
          <cell r="BL7">
            <v>23.624475762259799</v>
          </cell>
        </row>
        <row r="8">
          <cell r="B8" t="str">
            <v>AFG</v>
          </cell>
        </row>
        <row r="9">
          <cell r="B9" t="str">
            <v>AFW</v>
          </cell>
          <cell r="BL9">
            <v>21.600341640850299</v>
          </cell>
        </row>
        <row r="10">
          <cell r="B10" t="str">
            <v>AGO</v>
          </cell>
          <cell r="BL10">
            <v>40.790755053283299</v>
          </cell>
        </row>
        <row r="11">
          <cell r="B11" t="str">
            <v>ALB</v>
          </cell>
          <cell r="BL11">
            <v>31.304270129803399</v>
          </cell>
        </row>
        <row r="12">
          <cell r="B12" t="str">
            <v>AND</v>
          </cell>
        </row>
        <row r="13">
          <cell r="B13" t="str">
            <v>ARB</v>
          </cell>
          <cell r="BL13">
            <v>44.457651360562103</v>
          </cell>
        </row>
        <row r="14">
          <cell r="B14" t="str">
            <v>ARE</v>
          </cell>
          <cell r="BL14">
            <v>96.843533463725095</v>
          </cell>
        </row>
        <row r="15">
          <cell r="B15" t="str">
            <v>ARG</v>
          </cell>
          <cell r="BL15">
            <v>17.695944065872101</v>
          </cell>
        </row>
        <row r="16">
          <cell r="B16" t="str">
            <v>ARM</v>
          </cell>
          <cell r="BL16">
            <v>41.350801362084901</v>
          </cell>
        </row>
        <row r="17">
          <cell r="B17" t="str">
            <v>ASM</v>
          </cell>
          <cell r="BL17">
            <v>61.574074074074097</v>
          </cell>
        </row>
        <row r="18">
          <cell r="B18" t="str">
            <v>ATG</v>
          </cell>
          <cell r="BL18">
            <v>70.884714485749498</v>
          </cell>
        </row>
        <row r="19">
          <cell r="B19" t="str">
            <v>AUS</v>
          </cell>
          <cell r="BL19">
            <v>24.169727287861399</v>
          </cell>
        </row>
        <row r="20">
          <cell r="B20" t="str">
            <v>AUT</v>
          </cell>
          <cell r="BL20">
            <v>55.442206544630601</v>
          </cell>
        </row>
        <row r="21">
          <cell r="B21" t="str">
            <v>AZE</v>
          </cell>
          <cell r="BL21">
            <v>49.050627501642303</v>
          </cell>
        </row>
        <row r="22">
          <cell r="B22" t="str">
            <v>BDI</v>
          </cell>
          <cell r="BL22">
            <v>5.1720368384995297</v>
          </cell>
        </row>
        <row r="23">
          <cell r="B23" t="str">
            <v>BEL</v>
          </cell>
          <cell r="BL23">
            <v>82.174139326600198</v>
          </cell>
        </row>
        <row r="24">
          <cell r="B24" t="str">
            <v>BEN</v>
          </cell>
          <cell r="BL24">
            <v>29.630527193547799</v>
          </cell>
        </row>
        <row r="25">
          <cell r="B25" t="str">
            <v>BFA</v>
          </cell>
          <cell r="BL25">
            <v>27.6161121175574</v>
          </cell>
        </row>
        <row r="26">
          <cell r="B26" t="str">
            <v>BGD</v>
          </cell>
          <cell r="BL26">
            <v>13.0947573353039</v>
          </cell>
        </row>
        <row r="27">
          <cell r="B27" t="str">
            <v>BGR</v>
          </cell>
          <cell r="BL27">
            <v>63.934343346753103</v>
          </cell>
        </row>
        <row r="28">
          <cell r="B28" t="str">
            <v>BHR</v>
          </cell>
          <cell r="BL28">
            <v>76.485960757710998</v>
          </cell>
        </row>
        <row r="29">
          <cell r="B29" t="str">
            <v>BHS</v>
          </cell>
          <cell r="BL29">
            <v>35.688405797101403</v>
          </cell>
        </row>
        <row r="30">
          <cell r="B30" t="str">
            <v>BIH</v>
          </cell>
          <cell r="BL30">
            <v>40.570120121172202</v>
          </cell>
        </row>
        <row r="31">
          <cell r="B31" t="str">
            <v>BLR</v>
          </cell>
          <cell r="BL31">
            <v>65.0945839929757</v>
          </cell>
        </row>
        <row r="32">
          <cell r="B32" t="str">
            <v>BLZ</v>
          </cell>
          <cell r="BL32">
            <v>59.650423312062799</v>
          </cell>
        </row>
        <row r="33">
          <cell r="B33" t="str">
            <v>BMU</v>
          </cell>
          <cell r="BL33">
            <v>50.649272273796697</v>
          </cell>
        </row>
        <row r="34">
          <cell r="B34" t="str">
            <v>BOL</v>
          </cell>
          <cell r="BL34">
            <v>24.967262284016599</v>
          </cell>
        </row>
        <row r="35">
          <cell r="B35" t="str">
            <v>BRA</v>
          </cell>
          <cell r="BL35">
            <v>14.122919190471</v>
          </cell>
        </row>
        <row r="36">
          <cell r="B36" t="str">
            <v>BRB</v>
          </cell>
          <cell r="BL36">
            <v>36.620169203368</v>
          </cell>
        </row>
        <row r="37">
          <cell r="B37" t="str">
            <v>BRN</v>
          </cell>
          <cell r="BL37">
            <v>57.946040538108001</v>
          </cell>
        </row>
        <row r="38">
          <cell r="B38" t="str">
            <v>BTN</v>
          </cell>
          <cell r="BL38">
            <v>33.939063813345697</v>
          </cell>
        </row>
        <row r="39">
          <cell r="B39" t="str">
            <v>BWA</v>
          </cell>
          <cell r="BL39">
            <v>37.154310871440401</v>
          </cell>
        </row>
        <row r="40">
          <cell r="B40" t="str">
            <v>CAF</v>
          </cell>
          <cell r="BL40">
            <v>15.7553800018083</v>
          </cell>
        </row>
        <row r="41">
          <cell r="B41" t="str">
            <v>CAN</v>
          </cell>
          <cell r="BL41">
            <v>31.908532622851101</v>
          </cell>
        </row>
        <row r="42">
          <cell r="B42" t="str">
            <v>CEB</v>
          </cell>
          <cell r="BL42">
            <v>63.097910812527402</v>
          </cell>
        </row>
        <row r="43">
          <cell r="B43" t="str">
            <v>CHE</v>
          </cell>
          <cell r="BL43">
            <v>65.531704279317694</v>
          </cell>
        </row>
        <row r="44">
          <cell r="B44" t="str">
            <v>CHI</v>
          </cell>
        </row>
        <row r="45">
          <cell r="B45" t="str">
            <v>CHL</v>
          </cell>
          <cell r="BL45">
            <v>27.834131590256899</v>
          </cell>
        </row>
        <row r="46">
          <cell r="B46" t="str">
            <v>CHN</v>
          </cell>
          <cell r="BL46">
            <v>18.4099923154801</v>
          </cell>
        </row>
        <row r="47">
          <cell r="B47" t="str">
            <v>CIV</v>
          </cell>
          <cell r="BL47">
            <v>23.776277560911399</v>
          </cell>
        </row>
        <row r="48">
          <cell r="B48" t="str">
            <v>CMR</v>
          </cell>
          <cell r="BL48">
            <v>19.8500907473186</v>
          </cell>
        </row>
        <row r="49">
          <cell r="B49" t="str">
            <v>COD</v>
          </cell>
          <cell r="BL49">
            <v>25.756238701931</v>
          </cell>
        </row>
        <row r="50">
          <cell r="B50" t="str">
            <v>COG</v>
          </cell>
          <cell r="BL50">
            <v>73.792287746466101</v>
          </cell>
        </row>
        <row r="51">
          <cell r="B51" t="str">
            <v>COL</v>
          </cell>
          <cell r="BL51">
            <v>15.868038654124099</v>
          </cell>
        </row>
        <row r="52">
          <cell r="B52" t="str">
            <v>COM</v>
          </cell>
          <cell r="BL52">
            <v>12.7734606325226</v>
          </cell>
        </row>
        <row r="53">
          <cell r="B53" t="str">
            <v>CPV</v>
          </cell>
          <cell r="BL53">
            <v>50.649292015538499</v>
          </cell>
        </row>
        <row r="54">
          <cell r="B54" t="str">
            <v>CRI</v>
          </cell>
          <cell r="BL54">
            <v>34.325321559330803</v>
          </cell>
        </row>
        <row r="55">
          <cell r="B55" t="str">
            <v>CSS</v>
          </cell>
        </row>
        <row r="56">
          <cell r="B56" t="str">
            <v>CUB</v>
          </cell>
          <cell r="BL56">
            <v>12.2133271454538</v>
          </cell>
        </row>
        <row r="57">
          <cell r="B57" t="str">
            <v>CUW</v>
          </cell>
        </row>
        <row r="58">
          <cell r="B58" t="str">
            <v>CYM</v>
          </cell>
          <cell r="BL58">
            <v>69.453743444260695</v>
          </cell>
        </row>
        <row r="59">
          <cell r="B59" t="str">
            <v>CYP</v>
          </cell>
          <cell r="BL59">
            <v>75.593848763019395</v>
          </cell>
        </row>
        <row r="60">
          <cell r="B60" t="str">
            <v>CZE</v>
          </cell>
          <cell r="BL60">
            <v>73.894453321285695</v>
          </cell>
        </row>
        <row r="61">
          <cell r="B61" t="str">
            <v>DEU</v>
          </cell>
          <cell r="BL61">
            <v>46.624238847222401</v>
          </cell>
        </row>
        <row r="62">
          <cell r="B62" t="str">
            <v>DJI</v>
          </cell>
          <cell r="BL62">
            <v>166.71774637210899</v>
          </cell>
        </row>
        <row r="63">
          <cell r="B63" t="str">
            <v>DMA</v>
          </cell>
        </row>
        <row r="64">
          <cell r="B64" t="str">
            <v>DNK</v>
          </cell>
          <cell r="BL64">
            <v>58.999334966281701</v>
          </cell>
        </row>
        <row r="65">
          <cell r="B65" t="str">
            <v>DOM</v>
          </cell>
          <cell r="BL65">
            <v>23.069282041292301</v>
          </cell>
        </row>
        <row r="66">
          <cell r="B66" t="str">
            <v>DZA</v>
          </cell>
          <cell r="BL66">
            <v>22.713461910112201</v>
          </cell>
        </row>
        <row r="67">
          <cell r="B67" t="str">
            <v>EAP</v>
          </cell>
          <cell r="BL67">
            <v>21.9499682638343</v>
          </cell>
        </row>
        <row r="68">
          <cell r="B68" t="str">
            <v>EAR</v>
          </cell>
          <cell r="BL68">
            <v>24.968226825400698</v>
          </cell>
        </row>
        <row r="69">
          <cell r="B69" t="str">
            <v>EAS</v>
          </cell>
          <cell r="BL69">
            <v>27.674142004912198</v>
          </cell>
        </row>
        <row r="70">
          <cell r="B70" t="str">
            <v>ECA</v>
          </cell>
          <cell r="BL70">
            <v>32.928267572332203</v>
          </cell>
        </row>
        <row r="71">
          <cell r="B71" t="str">
            <v>ECS</v>
          </cell>
          <cell r="BL71">
            <v>44.853767539571201</v>
          </cell>
        </row>
        <row r="72">
          <cell r="B72" t="str">
            <v>ECU</v>
          </cell>
          <cell r="BL72">
            <v>23.048367304590698</v>
          </cell>
        </row>
        <row r="73">
          <cell r="B73" t="str">
            <v>EGY</v>
          </cell>
          <cell r="BL73">
            <v>17.500610661205201</v>
          </cell>
        </row>
        <row r="74">
          <cell r="B74" t="str">
            <v>EMU</v>
          </cell>
          <cell r="BL74">
            <v>48.114059671220701</v>
          </cell>
        </row>
        <row r="75">
          <cell r="B75" t="str">
            <v>ERI</v>
          </cell>
        </row>
        <row r="76">
          <cell r="B76" t="str">
            <v>ESP</v>
          </cell>
          <cell r="BL76">
            <v>34.954655951783003</v>
          </cell>
        </row>
        <row r="77">
          <cell r="B77" t="str">
            <v>EST</v>
          </cell>
          <cell r="BL77">
            <v>74.046586127579104</v>
          </cell>
        </row>
        <row r="78">
          <cell r="B78" t="str">
            <v>ETH</v>
          </cell>
          <cell r="BL78">
            <v>7.9399766087609001</v>
          </cell>
        </row>
        <row r="79">
          <cell r="B79" t="str">
            <v>EUU</v>
          </cell>
          <cell r="BL79">
            <v>49.3443997513453</v>
          </cell>
        </row>
        <row r="80">
          <cell r="B80" t="str">
            <v>FCS</v>
          </cell>
          <cell r="BL80">
            <v>24.2477724678591</v>
          </cell>
        </row>
        <row r="81">
          <cell r="B81" t="str">
            <v>FIN</v>
          </cell>
          <cell r="BL81">
            <v>39.881677034171098</v>
          </cell>
        </row>
        <row r="82">
          <cell r="B82" t="str">
            <v>FJI</v>
          </cell>
          <cell r="BL82">
            <v>48.131641707421402</v>
          </cell>
        </row>
        <row r="83">
          <cell r="B83" t="str">
            <v>FRA</v>
          </cell>
          <cell r="BL83">
            <v>31.592055414366801</v>
          </cell>
        </row>
        <row r="84">
          <cell r="B84" t="str">
            <v>FRO</v>
          </cell>
          <cell r="BL84">
            <v>55.729501128378303</v>
          </cell>
        </row>
        <row r="85">
          <cell r="B85" t="str">
            <v>FSM</v>
          </cell>
          <cell r="BL85">
            <v>31.443993517837001</v>
          </cell>
        </row>
        <row r="86">
          <cell r="B86" t="str">
            <v>GAB</v>
          </cell>
          <cell r="BL86">
            <v>51.431073227199597</v>
          </cell>
        </row>
        <row r="87">
          <cell r="B87" t="str">
            <v>GBR</v>
          </cell>
          <cell r="BL87">
            <v>31.004978089224299</v>
          </cell>
        </row>
        <row r="88">
          <cell r="B88" t="str">
            <v>GEO</v>
          </cell>
          <cell r="BL88">
            <v>54.818493141138099</v>
          </cell>
        </row>
        <row r="89">
          <cell r="B89" t="str">
            <v>GHA</v>
          </cell>
          <cell r="BL89">
            <v>37.449599421384399</v>
          </cell>
        </row>
        <row r="90">
          <cell r="B90" t="str">
            <v>GIB</v>
          </cell>
        </row>
        <row r="91">
          <cell r="B91" t="str">
            <v>GIN</v>
          </cell>
          <cell r="BL91">
            <v>30.119030414687099</v>
          </cell>
        </row>
        <row r="92">
          <cell r="B92" t="str">
            <v>GMB</v>
          </cell>
          <cell r="BL92">
            <v>18.841397968469501</v>
          </cell>
        </row>
        <row r="93">
          <cell r="B93" t="str">
            <v>GNB</v>
          </cell>
          <cell r="BL93">
            <v>20.287949662122099</v>
          </cell>
        </row>
        <row r="94">
          <cell r="B94" t="str">
            <v>GNQ</v>
          </cell>
          <cell r="BL94">
            <v>51.130748168144997</v>
          </cell>
        </row>
        <row r="95">
          <cell r="B95" t="str">
            <v>GRC</v>
          </cell>
          <cell r="BL95">
            <v>40.132156109169998</v>
          </cell>
        </row>
        <row r="96">
          <cell r="B96" t="str">
            <v>GRD</v>
          </cell>
        </row>
        <row r="97">
          <cell r="B97" t="str">
            <v>GRL</v>
          </cell>
          <cell r="BL97">
            <v>41.083804029964298</v>
          </cell>
        </row>
        <row r="98">
          <cell r="B98" t="str">
            <v>GTM</v>
          </cell>
          <cell r="BL98">
            <v>17.649123759796002</v>
          </cell>
        </row>
        <row r="99">
          <cell r="B99" t="str">
            <v>GUM</v>
          </cell>
          <cell r="BL99">
            <v>22.0458830923947</v>
          </cell>
        </row>
        <row r="100">
          <cell r="B100" t="str">
            <v>GUY</v>
          </cell>
        </row>
        <row r="101">
          <cell r="B101" t="str">
            <v>HIC</v>
          </cell>
          <cell r="BL101">
            <v>31.228854890323699</v>
          </cell>
        </row>
        <row r="102">
          <cell r="B102" t="str">
            <v>HKG</v>
          </cell>
          <cell r="BL102">
            <v>177.65620106276501</v>
          </cell>
        </row>
        <row r="103">
          <cell r="B103" t="str">
            <v>HND</v>
          </cell>
          <cell r="BL103">
            <v>39.918512672508903</v>
          </cell>
        </row>
        <row r="104">
          <cell r="B104" t="str">
            <v>HPC</v>
          </cell>
          <cell r="BL104">
            <v>22.975978096544299</v>
          </cell>
        </row>
        <row r="105">
          <cell r="B105" t="str">
            <v>HRV</v>
          </cell>
          <cell r="BL105">
            <v>50.747473751656102</v>
          </cell>
        </row>
        <row r="106">
          <cell r="B106" t="str">
            <v>HTI</v>
          </cell>
          <cell r="BL106">
            <v>11.714118839635001</v>
          </cell>
        </row>
        <row r="107">
          <cell r="B107" t="str">
            <v>HUN</v>
          </cell>
          <cell r="BL107">
            <v>81.775933445836301</v>
          </cell>
        </row>
        <row r="108">
          <cell r="B108" t="str">
            <v>IBD</v>
          </cell>
          <cell r="BL108">
            <v>24.280427547494298</v>
          </cell>
        </row>
        <row r="109">
          <cell r="B109" t="str">
            <v>IBT</v>
          </cell>
          <cell r="BL109">
            <v>23.897497632429101</v>
          </cell>
        </row>
        <row r="110">
          <cell r="B110" t="str">
            <v>IDA</v>
          </cell>
          <cell r="BL110">
            <v>18.832996000981002</v>
          </cell>
        </row>
        <row r="111">
          <cell r="B111" t="str">
            <v>IDB</v>
          </cell>
          <cell r="BL111">
            <v>15.6280730931013</v>
          </cell>
        </row>
        <row r="112">
          <cell r="B112" t="str">
            <v>IDN</v>
          </cell>
          <cell r="BL112">
            <v>18.5915277970883</v>
          </cell>
        </row>
        <row r="113">
          <cell r="B113" t="str">
            <v>IDX</v>
          </cell>
          <cell r="BL113">
            <v>21.3004695026981</v>
          </cell>
        </row>
        <row r="114">
          <cell r="B114" t="str">
            <v>IMN</v>
          </cell>
        </row>
        <row r="115">
          <cell r="B115" t="str">
            <v>IND</v>
          </cell>
          <cell r="BL115">
            <v>18.690982707408899</v>
          </cell>
        </row>
        <row r="116">
          <cell r="B116" t="str">
            <v>INX</v>
          </cell>
        </row>
        <row r="117">
          <cell r="B117" t="str">
            <v>IRL</v>
          </cell>
          <cell r="BL117">
            <v>127.927930234974</v>
          </cell>
        </row>
        <row r="118">
          <cell r="B118" t="str">
            <v>IRN</v>
          </cell>
          <cell r="BL118">
            <v>22.709737583718201</v>
          </cell>
        </row>
        <row r="119">
          <cell r="B119" t="str">
            <v>IRQ</v>
          </cell>
          <cell r="BL119">
            <v>38.051868198883803</v>
          </cell>
        </row>
        <row r="120">
          <cell r="B120" t="str">
            <v>ISL</v>
          </cell>
          <cell r="BL120">
            <v>44.302569053129801</v>
          </cell>
        </row>
        <row r="121">
          <cell r="B121" t="str">
            <v>ISR</v>
          </cell>
          <cell r="BL121">
            <v>29.513438473867801</v>
          </cell>
        </row>
        <row r="122">
          <cell r="B122" t="str">
            <v>ITA</v>
          </cell>
          <cell r="BL122">
            <v>31.602678297602999</v>
          </cell>
        </row>
        <row r="123">
          <cell r="B123" t="str">
            <v>JAM</v>
          </cell>
          <cell r="BL123">
            <v>38.036080747410601</v>
          </cell>
        </row>
        <row r="124">
          <cell r="B124" t="str">
            <v>JOR</v>
          </cell>
          <cell r="BL124">
            <v>36.335030591663298</v>
          </cell>
        </row>
        <row r="125">
          <cell r="B125" t="str">
            <v>JPN</v>
          </cell>
          <cell r="BL125">
            <v>17.445377832273799</v>
          </cell>
        </row>
        <row r="126">
          <cell r="B126" t="str">
            <v>KAZ</v>
          </cell>
          <cell r="BL126">
            <v>36.4389870990994</v>
          </cell>
        </row>
        <row r="127">
          <cell r="B127" t="str">
            <v>KEN</v>
          </cell>
          <cell r="BL127">
            <v>11.4279966637126</v>
          </cell>
        </row>
        <row r="128">
          <cell r="B128" t="str">
            <v>KGZ</v>
          </cell>
          <cell r="BL128">
            <v>35.2341542041409</v>
          </cell>
        </row>
        <row r="129">
          <cell r="B129" t="str">
            <v>KHM</v>
          </cell>
          <cell r="BL129">
            <v>61.091296522819697</v>
          </cell>
        </row>
        <row r="130">
          <cell r="B130" t="str">
            <v>KIR</v>
          </cell>
        </row>
        <row r="131">
          <cell r="B131" t="str">
            <v>KNA</v>
          </cell>
        </row>
        <row r="132">
          <cell r="B132" t="str">
            <v>KOR</v>
          </cell>
          <cell r="BL132">
            <v>39.2758610673609</v>
          </cell>
        </row>
        <row r="133">
          <cell r="B133" t="str">
            <v>KWT</v>
          </cell>
          <cell r="BL133">
            <v>53.293432793340202</v>
          </cell>
        </row>
        <row r="134">
          <cell r="B134" t="str">
            <v>LAC</v>
          </cell>
          <cell r="BL134">
            <v>22.980613422650801</v>
          </cell>
        </row>
        <row r="135">
          <cell r="B135" t="str">
            <v>LAO</v>
          </cell>
        </row>
        <row r="136">
          <cell r="B136" t="str">
            <v>LBN</v>
          </cell>
          <cell r="BL136">
            <v>20.6977589568566</v>
          </cell>
        </row>
        <row r="137">
          <cell r="B137" t="str">
            <v>LBR</v>
          </cell>
        </row>
        <row r="138">
          <cell r="B138" t="str">
            <v>LBY</v>
          </cell>
          <cell r="BL138">
            <v>42.835117286532302</v>
          </cell>
        </row>
        <row r="139">
          <cell r="B139" t="str">
            <v>LCA</v>
          </cell>
        </row>
        <row r="140">
          <cell r="B140" t="str">
            <v>LCN</v>
          </cell>
          <cell r="BL140">
            <v>24.224134843406699</v>
          </cell>
        </row>
        <row r="141">
          <cell r="B141" t="str">
            <v>LDC</v>
          </cell>
          <cell r="BL141">
            <v>20.391947691201999</v>
          </cell>
        </row>
        <row r="142">
          <cell r="B142" t="str">
            <v>LIC</v>
          </cell>
          <cell r="BL142">
            <v>18.454304683003201</v>
          </cell>
        </row>
        <row r="143">
          <cell r="B143" t="str">
            <v>LIE</v>
          </cell>
        </row>
        <row r="144">
          <cell r="B144" t="str">
            <v>LKA</v>
          </cell>
          <cell r="BL144">
            <v>23.153299138717902</v>
          </cell>
        </row>
        <row r="145">
          <cell r="B145" t="str">
            <v>LMC</v>
          </cell>
          <cell r="BL145">
            <v>23.197781675959199</v>
          </cell>
        </row>
        <row r="146">
          <cell r="B146" t="str">
            <v>LMY</v>
          </cell>
          <cell r="BL146">
            <v>23.046575109255699</v>
          </cell>
        </row>
        <row r="147">
          <cell r="B147" t="str">
            <v>LSO</v>
          </cell>
          <cell r="BL147">
            <v>45.878177980757698</v>
          </cell>
        </row>
        <row r="148">
          <cell r="B148" t="str">
            <v>LTE</v>
          </cell>
          <cell r="BL148">
            <v>27.9218637038861</v>
          </cell>
        </row>
        <row r="149">
          <cell r="B149" t="str">
            <v>LTU</v>
          </cell>
          <cell r="BL149">
            <v>77.314777955815302</v>
          </cell>
        </row>
        <row r="150">
          <cell r="B150" t="str">
            <v>LUX</v>
          </cell>
          <cell r="BL150">
            <v>205.48207753851599</v>
          </cell>
        </row>
        <row r="151">
          <cell r="B151" t="str">
            <v>LVA</v>
          </cell>
          <cell r="BL151">
            <v>59.836973152085399</v>
          </cell>
        </row>
        <row r="152">
          <cell r="B152" t="str">
            <v>MAC</v>
          </cell>
          <cell r="BL152">
            <v>82.522613516486004</v>
          </cell>
        </row>
        <row r="153">
          <cell r="B153" t="str">
            <v>MAF</v>
          </cell>
        </row>
        <row r="154">
          <cell r="B154" t="str">
            <v>MAR</v>
          </cell>
          <cell r="BL154">
            <v>39.3169362407899</v>
          </cell>
        </row>
        <row r="155">
          <cell r="B155" t="str">
            <v>MCO</v>
          </cell>
        </row>
        <row r="156">
          <cell r="B156" t="str">
            <v>MDA</v>
          </cell>
          <cell r="BL156">
            <v>30.564727992866601</v>
          </cell>
        </row>
        <row r="157">
          <cell r="B157" t="str">
            <v>MDG</v>
          </cell>
          <cell r="BL157">
            <v>28.249657179942801</v>
          </cell>
        </row>
        <row r="158">
          <cell r="B158" t="str">
            <v>MDV</v>
          </cell>
          <cell r="BL158">
            <v>69.446830850487899</v>
          </cell>
        </row>
        <row r="159">
          <cell r="B159" t="str">
            <v>MEA</v>
          </cell>
          <cell r="BL159">
            <v>41.856276494075303</v>
          </cell>
        </row>
        <row r="160">
          <cell r="B160" t="str">
            <v>MEX</v>
          </cell>
          <cell r="BL160">
            <v>38.809281330790803</v>
          </cell>
        </row>
        <row r="161">
          <cell r="B161" t="str">
            <v>MHL</v>
          </cell>
          <cell r="BL161">
            <v>37.872741501581501</v>
          </cell>
        </row>
        <row r="162">
          <cell r="B162" t="str">
            <v>MIC</v>
          </cell>
          <cell r="BL162">
            <v>23.122340760512099</v>
          </cell>
        </row>
        <row r="163">
          <cell r="B163" t="str">
            <v>MKD</v>
          </cell>
          <cell r="BL163">
            <v>62.4080567878813</v>
          </cell>
        </row>
        <row r="164">
          <cell r="B164" t="str">
            <v>MLI</v>
          </cell>
          <cell r="BL164">
            <v>25.705291132007002</v>
          </cell>
        </row>
        <row r="165">
          <cell r="B165" t="str">
            <v>MLT</v>
          </cell>
          <cell r="BL165">
            <v>146.079187783961</v>
          </cell>
        </row>
        <row r="166">
          <cell r="B166" t="str">
            <v>MMR</v>
          </cell>
          <cell r="BL166">
            <v>30.389750715507098</v>
          </cell>
        </row>
        <row r="167">
          <cell r="B167" t="str">
            <v>MNA</v>
          </cell>
          <cell r="BL167">
            <v>27.4658611457441</v>
          </cell>
        </row>
        <row r="168">
          <cell r="B168" t="str">
            <v>MNE</v>
          </cell>
          <cell r="BL168">
            <v>43.846641436784303</v>
          </cell>
        </row>
        <row r="169">
          <cell r="B169" t="str">
            <v>MNG</v>
          </cell>
          <cell r="BL169">
            <v>59.217233181074697</v>
          </cell>
        </row>
        <row r="170">
          <cell r="B170" t="str">
            <v>MNP</v>
          </cell>
          <cell r="BL170">
            <v>42.047377326565098</v>
          </cell>
        </row>
        <row r="171">
          <cell r="B171" t="str">
            <v>MOZ</v>
          </cell>
          <cell r="BL171">
            <v>32.268361516192101</v>
          </cell>
        </row>
        <row r="172">
          <cell r="B172" t="str">
            <v>MRT</v>
          </cell>
          <cell r="BL172">
            <v>39.184759906082697</v>
          </cell>
        </row>
        <row r="173">
          <cell r="B173" t="str">
            <v>MUS</v>
          </cell>
          <cell r="BL173">
            <v>38.470338421768801</v>
          </cell>
        </row>
        <row r="174">
          <cell r="B174" t="str">
            <v>MWI</v>
          </cell>
        </row>
        <row r="175">
          <cell r="B175" t="str">
            <v>MYS</v>
          </cell>
          <cell r="BL175">
            <v>65.259663184729305</v>
          </cell>
        </row>
        <row r="176">
          <cell r="B176" t="str">
            <v>NAC</v>
          </cell>
          <cell r="BL176">
            <v>13.3177792237746</v>
          </cell>
        </row>
        <row r="177">
          <cell r="B177" t="str">
            <v>NAM</v>
          </cell>
          <cell r="BL177">
            <v>36.361647216527999</v>
          </cell>
        </row>
        <row r="178">
          <cell r="B178" t="str">
            <v>NCL</v>
          </cell>
        </row>
        <row r="179">
          <cell r="B179" t="str">
            <v>NER</v>
          </cell>
          <cell r="BL179">
            <v>11.421733448618401</v>
          </cell>
        </row>
        <row r="180">
          <cell r="B180" t="str">
            <v>NGA</v>
          </cell>
          <cell r="BL180">
            <v>14.220926791244301</v>
          </cell>
        </row>
        <row r="181">
          <cell r="B181" t="str">
            <v>NIC</v>
          </cell>
          <cell r="BL181">
            <v>45.092780342359703</v>
          </cell>
        </row>
        <row r="182">
          <cell r="B182" t="str">
            <v>NLD</v>
          </cell>
          <cell r="BL182">
            <v>82.537712700862798</v>
          </cell>
        </row>
        <row r="183">
          <cell r="B183" t="str">
            <v>NOR</v>
          </cell>
          <cell r="BL183">
            <v>36.263106555270099</v>
          </cell>
        </row>
        <row r="184">
          <cell r="B184" t="str">
            <v>NPL</v>
          </cell>
          <cell r="BL184">
            <v>7.7799364744805901</v>
          </cell>
        </row>
        <row r="185">
          <cell r="B185" t="str">
            <v>NRU</v>
          </cell>
          <cell r="BL185">
            <v>63.674698795180703</v>
          </cell>
        </row>
        <row r="186">
          <cell r="B186" t="str">
            <v>NZL</v>
          </cell>
          <cell r="BL186">
            <v>27.318831856330998</v>
          </cell>
        </row>
        <row r="187">
          <cell r="B187" t="str">
            <v>OED</v>
          </cell>
          <cell r="BL187">
            <v>27.970555244365201</v>
          </cell>
        </row>
        <row r="188">
          <cell r="B188" t="str">
            <v>OMN</v>
          </cell>
          <cell r="BL188">
            <v>49.492016987897003</v>
          </cell>
        </row>
        <row r="189">
          <cell r="B189" t="str">
            <v>OSS</v>
          </cell>
          <cell r="BL189">
            <v>59.752172478531698</v>
          </cell>
        </row>
        <row r="190">
          <cell r="B190" t="str">
            <v>PAK</v>
          </cell>
          <cell r="BL190">
            <v>9.3908633787795104</v>
          </cell>
        </row>
        <row r="191">
          <cell r="B191" t="str">
            <v>PAN</v>
          </cell>
          <cell r="BL191">
            <v>41.207993340876101</v>
          </cell>
        </row>
        <row r="192">
          <cell r="B192" t="str">
            <v>PER</v>
          </cell>
          <cell r="BL192">
            <v>24.039087434906801</v>
          </cell>
        </row>
        <row r="193">
          <cell r="B193" t="str">
            <v>PHL</v>
          </cell>
          <cell r="BL193">
            <v>28.3829200126393</v>
          </cell>
        </row>
        <row r="194">
          <cell r="B194" t="str">
            <v>PLW</v>
          </cell>
        </row>
        <row r="195">
          <cell r="B195" t="str">
            <v>PNG</v>
          </cell>
        </row>
        <row r="196">
          <cell r="B196" t="str">
            <v>POL</v>
          </cell>
          <cell r="BL196">
            <v>55.395846588106799</v>
          </cell>
        </row>
        <row r="197">
          <cell r="B197" t="str">
            <v>PRE</v>
          </cell>
          <cell r="BL197">
            <v>22.924348616487901</v>
          </cell>
        </row>
        <row r="198">
          <cell r="B198" t="str">
            <v>PRI</v>
          </cell>
        </row>
        <row r="199">
          <cell r="B199" t="str">
            <v>PRK</v>
          </cell>
        </row>
        <row r="200">
          <cell r="B200" t="str">
            <v>PRT</v>
          </cell>
          <cell r="BL200">
            <v>43.508421845832302</v>
          </cell>
        </row>
        <row r="201">
          <cell r="B201" t="str">
            <v>PRY</v>
          </cell>
          <cell r="BL201">
            <v>36.182440719826303</v>
          </cell>
        </row>
        <row r="202">
          <cell r="B202" t="str">
            <v>PSE</v>
          </cell>
          <cell r="BL202">
            <v>15.521055242653301</v>
          </cell>
        </row>
        <row r="203">
          <cell r="B203" t="str">
            <v>PSS</v>
          </cell>
          <cell r="BL203">
            <v>42.035226436299801</v>
          </cell>
        </row>
        <row r="204">
          <cell r="B204" t="str">
            <v>PST</v>
          </cell>
          <cell r="BL204">
            <v>28.781176501680701</v>
          </cell>
        </row>
        <row r="205">
          <cell r="B205" t="str">
            <v>PYF</v>
          </cell>
          <cell r="BL205">
            <v>20.175142725080899</v>
          </cell>
        </row>
        <row r="206">
          <cell r="B206" t="str">
            <v>QAT</v>
          </cell>
          <cell r="BL206">
            <v>52.347267875762697</v>
          </cell>
        </row>
        <row r="207">
          <cell r="B207" t="str">
            <v>ROU</v>
          </cell>
          <cell r="BL207">
            <v>40.383222162751601</v>
          </cell>
        </row>
        <row r="208">
          <cell r="B208" t="str">
            <v>RUS</v>
          </cell>
          <cell r="BL208">
            <v>28.433430679975899</v>
          </cell>
        </row>
        <row r="209">
          <cell r="B209" t="str">
            <v>RWA</v>
          </cell>
          <cell r="BL209">
            <v>21.810639675807298</v>
          </cell>
        </row>
        <row r="210">
          <cell r="B210" t="str">
            <v>SAS</v>
          </cell>
          <cell r="BL210">
            <v>17.356580911678002</v>
          </cell>
        </row>
        <row r="211">
          <cell r="B211" t="str">
            <v>SAU</v>
          </cell>
          <cell r="BL211">
            <v>35.571694489276702</v>
          </cell>
        </row>
        <row r="212">
          <cell r="B212" t="str">
            <v>SDN</v>
          </cell>
          <cell r="BL212">
            <v>0.63057414727658201</v>
          </cell>
        </row>
        <row r="213">
          <cell r="B213" t="str">
            <v>SEN</v>
          </cell>
          <cell r="BL213">
            <v>24.987932777280999</v>
          </cell>
        </row>
        <row r="214">
          <cell r="B214" t="str">
            <v>SGP</v>
          </cell>
          <cell r="BL214">
            <v>175.27411566789999</v>
          </cell>
        </row>
        <row r="215">
          <cell r="B215" t="str">
            <v>SLB</v>
          </cell>
          <cell r="BL215">
            <v>37.641599781812502</v>
          </cell>
        </row>
        <row r="216">
          <cell r="B216" t="str">
            <v>SLE</v>
          </cell>
          <cell r="BL216">
            <v>18.2469360788965</v>
          </cell>
        </row>
        <row r="217">
          <cell r="B217" t="str">
            <v>SLV</v>
          </cell>
          <cell r="BL217">
            <v>29.675840792128099</v>
          </cell>
        </row>
        <row r="218">
          <cell r="B218" t="str">
            <v>SMR</v>
          </cell>
          <cell r="BL218">
            <v>163.99723662423199</v>
          </cell>
        </row>
        <row r="219">
          <cell r="B219" t="str">
            <v>SOM</v>
          </cell>
          <cell r="BL219">
            <v>17.462665198879801</v>
          </cell>
        </row>
        <row r="220">
          <cell r="B220" t="str">
            <v>SRB</v>
          </cell>
          <cell r="BL220">
            <v>51.010923150917101</v>
          </cell>
        </row>
        <row r="221">
          <cell r="B221" t="str">
            <v>SSA</v>
          </cell>
          <cell r="BL221">
            <v>22.666113858308901</v>
          </cell>
        </row>
        <row r="222">
          <cell r="B222" t="str">
            <v>SSD</v>
          </cell>
        </row>
        <row r="223">
          <cell r="B223" t="str">
            <v>SSF</v>
          </cell>
          <cell r="BL223">
            <v>22.731035725935801</v>
          </cell>
        </row>
        <row r="224">
          <cell r="B224" t="str">
            <v>SST</v>
          </cell>
          <cell r="BL224">
            <v>58.038091514179897</v>
          </cell>
        </row>
        <row r="225">
          <cell r="B225" t="str">
            <v>STP</v>
          </cell>
        </row>
        <row r="226">
          <cell r="B226" t="str">
            <v>SUR</v>
          </cell>
        </row>
        <row r="227">
          <cell r="B227" t="str">
            <v>SVK</v>
          </cell>
          <cell r="BL227">
            <v>92.264785590996894</v>
          </cell>
        </row>
        <row r="228">
          <cell r="B228" t="str">
            <v>SVN</v>
          </cell>
          <cell r="BL228">
            <v>83.963468174124699</v>
          </cell>
        </row>
        <row r="229">
          <cell r="B229" t="str">
            <v>SWE</v>
          </cell>
          <cell r="BL229">
            <v>47.809210952351101</v>
          </cell>
        </row>
        <row r="230">
          <cell r="B230" t="str">
            <v>SWZ</v>
          </cell>
          <cell r="BL230">
            <v>45.946323426739497</v>
          </cell>
        </row>
        <row r="231">
          <cell r="B231" t="str">
            <v>SXM</v>
          </cell>
        </row>
        <row r="232">
          <cell r="B232" t="str">
            <v>SYC</v>
          </cell>
          <cell r="BL232">
            <v>91.375998510695894</v>
          </cell>
        </row>
        <row r="233">
          <cell r="B233" t="str">
            <v>SYR</v>
          </cell>
          <cell r="BL233">
            <v>12.6938729291338</v>
          </cell>
        </row>
        <row r="234">
          <cell r="B234" t="str">
            <v>TCA</v>
          </cell>
        </row>
        <row r="235">
          <cell r="B235" t="str">
            <v>TCD</v>
          </cell>
          <cell r="BL235">
            <v>36.742253436382597</v>
          </cell>
        </row>
        <row r="236">
          <cell r="B236" t="str">
            <v>TEA</v>
          </cell>
          <cell r="BL236">
            <v>21.9469680740287</v>
          </cell>
        </row>
        <row r="237">
          <cell r="B237" t="str">
            <v>TEC</v>
          </cell>
          <cell r="BL237">
            <v>36.872445367906501</v>
          </cell>
        </row>
        <row r="238">
          <cell r="B238" t="str">
            <v>TGO</v>
          </cell>
          <cell r="BL238">
            <v>23.0615819514862</v>
          </cell>
        </row>
        <row r="239">
          <cell r="B239" t="str">
            <v>THA</v>
          </cell>
          <cell r="BL239">
            <v>59.507485343566401</v>
          </cell>
        </row>
        <row r="240">
          <cell r="B240" t="str">
            <v>TJK</v>
          </cell>
          <cell r="BL240">
            <v>14.9799392742745</v>
          </cell>
        </row>
        <row r="241">
          <cell r="B241" t="str">
            <v>TKM</v>
          </cell>
        </row>
        <row r="242">
          <cell r="B242" t="str">
            <v>TLA</v>
          </cell>
          <cell r="BL242">
            <v>23.747167048850201</v>
          </cell>
        </row>
        <row r="243">
          <cell r="B243" t="str">
            <v>TLS</v>
          </cell>
          <cell r="BL243">
            <v>27.739572564846799</v>
          </cell>
        </row>
        <row r="244">
          <cell r="B244" t="str">
            <v>TMN</v>
          </cell>
          <cell r="BL244">
            <v>27.6147184139754</v>
          </cell>
        </row>
        <row r="245">
          <cell r="B245" t="str">
            <v>TON</v>
          </cell>
          <cell r="BL245">
            <v>21.959271589261299</v>
          </cell>
        </row>
        <row r="246">
          <cell r="B246" t="str">
            <v>TSA</v>
          </cell>
          <cell r="BL246">
            <v>17.356580911678002</v>
          </cell>
        </row>
        <row r="247">
          <cell r="B247" t="str">
            <v>TSS</v>
          </cell>
          <cell r="BL247">
            <v>22.731035725935801</v>
          </cell>
        </row>
        <row r="248">
          <cell r="B248" t="str">
            <v>TTO</v>
          </cell>
        </row>
        <row r="249">
          <cell r="B249" t="str">
            <v>TUN</v>
          </cell>
          <cell r="BL249">
            <v>46.096865353112797</v>
          </cell>
        </row>
        <row r="250">
          <cell r="B250" t="str">
            <v>TUR</v>
          </cell>
          <cell r="BL250">
            <v>32.5973545785751</v>
          </cell>
        </row>
        <row r="251">
          <cell r="B251" t="str">
            <v>TUV</v>
          </cell>
        </row>
        <row r="252">
          <cell r="B252" t="str">
            <v>TZA</v>
          </cell>
          <cell r="BL252">
            <v>16.007863881448198</v>
          </cell>
        </row>
        <row r="253">
          <cell r="B253" t="str">
            <v>UGA</v>
          </cell>
          <cell r="BL253">
            <v>17.109058016917601</v>
          </cell>
        </row>
        <row r="254">
          <cell r="B254" t="str">
            <v>UKR</v>
          </cell>
          <cell r="BL254">
            <v>41.2316912560049</v>
          </cell>
        </row>
        <row r="255">
          <cell r="B255" t="str">
            <v>UMC</v>
          </cell>
          <cell r="BL255">
            <v>23.292594214874299</v>
          </cell>
        </row>
        <row r="256">
          <cell r="B256" t="str">
            <v>URY</v>
          </cell>
          <cell r="BL256">
            <v>27.750190305701</v>
          </cell>
        </row>
        <row r="257">
          <cell r="B257" t="str">
            <v>USA</v>
          </cell>
          <cell r="BL257">
            <v>11.7895354311111</v>
          </cell>
        </row>
        <row r="258">
          <cell r="B258" t="str">
            <v>UZB</v>
          </cell>
          <cell r="BL258">
            <v>28.421391859257401</v>
          </cell>
        </row>
        <row r="259">
          <cell r="B259" t="str">
            <v>VCT</v>
          </cell>
        </row>
        <row r="260">
          <cell r="B260" t="str">
            <v>VEN</v>
          </cell>
        </row>
        <row r="261">
          <cell r="B261" t="str">
            <v>VGB</v>
          </cell>
        </row>
        <row r="262">
          <cell r="B262" t="str">
            <v>VIR</v>
          </cell>
          <cell r="BL262">
            <v>55.015788195287797</v>
          </cell>
        </row>
        <row r="263">
          <cell r="B263" t="str">
            <v>VNM</v>
          </cell>
        </row>
        <row r="264">
          <cell r="B264" t="str">
            <v>VUT</v>
          </cell>
          <cell r="BL264">
            <v>50.345276872964199</v>
          </cell>
        </row>
        <row r="265">
          <cell r="B265" t="str">
            <v>WLD</v>
          </cell>
          <cell r="BL265">
            <v>28.2179804987314</v>
          </cell>
        </row>
        <row r="266">
          <cell r="B266" t="str">
            <v>WSM</v>
          </cell>
          <cell r="BL266">
            <v>37.723340195303898</v>
          </cell>
        </row>
        <row r="267">
          <cell r="B267" t="str">
            <v>XKX</v>
          </cell>
          <cell r="BL267">
            <v>29.312607459115199</v>
          </cell>
        </row>
        <row r="268">
          <cell r="B268" t="str">
            <v>YEM</v>
          </cell>
          <cell r="BL268">
            <v>7.1353953774886696</v>
          </cell>
        </row>
        <row r="269">
          <cell r="B269" t="str">
            <v>ZAF</v>
          </cell>
          <cell r="BL269">
            <v>27.342180492264799</v>
          </cell>
        </row>
        <row r="270">
          <cell r="B270" t="str">
            <v>ZMB</v>
          </cell>
          <cell r="BL270">
            <v>34.6361926031881</v>
          </cell>
        </row>
        <row r="271">
          <cell r="B271" t="str">
            <v>ZWE</v>
          </cell>
          <cell r="BL271">
            <v>31.2510404125177</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EG.USE.ELEC.KH.PC_DS2_en_cs"/>
    </sheetNames>
    <sheetDataSet>
      <sheetData sheetId="0" refreshError="1">
        <row r="6">
          <cell r="B6" t="str">
            <v>ABW</v>
          </cell>
        </row>
        <row r="7">
          <cell r="B7" t="str">
            <v>AFE</v>
          </cell>
          <cell r="BG7">
            <v>686.72805722149201</v>
          </cell>
        </row>
        <row r="8">
          <cell r="B8" t="str">
            <v>AFG</v>
          </cell>
        </row>
        <row r="9">
          <cell r="B9" t="str">
            <v>AFW</v>
          </cell>
          <cell r="BG9">
            <v>186.19900968430699</v>
          </cell>
        </row>
        <row r="10">
          <cell r="B10" t="str">
            <v>AGO</v>
          </cell>
          <cell r="BG10">
            <v>312.22889451262199</v>
          </cell>
        </row>
        <row r="11">
          <cell r="B11" t="str">
            <v>ALB</v>
          </cell>
          <cell r="BG11">
            <v>2309.3665025558098</v>
          </cell>
        </row>
        <row r="12">
          <cell r="B12" t="str">
            <v>AND</v>
          </cell>
        </row>
        <row r="13">
          <cell r="B13" t="str">
            <v>ARB</v>
          </cell>
          <cell r="BG13">
            <v>2508.4622843043699</v>
          </cell>
        </row>
        <row r="14">
          <cell r="B14" t="str">
            <v>ARE</v>
          </cell>
          <cell r="BG14">
            <v>11088.341862576601</v>
          </cell>
        </row>
        <row r="15">
          <cell r="B15" t="str">
            <v>ARG</v>
          </cell>
          <cell r="BG15">
            <v>3074.70207056563</v>
          </cell>
        </row>
        <row r="16">
          <cell r="B16" t="str">
            <v>ARM</v>
          </cell>
          <cell r="BG16">
            <v>1961.6103952646699</v>
          </cell>
        </row>
        <row r="17">
          <cell r="B17" t="str">
            <v>ASM</v>
          </cell>
        </row>
        <row r="18">
          <cell r="B18" t="str">
            <v>ATG</v>
          </cell>
        </row>
        <row r="19">
          <cell r="B19" t="str">
            <v>AUS</v>
          </cell>
          <cell r="BG19">
            <v>10071.3989785006</v>
          </cell>
        </row>
        <row r="20">
          <cell r="B20" t="str">
            <v>AUT</v>
          </cell>
          <cell r="BG20">
            <v>8355.8419518213395</v>
          </cell>
        </row>
        <row r="21">
          <cell r="B21" t="str">
            <v>AZE</v>
          </cell>
          <cell r="BG21">
            <v>2202.3939182884601</v>
          </cell>
        </row>
        <row r="22">
          <cell r="B22" t="str">
            <v>BDI</v>
          </cell>
        </row>
        <row r="23">
          <cell r="B23" t="str">
            <v>BEL</v>
          </cell>
          <cell r="BG23">
            <v>7709.1230778824702</v>
          </cell>
        </row>
        <row r="24">
          <cell r="B24" t="str">
            <v>BEN</v>
          </cell>
          <cell r="BG24">
            <v>100.22515176916799</v>
          </cell>
        </row>
        <row r="25">
          <cell r="B25" t="str">
            <v>BFA</v>
          </cell>
        </row>
        <row r="26">
          <cell r="B26" t="str">
            <v>BGD</v>
          </cell>
          <cell r="BG26">
            <v>320.20992330409899</v>
          </cell>
        </row>
        <row r="27">
          <cell r="B27" t="str">
            <v>BGR</v>
          </cell>
          <cell r="BG27">
            <v>4708.9274575723102</v>
          </cell>
        </row>
        <row r="28">
          <cell r="B28" t="str">
            <v>BHR</v>
          </cell>
          <cell r="BG28">
            <v>19596.983098977398</v>
          </cell>
        </row>
        <row r="29">
          <cell r="B29" t="str">
            <v>BHS</v>
          </cell>
        </row>
        <row r="30">
          <cell r="B30" t="str">
            <v>BIH</v>
          </cell>
          <cell r="BG30">
            <v>3446.7646878067499</v>
          </cell>
        </row>
        <row r="31">
          <cell r="B31" t="str">
            <v>BLR</v>
          </cell>
          <cell r="BG31">
            <v>3690.1036829597001</v>
          </cell>
        </row>
        <row r="32">
          <cell r="B32" t="str">
            <v>BLZ</v>
          </cell>
        </row>
        <row r="33">
          <cell r="B33" t="str">
            <v>BMU</v>
          </cell>
        </row>
        <row r="34">
          <cell r="B34" t="str">
            <v>BOL</v>
          </cell>
          <cell r="BG34">
            <v>742.53839974288599</v>
          </cell>
        </row>
        <row r="35">
          <cell r="B35" t="str">
            <v>BRA</v>
          </cell>
          <cell r="BG35">
            <v>2619.9604994470801</v>
          </cell>
        </row>
        <row r="36">
          <cell r="B36" t="str">
            <v>BRB</v>
          </cell>
        </row>
        <row r="37">
          <cell r="B37" t="str">
            <v>BRN</v>
          </cell>
          <cell r="BG37">
            <v>10290.9380200987</v>
          </cell>
        </row>
        <row r="38">
          <cell r="B38" t="str">
            <v>BTN</v>
          </cell>
        </row>
        <row r="39">
          <cell r="B39" t="str">
            <v>BWA</v>
          </cell>
          <cell r="BG39">
            <v>1815.5537223399799</v>
          </cell>
        </row>
        <row r="40">
          <cell r="B40" t="str">
            <v>CAF</v>
          </cell>
        </row>
        <row r="41">
          <cell r="B41" t="str">
            <v>CAN</v>
          </cell>
          <cell r="BG41">
            <v>15588.4871464315</v>
          </cell>
        </row>
        <row r="42">
          <cell r="B42" t="str">
            <v>CEB</v>
          </cell>
          <cell r="BG42">
            <v>4115.6302011883899</v>
          </cell>
        </row>
        <row r="43">
          <cell r="B43" t="str">
            <v>CHE</v>
          </cell>
          <cell r="BG43">
            <v>7520.1660249450197</v>
          </cell>
        </row>
        <row r="44">
          <cell r="B44" t="str">
            <v>CHI</v>
          </cell>
        </row>
        <row r="45">
          <cell r="B45" t="str">
            <v>CHL</v>
          </cell>
          <cell r="BG45">
            <v>3879.6734202306502</v>
          </cell>
        </row>
        <row r="46">
          <cell r="B46" t="str">
            <v>CHN</v>
          </cell>
          <cell r="BG46">
            <v>3905.3175980056299</v>
          </cell>
        </row>
        <row r="47">
          <cell r="B47" t="str">
            <v>CIV</v>
          </cell>
          <cell r="BG47">
            <v>274.73022392765102</v>
          </cell>
        </row>
        <row r="48">
          <cell r="B48" t="str">
            <v>CMR</v>
          </cell>
          <cell r="BG48">
            <v>275.19797434539402</v>
          </cell>
        </row>
        <row r="49">
          <cell r="B49" t="str">
            <v>COD</v>
          </cell>
          <cell r="BG49">
            <v>108.51670408267501</v>
          </cell>
        </row>
        <row r="50">
          <cell r="B50" t="str">
            <v>COG</v>
          </cell>
          <cell r="BG50">
            <v>202.87251436310001</v>
          </cell>
        </row>
        <row r="51">
          <cell r="B51" t="str">
            <v>COL</v>
          </cell>
          <cell r="BG51">
            <v>1312.1994929878001</v>
          </cell>
        </row>
        <row r="52">
          <cell r="B52" t="str">
            <v>COM</v>
          </cell>
        </row>
        <row r="53">
          <cell r="B53" t="str">
            <v>CPV</v>
          </cell>
        </row>
        <row r="54">
          <cell r="B54" t="str">
            <v>CRI</v>
          </cell>
          <cell r="BG54">
            <v>1942.49060034742</v>
          </cell>
        </row>
        <row r="55">
          <cell r="B55" t="str">
            <v>CSS</v>
          </cell>
          <cell r="BG55">
            <v>3062.9846838241701</v>
          </cell>
        </row>
        <row r="56">
          <cell r="B56" t="str">
            <v>CUB</v>
          </cell>
          <cell r="BG56">
            <v>1450.8828186377</v>
          </cell>
        </row>
        <row r="57">
          <cell r="B57" t="str">
            <v>CUW</v>
          </cell>
          <cell r="BG57">
            <v>4797.6704359594396</v>
          </cell>
        </row>
        <row r="58">
          <cell r="B58" t="str">
            <v>CYM</v>
          </cell>
        </row>
        <row r="59">
          <cell r="B59" t="str">
            <v>CYP</v>
          </cell>
          <cell r="BG59">
            <v>3624.9335023869698</v>
          </cell>
        </row>
        <row r="60">
          <cell r="B60" t="str">
            <v>CZE</v>
          </cell>
          <cell r="BG60">
            <v>6258.8910370365902</v>
          </cell>
        </row>
        <row r="61">
          <cell r="B61" t="str">
            <v>DEU</v>
          </cell>
          <cell r="BG61">
            <v>7035.4829747167596</v>
          </cell>
        </row>
        <row r="62">
          <cell r="B62" t="str">
            <v>DJI</v>
          </cell>
        </row>
        <row r="63">
          <cell r="B63" t="str">
            <v>DMA</v>
          </cell>
        </row>
        <row r="64">
          <cell r="B64" t="str">
            <v>DNK</v>
          </cell>
          <cell r="BG64">
            <v>5858.8015362874803</v>
          </cell>
        </row>
        <row r="65">
          <cell r="B65" t="str">
            <v>DOM</v>
          </cell>
          <cell r="BG65">
            <v>1615.5146066248501</v>
          </cell>
        </row>
        <row r="66">
          <cell r="B66" t="str">
            <v>DZA</v>
          </cell>
          <cell r="BG66">
            <v>1362.87188408252</v>
          </cell>
        </row>
        <row r="67">
          <cell r="B67" t="str">
            <v>EAP</v>
          </cell>
          <cell r="BG67">
            <v>3037.30666846747</v>
          </cell>
        </row>
        <row r="68">
          <cell r="B68" t="str">
            <v>EAR</v>
          </cell>
          <cell r="BG68">
            <v>1151.5147667794899</v>
          </cell>
        </row>
        <row r="69">
          <cell r="B69" t="str">
            <v>EAS</v>
          </cell>
          <cell r="BG69">
            <v>3665.1282978160102</v>
          </cell>
        </row>
        <row r="70">
          <cell r="B70" t="str">
            <v>ECA</v>
          </cell>
          <cell r="BG70">
            <v>4346.8730290230396</v>
          </cell>
        </row>
        <row r="71">
          <cell r="B71" t="str">
            <v>ECS</v>
          </cell>
          <cell r="BG71">
            <v>5376.7712464547403</v>
          </cell>
        </row>
        <row r="72">
          <cell r="B72" t="str">
            <v>ECU</v>
          </cell>
          <cell r="BG72">
            <v>1376.3936330322399</v>
          </cell>
        </row>
        <row r="73">
          <cell r="B73" t="str">
            <v>EGY</v>
          </cell>
          <cell r="BG73">
            <v>1683.2132576920301</v>
          </cell>
        </row>
        <row r="74">
          <cell r="B74" t="str">
            <v>EMU</v>
          </cell>
          <cell r="BG74">
            <v>6352.8298994800098</v>
          </cell>
        </row>
        <row r="75">
          <cell r="B75" t="str">
            <v>ERI</v>
          </cell>
          <cell r="BG75">
            <v>96.634579959679201</v>
          </cell>
        </row>
        <row r="76">
          <cell r="B76" t="str">
            <v>ESP</v>
          </cell>
          <cell r="BG76">
            <v>5355.9870055822103</v>
          </cell>
        </row>
        <row r="77">
          <cell r="B77" t="str">
            <v>EST</v>
          </cell>
          <cell r="BG77">
            <v>6732.3674731561096</v>
          </cell>
        </row>
        <row r="78">
          <cell r="B78" t="str">
            <v>ETH</v>
          </cell>
          <cell r="BG78">
            <v>69.198745402687393</v>
          </cell>
        </row>
        <row r="79">
          <cell r="B79" t="str">
            <v>EUU</v>
          </cell>
          <cell r="BG79">
            <v>6021.8608203418298</v>
          </cell>
        </row>
        <row r="80">
          <cell r="B80" t="str">
            <v>FCS</v>
          </cell>
          <cell r="BG80">
            <v>599.37801868160705</v>
          </cell>
        </row>
        <row r="81">
          <cell r="B81" t="str">
            <v>FIN</v>
          </cell>
          <cell r="BG81">
            <v>15249.989380230199</v>
          </cell>
        </row>
        <row r="82">
          <cell r="B82" t="str">
            <v>FJI</v>
          </cell>
        </row>
        <row r="83">
          <cell r="B83" t="str">
            <v>FRA</v>
          </cell>
          <cell r="BG83">
            <v>6939.9435249092703</v>
          </cell>
        </row>
        <row r="84">
          <cell r="B84" t="str">
            <v>FRO</v>
          </cell>
        </row>
        <row r="85">
          <cell r="B85" t="str">
            <v>FSM</v>
          </cell>
        </row>
        <row r="86">
          <cell r="B86" t="str">
            <v>GAB</v>
          </cell>
          <cell r="BG86">
            <v>1167.85159366621</v>
          </cell>
        </row>
        <row r="87">
          <cell r="B87" t="str">
            <v>GBR</v>
          </cell>
          <cell r="BG87">
            <v>5130.3902533002802</v>
          </cell>
        </row>
        <row r="88">
          <cell r="B88" t="str">
            <v>GEO</v>
          </cell>
          <cell r="BG88">
            <v>2693.9727602251301</v>
          </cell>
        </row>
        <row r="89">
          <cell r="B89" t="str">
            <v>GHA</v>
          </cell>
          <cell r="BG89">
            <v>351.30147573066603</v>
          </cell>
        </row>
        <row r="90">
          <cell r="B90" t="str">
            <v>GIB</v>
          </cell>
          <cell r="BG90">
            <v>5692.9371997865101</v>
          </cell>
        </row>
        <row r="91">
          <cell r="B91" t="str">
            <v>GIN</v>
          </cell>
        </row>
        <row r="92">
          <cell r="B92" t="str">
            <v>GMB</v>
          </cell>
        </row>
        <row r="93">
          <cell r="B93" t="str">
            <v>GNB</v>
          </cell>
        </row>
        <row r="94">
          <cell r="B94" t="str">
            <v>GNQ</v>
          </cell>
        </row>
        <row r="95">
          <cell r="B95" t="str">
            <v>GRC</v>
          </cell>
          <cell r="BG95">
            <v>5062.6064215523202</v>
          </cell>
        </row>
        <row r="96">
          <cell r="B96" t="str">
            <v>GRD</v>
          </cell>
        </row>
        <row r="97">
          <cell r="B97" t="str">
            <v>GRL</v>
          </cell>
        </row>
        <row r="98">
          <cell r="B98" t="str">
            <v>GTM</v>
          </cell>
          <cell r="BG98">
            <v>601.18973108878697</v>
          </cell>
        </row>
        <row r="99">
          <cell r="B99" t="str">
            <v>GUM</v>
          </cell>
        </row>
        <row r="100">
          <cell r="B100" t="str">
            <v>GUY</v>
          </cell>
        </row>
        <row r="101">
          <cell r="B101" t="str">
            <v>HIC</v>
          </cell>
          <cell r="BG101">
            <v>8935.2897833991992</v>
          </cell>
        </row>
        <row r="102">
          <cell r="B102" t="str">
            <v>HKG</v>
          </cell>
          <cell r="BG102">
            <v>6083.2699356802004</v>
          </cell>
        </row>
        <row r="103">
          <cell r="B103" t="str">
            <v>HND</v>
          </cell>
          <cell r="BG103">
            <v>619.83708702698095</v>
          </cell>
        </row>
        <row r="104">
          <cell r="B104" t="str">
            <v>HPC</v>
          </cell>
          <cell r="BG104">
            <v>214.03765002897799</v>
          </cell>
        </row>
        <row r="105">
          <cell r="B105" t="str">
            <v>HRV</v>
          </cell>
          <cell r="BG105">
            <v>3714.3829884420702</v>
          </cell>
        </row>
        <row r="106">
          <cell r="B106" t="str">
            <v>HTI</v>
          </cell>
          <cell r="BG106">
            <v>39.055808760009398</v>
          </cell>
        </row>
        <row r="107">
          <cell r="B107" t="str">
            <v>HUN</v>
          </cell>
          <cell r="BG107">
            <v>3965.9582334833499</v>
          </cell>
        </row>
        <row r="108">
          <cell r="B108" t="str">
            <v>IBD</v>
          </cell>
          <cell r="BG108">
            <v>2402.8971575247201</v>
          </cell>
        </row>
        <row r="109">
          <cell r="B109" t="str">
            <v>IBT</v>
          </cell>
          <cell r="BG109">
            <v>1960.43721474877</v>
          </cell>
        </row>
        <row r="110">
          <cell r="B110" t="str">
            <v>IDA</v>
          </cell>
          <cell r="BG110">
            <v>317.37083335085902</v>
          </cell>
        </row>
        <row r="111">
          <cell r="B111" t="str">
            <v>IDB</v>
          </cell>
          <cell r="BG111">
            <v>380.80006628840101</v>
          </cell>
        </row>
        <row r="112">
          <cell r="B112" t="str">
            <v>IDN</v>
          </cell>
          <cell r="BG112">
            <v>811.90985816864804</v>
          </cell>
        </row>
        <row r="113">
          <cell r="B113" t="str">
            <v>IDX</v>
          </cell>
          <cell r="BG113">
            <v>275.97786503992802</v>
          </cell>
        </row>
        <row r="114">
          <cell r="B114" t="str">
            <v>IMN</v>
          </cell>
        </row>
        <row r="115">
          <cell r="B115" t="str">
            <v>IND</v>
          </cell>
          <cell r="BG115">
            <v>804.51634928329997</v>
          </cell>
        </row>
        <row r="116">
          <cell r="B116" t="str">
            <v>INX</v>
          </cell>
        </row>
        <row r="117">
          <cell r="B117" t="str">
            <v>IRL</v>
          </cell>
          <cell r="BG117">
            <v>5672.0641341079599</v>
          </cell>
        </row>
        <row r="118">
          <cell r="B118" t="str">
            <v>IRN</v>
          </cell>
          <cell r="BG118">
            <v>3022.1219387882202</v>
          </cell>
        </row>
        <row r="119">
          <cell r="B119" t="str">
            <v>IRQ</v>
          </cell>
          <cell r="BG119">
            <v>1328.23049342541</v>
          </cell>
        </row>
        <row r="120">
          <cell r="B120" t="str">
            <v>ISL</v>
          </cell>
          <cell r="BG120">
            <v>53832.479091958703</v>
          </cell>
        </row>
        <row r="121">
          <cell r="B121" t="str">
            <v>ISR</v>
          </cell>
          <cell r="BG121">
            <v>6600.8982801222</v>
          </cell>
        </row>
        <row r="122">
          <cell r="B122" t="str">
            <v>ITA</v>
          </cell>
          <cell r="BG122">
            <v>5002.4066798773601</v>
          </cell>
        </row>
        <row r="123">
          <cell r="B123" t="str">
            <v>JAM</v>
          </cell>
          <cell r="BG123">
            <v>1050.73253900597</v>
          </cell>
        </row>
        <row r="124">
          <cell r="B124" t="str">
            <v>JOR</v>
          </cell>
          <cell r="BG124">
            <v>1864.9323868107199</v>
          </cell>
        </row>
        <row r="125">
          <cell r="B125" t="str">
            <v>JPN</v>
          </cell>
          <cell r="BG125">
            <v>7819.7146359093604</v>
          </cell>
        </row>
        <row r="126">
          <cell r="B126" t="str">
            <v>KAZ</v>
          </cell>
          <cell r="BG126">
            <v>5600.2084648650798</v>
          </cell>
        </row>
        <row r="127">
          <cell r="B127" t="str">
            <v>KEN</v>
          </cell>
          <cell r="BG127">
            <v>164.32526011795699</v>
          </cell>
        </row>
        <row r="128">
          <cell r="B128" t="str">
            <v>KGZ</v>
          </cell>
          <cell r="BG128">
            <v>1941.22183189101</v>
          </cell>
        </row>
        <row r="129">
          <cell r="B129" t="str">
            <v>KHM</v>
          </cell>
          <cell r="BG129">
            <v>271.36720493612</v>
          </cell>
        </row>
        <row r="130">
          <cell r="B130" t="str">
            <v>KIR</v>
          </cell>
        </row>
        <row r="131">
          <cell r="B131" t="str">
            <v>KNA</v>
          </cell>
        </row>
        <row r="132">
          <cell r="B132" t="str">
            <v>KOR</v>
          </cell>
          <cell r="BG132">
            <v>10496.5136719641</v>
          </cell>
        </row>
        <row r="133">
          <cell r="B133" t="str">
            <v>KWT</v>
          </cell>
          <cell r="BG133">
            <v>15590.612578533501</v>
          </cell>
        </row>
        <row r="134">
          <cell r="B134" t="str">
            <v>LAC</v>
          </cell>
          <cell r="BG134">
            <v>2054.1796923060301</v>
          </cell>
        </row>
        <row r="135">
          <cell r="B135" t="str">
            <v>LAO</v>
          </cell>
        </row>
        <row r="136">
          <cell r="B136" t="str">
            <v>LBN</v>
          </cell>
          <cell r="BG136">
            <v>2588.8645443588798</v>
          </cell>
        </row>
        <row r="137">
          <cell r="B137" t="str">
            <v>LBR</v>
          </cell>
        </row>
        <row r="138">
          <cell r="B138" t="str">
            <v>LBY</v>
          </cell>
          <cell r="BG138">
            <v>1811.05460057695</v>
          </cell>
        </row>
        <row r="139">
          <cell r="B139" t="str">
            <v>LCA</v>
          </cell>
        </row>
        <row r="140">
          <cell r="B140" t="str">
            <v>LCN</v>
          </cell>
          <cell r="BG140">
            <v>2157.89689797345</v>
          </cell>
        </row>
        <row r="141">
          <cell r="B141" t="str">
            <v>LDC</v>
          </cell>
          <cell r="BG141">
            <v>211.98848838144099</v>
          </cell>
        </row>
        <row r="142">
          <cell r="B142" t="str">
            <v>LIC</v>
          </cell>
        </row>
        <row r="143">
          <cell r="B143" t="str">
            <v>LIE</v>
          </cell>
        </row>
        <row r="144">
          <cell r="B144" t="str">
            <v>LKA</v>
          </cell>
          <cell r="BG144">
            <v>531.09057657137396</v>
          </cell>
        </row>
        <row r="145">
          <cell r="B145" t="str">
            <v>LMC</v>
          </cell>
          <cell r="BG145">
            <v>815.42728428537896</v>
          </cell>
        </row>
        <row r="146">
          <cell r="B146" t="str">
            <v>LMY</v>
          </cell>
          <cell r="BG146">
            <v>1925.0351390573101</v>
          </cell>
        </row>
        <row r="147">
          <cell r="B147" t="str">
            <v>LSO</v>
          </cell>
        </row>
        <row r="148">
          <cell r="B148" t="str">
            <v>LTE</v>
          </cell>
          <cell r="BG148">
            <v>3696.5082922940101</v>
          </cell>
        </row>
        <row r="149">
          <cell r="B149" t="str">
            <v>LTU</v>
          </cell>
          <cell r="BG149">
            <v>3821.1451704373999</v>
          </cell>
        </row>
        <row r="150">
          <cell r="B150" t="str">
            <v>LUX</v>
          </cell>
          <cell r="BG150">
            <v>13914.6784488756</v>
          </cell>
        </row>
        <row r="151">
          <cell r="B151" t="str">
            <v>LVA</v>
          </cell>
          <cell r="BG151">
            <v>3507.4045206547198</v>
          </cell>
        </row>
        <row r="152">
          <cell r="B152" t="str">
            <v>MAC</v>
          </cell>
        </row>
        <row r="153">
          <cell r="B153" t="str">
            <v>MAF</v>
          </cell>
        </row>
        <row r="154">
          <cell r="B154" t="str">
            <v>MAR</v>
          </cell>
          <cell r="BG154">
            <v>904.44186388081198</v>
          </cell>
        </row>
        <row r="155">
          <cell r="B155" t="str">
            <v>MCO</v>
          </cell>
        </row>
        <row r="156">
          <cell r="B156" t="str">
            <v>MDA</v>
          </cell>
          <cell r="BG156">
            <v>1725.6164791123399</v>
          </cell>
        </row>
        <row r="157">
          <cell r="B157" t="str">
            <v>MDG</v>
          </cell>
        </row>
        <row r="158">
          <cell r="B158" t="str">
            <v>MDV</v>
          </cell>
        </row>
        <row r="159">
          <cell r="B159" t="str">
            <v>MEA</v>
          </cell>
          <cell r="BG159">
            <v>2895.9561549677401</v>
          </cell>
        </row>
        <row r="160">
          <cell r="B160" t="str">
            <v>MEX</v>
          </cell>
          <cell r="BG160">
            <v>2157.3237875172699</v>
          </cell>
        </row>
        <row r="161">
          <cell r="B161" t="str">
            <v>MHL</v>
          </cell>
        </row>
        <row r="162">
          <cell r="B162" t="str">
            <v>MIC</v>
          </cell>
          <cell r="BG162">
            <v>2037.0331386106</v>
          </cell>
        </row>
        <row r="163">
          <cell r="B163" t="str">
            <v>MKD</v>
          </cell>
          <cell r="BG163">
            <v>3513.9549720407199</v>
          </cell>
        </row>
        <row r="164">
          <cell r="B164" t="str">
            <v>MLI</v>
          </cell>
        </row>
        <row r="165">
          <cell r="B165" t="str">
            <v>MLT</v>
          </cell>
          <cell r="BG165">
            <v>4924.54401944044</v>
          </cell>
        </row>
        <row r="166">
          <cell r="B166" t="str">
            <v>MMR</v>
          </cell>
          <cell r="BG166">
            <v>215.29885838048099</v>
          </cell>
        </row>
        <row r="167">
          <cell r="B167" t="str">
            <v>MNA</v>
          </cell>
          <cell r="BG167">
            <v>1702.8785467031601</v>
          </cell>
        </row>
        <row r="168">
          <cell r="B168" t="str">
            <v>MNE</v>
          </cell>
          <cell r="BG168">
            <v>4612.3413904568897</v>
          </cell>
        </row>
        <row r="169">
          <cell r="B169" t="str">
            <v>MNG</v>
          </cell>
          <cell r="BG169">
            <v>2006.3868336943699</v>
          </cell>
        </row>
        <row r="170">
          <cell r="B170" t="str">
            <v>MNP</v>
          </cell>
        </row>
        <row r="171">
          <cell r="B171" t="str">
            <v>MOZ</v>
          </cell>
          <cell r="BG171">
            <v>478.92064396394898</v>
          </cell>
        </row>
        <row r="172">
          <cell r="B172" t="str">
            <v>MRT</v>
          </cell>
        </row>
        <row r="173">
          <cell r="B173" t="str">
            <v>MUS</v>
          </cell>
          <cell r="BG173">
            <v>2182.5091559114098</v>
          </cell>
        </row>
        <row r="174">
          <cell r="B174" t="str">
            <v>MWI</v>
          </cell>
        </row>
        <row r="175">
          <cell r="B175" t="str">
            <v>MYS</v>
          </cell>
          <cell r="BG175">
            <v>4651.9514135620202</v>
          </cell>
        </row>
        <row r="176">
          <cell r="B176" t="str">
            <v>NAC</v>
          </cell>
          <cell r="BG176">
            <v>13253.8214702843</v>
          </cell>
        </row>
        <row r="177">
          <cell r="B177" t="str">
            <v>NAM</v>
          </cell>
          <cell r="BG177">
            <v>1652.57193328483</v>
          </cell>
        </row>
        <row r="178">
          <cell r="B178" t="str">
            <v>NCL</v>
          </cell>
        </row>
        <row r="179">
          <cell r="B179" t="str">
            <v>NER</v>
          </cell>
          <cell r="BG179">
            <v>51.194941918948601</v>
          </cell>
        </row>
        <row r="180">
          <cell r="B180" t="str">
            <v>NGA</v>
          </cell>
          <cell r="BG180">
            <v>144.52543846407599</v>
          </cell>
        </row>
        <row r="181">
          <cell r="B181" t="str">
            <v>NIC</v>
          </cell>
          <cell r="BG181">
            <v>568.31371828895703</v>
          </cell>
        </row>
        <row r="182">
          <cell r="B182" t="str">
            <v>NLD</v>
          </cell>
          <cell r="BG182">
            <v>6712.7747582450002</v>
          </cell>
        </row>
        <row r="183">
          <cell r="B183" t="str">
            <v>NOR</v>
          </cell>
          <cell r="BG183">
            <v>22999.934595128299</v>
          </cell>
        </row>
        <row r="184">
          <cell r="B184" t="str">
            <v>NPL</v>
          </cell>
          <cell r="BG184">
            <v>146.47300366141599</v>
          </cell>
        </row>
        <row r="185">
          <cell r="B185" t="str">
            <v>NRU</v>
          </cell>
        </row>
        <row r="186">
          <cell r="B186" t="str">
            <v>NZL</v>
          </cell>
          <cell r="BG186">
            <v>9012.73109708845</v>
          </cell>
        </row>
        <row r="187">
          <cell r="B187" t="str">
            <v>OED</v>
          </cell>
          <cell r="BG187">
            <v>7749.5037117044103</v>
          </cell>
        </row>
        <row r="188">
          <cell r="B188" t="str">
            <v>OMN</v>
          </cell>
          <cell r="BG188">
            <v>6445.5814196021902</v>
          </cell>
        </row>
        <row r="189">
          <cell r="B189" t="str">
            <v>OSS</v>
          </cell>
        </row>
        <row r="190">
          <cell r="B190" t="str">
            <v>PAK</v>
          </cell>
          <cell r="BG190">
            <v>447.505156703301</v>
          </cell>
        </row>
        <row r="191">
          <cell r="B191" t="str">
            <v>PAN</v>
          </cell>
          <cell r="BG191">
            <v>2064.1779135270199</v>
          </cell>
        </row>
        <row r="192">
          <cell r="B192" t="str">
            <v>PER</v>
          </cell>
          <cell r="BG192">
            <v>1345.8790074114099</v>
          </cell>
        </row>
        <row r="193">
          <cell r="B193" t="str">
            <v>PHL</v>
          </cell>
          <cell r="BG193">
            <v>696.34678698765504</v>
          </cell>
        </row>
        <row r="194">
          <cell r="B194" t="str">
            <v>PLW</v>
          </cell>
        </row>
        <row r="195">
          <cell r="B195" t="str">
            <v>PNG</v>
          </cell>
        </row>
        <row r="196">
          <cell r="B196" t="str">
            <v>POL</v>
          </cell>
          <cell r="BG196">
            <v>3971.7997613105499</v>
          </cell>
        </row>
        <row r="197">
          <cell r="B197" t="str">
            <v>PRE</v>
          </cell>
          <cell r="BG197">
            <v>256.273018747013</v>
          </cell>
        </row>
        <row r="198">
          <cell r="B198" t="str">
            <v>PRI</v>
          </cell>
        </row>
        <row r="199">
          <cell r="B199" t="str">
            <v>PRK</v>
          </cell>
          <cell r="BG199">
            <v>601.68906335845304</v>
          </cell>
        </row>
        <row r="200">
          <cell r="B200" t="str">
            <v>PRT</v>
          </cell>
          <cell r="BG200">
            <v>4662.6007998029399</v>
          </cell>
        </row>
        <row r="201">
          <cell r="B201" t="str">
            <v>PRY</v>
          </cell>
          <cell r="BG201">
            <v>1552.3846871380399</v>
          </cell>
        </row>
        <row r="202">
          <cell r="B202" t="str">
            <v>PSE</v>
          </cell>
        </row>
        <row r="203">
          <cell r="B203" t="str">
            <v>PSS</v>
          </cell>
        </row>
        <row r="204">
          <cell r="B204" t="str">
            <v>PST</v>
          </cell>
          <cell r="BG204">
            <v>8899.8713764194108</v>
          </cell>
        </row>
        <row r="205">
          <cell r="B205" t="str">
            <v>PYF</v>
          </cell>
        </row>
        <row r="206">
          <cell r="B206" t="str">
            <v>QAT</v>
          </cell>
          <cell r="BG206">
            <v>14781.624282999101</v>
          </cell>
        </row>
        <row r="207">
          <cell r="B207" t="str">
            <v>ROU</v>
          </cell>
          <cell r="BG207">
            <v>2584.4117872644301</v>
          </cell>
        </row>
        <row r="208">
          <cell r="B208" t="str">
            <v>RUS</v>
          </cell>
          <cell r="BG208">
            <v>6602.6574793835398</v>
          </cell>
        </row>
        <row r="209">
          <cell r="B209" t="str">
            <v>RWA</v>
          </cell>
        </row>
        <row r="210">
          <cell r="B210" t="str">
            <v>SAS</v>
          </cell>
          <cell r="BG210">
            <v>705.32216588652796</v>
          </cell>
        </row>
        <row r="211">
          <cell r="B211" t="str">
            <v>SAU</v>
          </cell>
          <cell r="BG211">
            <v>9401.4856677494608</v>
          </cell>
        </row>
        <row r="212">
          <cell r="B212" t="str">
            <v>SDN</v>
          </cell>
          <cell r="BG212">
            <v>256.75622906384098</v>
          </cell>
        </row>
        <row r="213">
          <cell r="B213" t="str">
            <v>SEN</v>
          </cell>
          <cell r="BG213">
            <v>229.351649483518</v>
          </cell>
        </row>
        <row r="214">
          <cell r="B214" t="str">
            <v>SGP</v>
          </cell>
          <cell r="BG214">
            <v>8844.6875930120095</v>
          </cell>
        </row>
        <row r="215">
          <cell r="B215" t="str">
            <v>SLB</v>
          </cell>
        </row>
        <row r="216">
          <cell r="B216" t="str">
            <v>SLE</v>
          </cell>
        </row>
        <row r="217">
          <cell r="B217" t="str">
            <v>SLV</v>
          </cell>
          <cell r="BG217">
            <v>937.07447224232601</v>
          </cell>
        </row>
        <row r="218">
          <cell r="B218" t="str">
            <v>SMR</v>
          </cell>
        </row>
        <row r="219">
          <cell r="B219" t="str">
            <v>SOM</v>
          </cell>
        </row>
        <row r="220">
          <cell r="B220" t="str">
            <v>SRB</v>
          </cell>
          <cell r="BG220">
            <v>4271.7446669105002</v>
          </cell>
        </row>
        <row r="221">
          <cell r="B221" t="str">
            <v>SSA</v>
          </cell>
          <cell r="BG221">
            <v>487.328240398704</v>
          </cell>
        </row>
        <row r="222">
          <cell r="B222" t="str">
            <v>SSD</v>
          </cell>
          <cell r="BG222">
            <v>43.581728341444297</v>
          </cell>
        </row>
        <row r="223">
          <cell r="B223" t="str">
            <v>SSF</v>
          </cell>
          <cell r="BG223">
            <v>487.328240398704</v>
          </cell>
        </row>
        <row r="224">
          <cell r="B224" t="str">
            <v>SST</v>
          </cell>
        </row>
        <row r="225">
          <cell r="B225" t="str">
            <v>STP</v>
          </cell>
        </row>
        <row r="226">
          <cell r="B226" t="str">
            <v>SUR</v>
          </cell>
          <cell r="BG226">
            <v>3596.7452166903399</v>
          </cell>
        </row>
        <row r="227">
          <cell r="B227" t="str">
            <v>SVK</v>
          </cell>
          <cell r="BG227">
            <v>5137.0738351939799</v>
          </cell>
        </row>
        <row r="228">
          <cell r="B228" t="str">
            <v>SVN</v>
          </cell>
          <cell r="BG228">
            <v>6727.9993016421104</v>
          </cell>
        </row>
        <row r="229">
          <cell r="B229" t="str">
            <v>SWE</v>
          </cell>
          <cell r="BG229">
            <v>13480.148224391</v>
          </cell>
        </row>
        <row r="230">
          <cell r="B230" t="str">
            <v>SWZ</v>
          </cell>
        </row>
        <row r="231">
          <cell r="B231" t="str">
            <v>SXM</v>
          </cell>
        </row>
        <row r="232">
          <cell r="B232" t="str">
            <v>SYC</v>
          </cell>
        </row>
        <row r="233">
          <cell r="B233" t="str">
            <v>SYR</v>
          </cell>
          <cell r="BG233">
            <v>974.57547177122206</v>
          </cell>
        </row>
        <row r="234">
          <cell r="B234" t="str">
            <v>TCA</v>
          </cell>
        </row>
        <row r="235">
          <cell r="B235" t="str">
            <v>TCD</v>
          </cell>
        </row>
        <row r="236">
          <cell r="B236" t="str">
            <v>TEA</v>
          </cell>
          <cell r="BG236">
            <v>3068.0062233910298</v>
          </cell>
        </row>
        <row r="237">
          <cell r="B237" t="str">
            <v>TEC</v>
          </cell>
          <cell r="BG237">
            <v>4231.2017737896203</v>
          </cell>
        </row>
        <row r="238">
          <cell r="B238" t="str">
            <v>TGO</v>
          </cell>
          <cell r="BG238">
            <v>154.665237320778</v>
          </cell>
        </row>
        <row r="239">
          <cell r="B239" t="str">
            <v>THA</v>
          </cell>
          <cell r="BG239">
            <v>2538.7957126275901</v>
          </cell>
        </row>
        <row r="240">
          <cell r="B240" t="str">
            <v>TJK</v>
          </cell>
          <cell r="BG240">
            <v>1499.4859943767201</v>
          </cell>
        </row>
        <row r="241">
          <cell r="B241" t="str">
            <v>TKM</v>
          </cell>
          <cell r="BG241">
            <v>2678.7654738358001</v>
          </cell>
        </row>
        <row r="242">
          <cell r="B242" t="str">
            <v>TLA</v>
          </cell>
          <cell r="BG242">
            <v>2170.5723854882999</v>
          </cell>
        </row>
        <row r="243">
          <cell r="B243" t="str">
            <v>TLS</v>
          </cell>
        </row>
        <row r="244">
          <cell r="B244" t="str">
            <v>TMN</v>
          </cell>
          <cell r="BG244">
            <v>1702.8785467031601</v>
          </cell>
        </row>
        <row r="245">
          <cell r="B245" t="str">
            <v>TON</v>
          </cell>
        </row>
        <row r="246">
          <cell r="B246" t="str">
            <v>TSA</v>
          </cell>
          <cell r="BG246">
            <v>705.32216588652796</v>
          </cell>
        </row>
        <row r="247">
          <cell r="B247" t="str">
            <v>TSS</v>
          </cell>
          <cell r="BG247">
            <v>487.328240398704</v>
          </cell>
        </row>
        <row r="248">
          <cell r="B248" t="str">
            <v>TTO</v>
          </cell>
          <cell r="BG248">
            <v>7092.9586438597798</v>
          </cell>
        </row>
        <row r="249">
          <cell r="B249" t="str">
            <v>TUN</v>
          </cell>
          <cell r="BG249">
            <v>1454.6430755310701</v>
          </cell>
        </row>
        <row r="250">
          <cell r="B250" t="str">
            <v>TUR</v>
          </cell>
          <cell r="BG250">
            <v>2847.2238929332302</v>
          </cell>
        </row>
        <row r="251">
          <cell r="B251" t="str">
            <v>TUV</v>
          </cell>
        </row>
        <row r="252">
          <cell r="B252" t="str">
            <v>TZA</v>
          </cell>
          <cell r="BG252">
            <v>103.681777965553</v>
          </cell>
        </row>
        <row r="253">
          <cell r="B253" t="str">
            <v>UGA</v>
          </cell>
        </row>
        <row r="254">
          <cell r="B254" t="str">
            <v>UKR</v>
          </cell>
          <cell r="BG254">
            <v>3418.5693170559298</v>
          </cell>
        </row>
        <row r="255">
          <cell r="B255" t="str">
            <v>UMC</v>
          </cell>
          <cell r="BG255">
            <v>3579.4451735368698</v>
          </cell>
        </row>
        <row r="256">
          <cell r="B256" t="str">
            <v>URY</v>
          </cell>
          <cell r="BG256">
            <v>3085.1898828357198</v>
          </cell>
        </row>
        <row r="257">
          <cell r="B257" t="str">
            <v>USA</v>
          </cell>
          <cell r="BG257">
            <v>12993.9655794706</v>
          </cell>
        </row>
        <row r="258">
          <cell r="B258" t="str">
            <v>UZB</v>
          </cell>
          <cell r="BG258">
            <v>1645.44162925056</v>
          </cell>
        </row>
        <row r="259">
          <cell r="B259" t="str">
            <v>VCT</v>
          </cell>
        </row>
        <row r="260">
          <cell r="B260" t="str">
            <v>VEN</v>
          </cell>
          <cell r="BG260">
            <v>2719.1383489243899</v>
          </cell>
        </row>
        <row r="261">
          <cell r="B261" t="str">
            <v>VGB</v>
          </cell>
        </row>
        <row r="262">
          <cell r="B262" t="str">
            <v>VIR</v>
          </cell>
        </row>
        <row r="263">
          <cell r="B263" t="str">
            <v>VNM</v>
          </cell>
          <cell r="BG263">
            <v>1423.69991010082</v>
          </cell>
        </row>
        <row r="264">
          <cell r="B264" t="str">
            <v>VUT</v>
          </cell>
        </row>
        <row r="265">
          <cell r="B265" t="str">
            <v>WLD</v>
          </cell>
          <cell r="BG265">
            <v>3128.2987119480399</v>
          </cell>
        </row>
        <row r="266">
          <cell r="B266" t="str">
            <v>WSM</v>
          </cell>
        </row>
        <row r="267">
          <cell r="B267" t="str">
            <v>XKX</v>
          </cell>
          <cell r="BG267">
            <v>2818.33723068165</v>
          </cell>
        </row>
        <row r="268">
          <cell r="B268" t="str">
            <v>YEM</v>
          </cell>
          <cell r="BG268">
            <v>219.79989690006201</v>
          </cell>
        </row>
        <row r="269">
          <cell r="B269" t="str">
            <v>ZAF</v>
          </cell>
          <cell r="BG269">
            <v>4198.0461198209496</v>
          </cell>
        </row>
        <row r="270">
          <cell r="B270" t="str">
            <v>ZMB</v>
          </cell>
          <cell r="BG270">
            <v>717.34730460338005</v>
          </cell>
        </row>
        <row r="271">
          <cell r="B271" t="str">
            <v>ZWE</v>
          </cell>
          <cell r="BG271">
            <v>609.12465195768505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EN.POP.DNST_DS2_en_csv_v2_4"/>
    </sheetNames>
    <sheetDataSet>
      <sheetData sheetId="0" refreshError="1">
        <row r="6">
          <cell r="B6" t="str">
            <v>ABW</v>
          </cell>
          <cell r="BM6">
            <v>593.14444444444405</v>
          </cell>
        </row>
        <row r="7">
          <cell r="B7" t="str">
            <v>AFE</v>
          </cell>
          <cell r="BM7">
            <v>45.620591672542197</v>
          </cell>
        </row>
        <row r="8">
          <cell r="B8" t="str">
            <v>AFG</v>
          </cell>
          <cell r="BM8">
            <v>59.684989957530298</v>
          </cell>
        </row>
        <row r="9">
          <cell r="B9" t="str">
            <v>AFW</v>
          </cell>
          <cell r="BM9">
            <v>50.720206664483001</v>
          </cell>
        </row>
        <row r="10">
          <cell r="B10" t="str">
            <v>AGO</v>
          </cell>
          <cell r="BM10">
            <v>26.362611694874499</v>
          </cell>
        </row>
        <row r="11">
          <cell r="B11" t="str">
            <v>ALB</v>
          </cell>
          <cell r="BM11">
            <v>103.571131386861</v>
          </cell>
        </row>
        <row r="12">
          <cell r="B12" t="str">
            <v>AND</v>
          </cell>
          <cell r="BM12">
            <v>164.39361702127701</v>
          </cell>
        </row>
        <row r="13">
          <cell r="B13" t="str">
            <v>ARB</v>
          </cell>
          <cell r="BM13">
            <v>33.287210177222299</v>
          </cell>
        </row>
        <row r="14">
          <cell r="B14" t="str">
            <v>ARE</v>
          </cell>
          <cell r="BM14">
            <v>139.262179667699</v>
          </cell>
        </row>
        <row r="15">
          <cell r="B15" t="str">
            <v>ARG</v>
          </cell>
          <cell r="BM15">
            <v>16.580892611147</v>
          </cell>
        </row>
        <row r="16">
          <cell r="B16" t="str">
            <v>ARM</v>
          </cell>
          <cell r="BM16">
            <v>104.08268352651901</v>
          </cell>
        </row>
        <row r="17">
          <cell r="B17" t="str">
            <v>ASM</v>
          </cell>
          <cell r="BM17">
            <v>275.98500000000001</v>
          </cell>
        </row>
        <row r="18">
          <cell r="B18" t="str">
            <v>ATG</v>
          </cell>
          <cell r="BM18">
            <v>222.56363636363599</v>
          </cell>
        </row>
        <row r="19">
          <cell r="B19" t="str">
            <v>AUS</v>
          </cell>
          <cell r="BM19">
            <v>3.34024963533636</v>
          </cell>
        </row>
        <row r="20">
          <cell r="B20" t="str">
            <v>AUT</v>
          </cell>
          <cell r="BM20">
            <v>108.05700436257899</v>
          </cell>
        </row>
        <row r="21">
          <cell r="B21" t="str">
            <v>AZE</v>
          </cell>
          <cell r="BM21">
            <v>122.124736829369</v>
          </cell>
        </row>
        <row r="22">
          <cell r="B22" t="str">
            <v>BDI</v>
          </cell>
          <cell r="BM22">
            <v>463.03664330218101</v>
          </cell>
        </row>
        <row r="23">
          <cell r="B23" t="str">
            <v>BEL</v>
          </cell>
          <cell r="BM23">
            <v>381.24970277410802</v>
          </cell>
        </row>
        <row r="24">
          <cell r="B24" t="str">
            <v>BEN</v>
          </cell>
          <cell r="BM24">
            <v>107.51328485278501</v>
          </cell>
        </row>
        <row r="25">
          <cell r="B25" t="str">
            <v>BFA</v>
          </cell>
          <cell r="BM25">
            <v>76.400869883040897</v>
          </cell>
        </row>
        <row r="26">
          <cell r="B26" t="str">
            <v>BGD</v>
          </cell>
          <cell r="BM26">
            <v>1265.18693247292</v>
          </cell>
        </row>
        <row r="27">
          <cell r="B27" t="str">
            <v>BGR</v>
          </cell>
          <cell r="BM27">
            <v>63.8726510685335</v>
          </cell>
        </row>
        <row r="28">
          <cell r="B28" t="str">
            <v>BHR</v>
          </cell>
          <cell r="BM28">
            <v>2167.6216560509602</v>
          </cell>
        </row>
        <row r="29">
          <cell r="B29" t="str">
            <v>BHS</v>
          </cell>
          <cell r="BM29">
            <v>39.285514485514497</v>
          </cell>
        </row>
        <row r="30">
          <cell r="B30" t="str">
            <v>BIH</v>
          </cell>
          <cell r="BM30">
            <v>64.078417968750003</v>
          </cell>
        </row>
        <row r="31">
          <cell r="B31" t="str">
            <v>BLR</v>
          </cell>
          <cell r="BM31">
            <v>46.211212927382</v>
          </cell>
        </row>
        <row r="32">
          <cell r="B32" t="str">
            <v>BLZ</v>
          </cell>
          <cell r="BM32">
            <v>17.4318719859711</v>
          </cell>
        </row>
        <row r="33">
          <cell r="B33" t="str">
            <v>BMU</v>
          </cell>
          <cell r="BM33">
            <v>1183.2037037037001</v>
          </cell>
        </row>
        <row r="34">
          <cell r="B34" t="str">
            <v>BOL</v>
          </cell>
          <cell r="BM34">
            <v>10.7754352441614</v>
          </cell>
        </row>
        <row r="35">
          <cell r="B35" t="str">
            <v>BRA</v>
          </cell>
          <cell r="BM35">
            <v>25.431424814611901</v>
          </cell>
        </row>
        <row r="36">
          <cell r="B36" t="str">
            <v>BRB</v>
          </cell>
          <cell r="BM36">
            <v>668.30465116279095</v>
          </cell>
        </row>
        <row r="37">
          <cell r="B37" t="str">
            <v>BRN</v>
          </cell>
          <cell r="BM37">
            <v>83.013851992409897</v>
          </cell>
        </row>
        <row r="38">
          <cell r="B38" t="str">
            <v>BTN</v>
          </cell>
          <cell r="BM38">
            <v>20.231043523859501</v>
          </cell>
        </row>
        <row r="39">
          <cell r="B39" t="str">
            <v>BWA</v>
          </cell>
          <cell r="BM39">
            <v>4.1494627071092101</v>
          </cell>
        </row>
        <row r="40">
          <cell r="B40" t="str">
            <v>CAF</v>
          </cell>
          <cell r="BM40">
            <v>7.7526790587177796</v>
          </cell>
        </row>
        <row r="41">
          <cell r="B41" t="str">
            <v>CAN</v>
          </cell>
          <cell r="BM41">
            <v>4.2425767852422398</v>
          </cell>
        </row>
        <row r="42">
          <cell r="B42" t="str">
            <v>CEB</v>
          </cell>
          <cell r="BM42">
            <v>92.463253534986507</v>
          </cell>
        </row>
        <row r="43">
          <cell r="B43" t="str">
            <v>CHE</v>
          </cell>
          <cell r="BM43">
            <v>218.55841793823899</v>
          </cell>
        </row>
        <row r="44">
          <cell r="B44" t="str">
            <v>CHI</v>
          </cell>
        </row>
        <row r="45">
          <cell r="B45" t="str">
            <v>CHL</v>
          </cell>
          <cell r="BM45">
            <v>25.710001721512999</v>
          </cell>
        </row>
        <row r="46">
          <cell r="B46" t="str">
            <v>CHN</v>
          </cell>
          <cell r="BM46">
            <v>149.72355255888201</v>
          </cell>
        </row>
        <row r="47">
          <cell r="B47" t="str">
            <v>CIV</v>
          </cell>
          <cell r="BM47">
            <v>82.950550314465403</v>
          </cell>
        </row>
        <row r="48">
          <cell r="B48" t="str">
            <v>CMR</v>
          </cell>
          <cell r="BM48">
            <v>56.156764189460802</v>
          </cell>
        </row>
        <row r="49">
          <cell r="B49" t="str">
            <v>COD</v>
          </cell>
          <cell r="BM49">
            <v>39.5057030061093</v>
          </cell>
        </row>
        <row r="50">
          <cell r="B50" t="str">
            <v>COG</v>
          </cell>
          <cell r="BM50">
            <v>16.1583953147877</v>
          </cell>
        </row>
        <row r="51">
          <cell r="B51" t="str">
            <v>COL</v>
          </cell>
          <cell r="BM51">
            <v>45.861094186570497</v>
          </cell>
        </row>
        <row r="52">
          <cell r="B52" t="str">
            <v>COM</v>
          </cell>
          <cell r="BM52">
            <v>467.27297152068797</v>
          </cell>
        </row>
        <row r="53">
          <cell r="B53" t="str">
            <v>CPV</v>
          </cell>
          <cell r="BM53">
            <v>137.962282878412</v>
          </cell>
        </row>
        <row r="54">
          <cell r="B54" t="str">
            <v>CRI</v>
          </cell>
          <cell r="BM54">
            <v>99.767215041128097</v>
          </cell>
        </row>
        <row r="55">
          <cell r="B55" t="str">
            <v>CSS</v>
          </cell>
          <cell r="BM55">
            <v>18.382835618130201</v>
          </cell>
        </row>
        <row r="56">
          <cell r="B56" t="str">
            <v>CUB</v>
          </cell>
          <cell r="BM56">
            <v>109.11961464354501</v>
          </cell>
        </row>
        <row r="57">
          <cell r="B57" t="str">
            <v>CUW</v>
          </cell>
          <cell r="BM57">
            <v>348.97972972973002</v>
          </cell>
        </row>
        <row r="58">
          <cell r="B58" t="str">
            <v>CYM</v>
          </cell>
          <cell r="BM58">
            <v>273.83333333333297</v>
          </cell>
        </row>
        <row r="59">
          <cell r="B59" t="str">
            <v>CYP</v>
          </cell>
          <cell r="BM59">
            <v>130.66677489177499</v>
          </cell>
        </row>
        <row r="60">
          <cell r="B60" t="str">
            <v>CZE</v>
          </cell>
          <cell r="BM60">
            <v>138.575928842168</v>
          </cell>
        </row>
        <row r="61">
          <cell r="B61" t="str">
            <v>DEU</v>
          </cell>
          <cell r="BM61">
            <v>238.01731875554501</v>
          </cell>
        </row>
        <row r="62">
          <cell r="B62" t="str">
            <v>DJI</v>
          </cell>
          <cell r="BM62">
            <v>42.623037100949098</v>
          </cell>
        </row>
        <row r="63">
          <cell r="B63" t="str">
            <v>DMA</v>
          </cell>
          <cell r="BM63">
            <v>95.988</v>
          </cell>
        </row>
        <row r="64">
          <cell r="B64" t="str">
            <v>DNK</v>
          </cell>
          <cell r="BM64">
            <v>145.7851</v>
          </cell>
        </row>
        <row r="65">
          <cell r="B65" t="str">
            <v>DOM</v>
          </cell>
          <cell r="BM65">
            <v>224.547795487477</v>
          </cell>
        </row>
        <row r="66">
          <cell r="B66" t="str">
            <v>DZA</v>
          </cell>
          <cell r="BM66">
            <v>18.411339856012901</v>
          </cell>
        </row>
        <row r="67">
          <cell r="B67" t="str">
            <v>EAP</v>
          </cell>
          <cell r="BM67">
            <v>131.93405986511701</v>
          </cell>
        </row>
        <row r="68">
          <cell r="B68" t="str">
            <v>EAR</v>
          </cell>
          <cell r="BM68">
            <v>100.031168241936</v>
          </cell>
        </row>
        <row r="69">
          <cell r="B69" t="str">
            <v>EAS</v>
          </cell>
          <cell r="BM69">
            <v>96.365232723738799</v>
          </cell>
        </row>
        <row r="70">
          <cell r="B70" t="str">
            <v>ECA</v>
          </cell>
          <cell r="BM70">
            <v>17.899914953791999</v>
          </cell>
        </row>
        <row r="71">
          <cell r="B71" t="str">
            <v>ECS</v>
          </cell>
          <cell r="BM71">
            <v>33.631558207268</v>
          </cell>
        </row>
        <row r="72">
          <cell r="B72" t="str">
            <v>ECU</v>
          </cell>
          <cell r="BM72">
            <v>71.038250926075094</v>
          </cell>
        </row>
        <row r="73">
          <cell r="B73" t="str">
            <v>EGY</v>
          </cell>
          <cell r="BM73">
            <v>102.80215279521801</v>
          </cell>
        </row>
        <row r="74">
          <cell r="B74" t="str">
            <v>EMU</v>
          </cell>
          <cell r="BM74">
            <v>127.877344310372</v>
          </cell>
        </row>
        <row r="75">
          <cell r="B75" t="str">
            <v>ERI</v>
          </cell>
          <cell r="BM75">
            <v>29.299427551012599</v>
          </cell>
        </row>
        <row r="76">
          <cell r="B76" t="str">
            <v>ESP</v>
          </cell>
          <cell r="BM76">
            <v>94.810907780037596</v>
          </cell>
        </row>
        <row r="77">
          <cell r="B77" t="str">
            <v>EST</v>
          </cell>
          <cell r="BM77">
            <v>31.098923976608202</v>
          </cell>
        </row>
        <row r="78">
          <cell r="B78" t="str">
            <v>ETH</v>
          </cell>
          <cell r="BM78">
            <v>101.86648071355999</v>
          </cell>
        </row>
        <row r="79">
          <cell r="B79" t="str">
            <v>EUU</v>
          </cell>
          <cell r="BM79">
            <v>111.96926929409901</v>
          </cell>
        </row>
        <row r="80">
          <cell r="B80" t="str">
            <v>FCS</v>
          </cell>
          <cell r="BM80">
            <v>46.984920819013396</v>
          </cell>
        </row>
        <row r="81">
          <cell r="B81" t="str">
            <v>FIN</v>
          </cell>
          <cell r="BM81">
            <v>18.1928768835954</v>
          </cell>
        </row>
        <row r="82">
          <cell r="B82" t="str">
            <v>FJI</v>
          </cell>
          <cell r="BM82">
            <v>49.0664477285167</v>
          </cell>
        </row>
        <row r="83">
          <cell r="B83" t="str">
            <v>FRA</v>
          </cell>
          <cell r="BM83">
            <v>123.055513855179</v>
          </cell>
        </row>
        <row r="84">
          <cell r="B84" t="str">
            <v>FRO</v>
          </cell>
          <cell r="BM84">
            <v>35.772327964860899</v>
          </cell>
        </row>
        <row r="85">
          <cell r="B85" t="str">
            <v>FSM</v>
          </cell>
          <cell r="BM85">
            <v>164.31571428571399</v>
          </cell>
        </row>
        <row r="86">
          <cell r="B86" t="str">
            <v>GAB</v>
          </cell>
          <cell r="BM86">
            <v>8.6379011914464208</v>
          </cell>
        </row>
        <row r="87">
          <cell r="B87" t="str">
            <v>GBR</v>
          </cell>
          <cell r="BM87">
            <v>277.274418220146</v>
          </cell>
        </row>
        <row r="88">
          <cell r="B88" t="str">
            <v>GEO</v>
          </cell>
          <cell r="BM88">
            <v>65.130270478323197</v>
          </cell>
        </row>
        <row r="89">
          <cell r="B89" t="str">
            <v>GHA</v>
          </cell>
          <cell r="BM89">
            <v>136.564564261008</v>
          </cell>
        </row>
        <row r="90">
          <cell r="B90" t="str">
            <v>GIB</v>
          </cell>
          <cell r="BM90">
            <v>3369.1</v>
          </cell>
        </row>
        <row r="91">
          <cell r="B91" t="str">
            <v>GIN</v>
          </cell>
          <cell r="BM91">
            <v>53.446166368223999</v>
          </cell>
        </row>
        <row r="92">
          <cell r="B92" t="str">
            <v>GMB</v>
          </cell>
          <cell r="BM92">
            <v>238.80079051383399</v>
          </cell>
        </row>
        <row r="93">
          <cell r="B93" t="str">
            <v>GNB</v>
          </cell>
          <cell r="BM93">
            <v>69.985704125177804</v>
          </cell>
        </row>
        <row r="94">
          <cell r="B94" t="str">
            <v>GNQ</v>
          </cell>
          <cell r="BM94">
            <v>50.017290552584697</v>
          </cell>
        </row>
        <row r="95">
          <cell r="B95" t="str">
            <v>GRC</v>
          </cell>
          <cell r="BM95">
            <v>83.014398758727694</v>
          </cell>
        </row>
        <row r="96">
          <cell r="B96" t="str">
            <v>GRD</v>
          </cell>
          <cell r="BM96">
            <v>330.93823529411799</v>
          </cell>
        </row>
        <row r="97">
          <cell r="B97" t="str">
            <v>GRL</v>
          </cell>
          <cell r="BM97">
            <v>0.13732976001949099</v>
          </cell>
        </row>
        <row r="98">
          <cell r="B98" t="str">
            <v>GTM</v>
          </cell>
          <cell r="BM98">
            <v>157.31927025009301</v>
          </cell>
        </row>
        <row r="99">
          <cell r="B99" t="str">
            <v>GUM</v>
          </cell>
          <cell r="BM99">
            <v>312.56111111111102</v>
          </cell>
        </row>
        <row r="100">
          <cell r="B100" t="str">
            <v>GUY</v>
          </cell>
          <cell r="BM100">
            <v>3.9957277114554199</v>
          </cell>
        </row>
        <row r="101">
          <cell r="B101" t="str">
            <v>HIC</v>
          </cell>
          <cell r="BM101">
            <v>35.200759401527598</v>
          </cell>
        </row>
        <row r="102">
          <cell r="B102" t="str">
            <v>HKG</v>
          </cell>
          <cell r="BM102">
            <v>7124.7619047619</v>
          </cell>
        </row>
        <row r="103">
          <cell r="B103" t="str">
            <v>HND</v>
          </cell>
          <cell r="BM103">
            <v>88.520940209133997</v>
          </cell>
        </row>
        <row r="104">
          <cell r="B104" t="str">
            <v>HPC</v>
          </cell>
          <cell r="BM104">
            <v>42.458879576524197</v>
          </cell>
        </row>
        <row r="105">
          <cell r="B105" t="str">
            <v>HRV</v>
          </cell>
          <cell r="BM105">
            <v>72.331665475339506</v>
          </cell>
        </row>
        <row r="106">
          <cell r="B106" t="str">
            <v>HTI</v>
          </cell>
          <cell r="BM106">
            <v>413.73486937590701</v>
          </cell>
        </row>
        <row r="107">
          <cell r="B107" t="str">
            <v>HUN</v>
          </cell>
          <cell r="BM107">
            <v>106.83923953539301</v>
          </cell>
        </row>
        <row r="108">
          <cell r="B108" t="str">
            <v>IBD</v>
          </cell>
          <cell r="BM108">
            <v>68.419860215225597</v>
          </cell>
        </row>
        <row r="109">
          <cell r="B109" t="str">
            <v>IBT</v>
          </cell>
          <cell r="BM109">
            <v>68.381051392910805</v>
          </cell>
        </row>
        <row r="110">
          <cell r="B110" t="str">
            <v>IDA</v>
          </cell>
          <cell r="BM110">
            <v>68.270847662891001</v>
          </cell>
        </row>
        <row r="111">
          <cell r="B111" t="str">
            <v>IDB</v>
          </cell>
          <cell r="BM111">
            <v>130.94843749287301</v>
          </cell>
        </row>
        <row r="112">
          <cell r="B112" t="str">
            <v>IDN</v>
          </cell>
          <cell r="BM112">
            <v>145.68354354869399</v>
          </cell>
        </row>
        <row r="113">
          <cell r="B113" t="str">
            <v>IDX</v>
          </cell>
          <cell r="BM113">
            <v>54.957512166251199</v>
          </cell>
        </row>
        <row r="114">
          <cell r="B114" t="str">
            <v>IMN</v>
          </cell>
          <cell r="BM114">
            <v>149.17894736842101</v>
          </cell>
        </row>
        <row r="115">
          <cell r="B115" t="str">
            <v>IND</v>
          </cell>
          <cell r="BM115">
            <v>464.14941022941701</v>
          </cell>
        </row>
        <row r="116">
          <cell r="B116" t="str">
            <v>INX</v>
          </cell>
        </row>
        <row r="117">
          <cell r="B117" t="str">
            <v>IRL</v>
          </cell>
          <cell r="BM117">
            <v>72.371519814196503</v>
          </cell>
        </row>
        <row r="118">
          <cell r="B118" t="str">
            <v>IRN</v>
          </cell>
          <cell r="BM118">
            <v>51.767613559322001</v>
          </cell>
        </row>
        <row r="119">
          <cell r="B119" t="str">
            <v>IRQ</v>
          </cell>
          <cell r="BM119">
            <v>92.651252625953603</v>
          </cell>
        </row>
        <row r="120">
          <cell r="B120" t="str">
            <v>ISL</v>
          </cell>
          <cell r="BM120">
            <v>3.6344639492214599</v>
          </cell>
        </row>
        <row r="121">
          <cell r="B121" t="str">
            <v>ISR</v>
          </cell>
          <cell r="BM121">
            <v>425.836414048059</v>
          </cell>
        </row>
        <row r="122">
          <cell r="B122" t="str">
            <v>ITA</v>
          </cell>
          <cell r="BM122">
            <v>201.03520257543499</v>
          </cell>
        </row>
        <row r="123">
          <cell r="B123" t="str">
            <v>JAM</v>
          </cell>
          <cell r="BM123">
            <v>273.42206832871699</v>
          </cell>
        </row>
        <row r="124">
          <cell r="B124" t="str">
            <v>JOR</v>
          </cell>
          <cell r="BM124">
            <v>114.90798927855499</v>
          </cell>
        </row>
        <row r="125">
          <cell r="B125" t="str">
            <v>JPN</v>
          </cell>
          <cell r="BM125">
            <v>346.39506172839498</v>
          </cell>
        </row>
        <row r="126">
          <cell r="B126" t="str">
            <v>KAZ</v>
          </cell>
          <cell r="BM126">
            <v>6.9473148868392798</v>
          </cell>
        </row>
        <row r="127">
          <cell r="B127" t="str">
            <v>KEN</v>
          </cell>
          <cell r="BM127">
            <v>94.478160030923803</v>
          </cell>
        </row>
        <row r="128">
          <cell r="B128" t="str">
            <v>KGZ</v>
          </cell>
          <cell r="BM128">
            <v>34.306047966631901</v>
          </cell>
        </row>
        <row r="129">
          <cell r="B129" t="str">
            <v>KHM</v>
          </cell>
          <cell r="BM129">
            <v>94.714315658282302</v>
          </cell>
        </row>
        <row r="130">
          <cell r="B130" t="str">
            <v>KIR</v>
          </cell>
          <cell r="BM130">
            <v>147.464197530864</v>
          </cell>
        </row>
        <row r="131">
          <cell r="B131" t="str">
            <v>KNA</v>
          </cell>
          <cell r="BM131">
            <v>204.58461538461501</v>
          </cell>
        </row>
        <row r="132">
          <cell r="B132" t="str">
            <v>KOR</v>
          </cell>
          <cell r="BM132">
            <v>531.10900614754098</v>
          </cell>
        </row>
        <row r="133">
          <cell r="B133" t="str">
            <v>KWT</v>
          </cell>
          <cell r="BM133">
            <v>239.65</v>
          </cell>
        </row>
        <row r="134">
          <cell r="B134" t="str">
            <v>LAC</v>
          </cell>
          <cell r="BM134">
            <v>32.581974740663398</v>
          </cell>
        </row>
        <row r="135">
          <cell r="B135" t="str">
            <v>LAO</v>
          </cell>
          <cell r="BM135">
            <v>31.5232062391681</v>
          </cell>
        </row>
        <row r="136">
          <cell r="B136" t="str">
            <v>LBN</v>
          </cell>
          <cell r="BM136">
            <v>667.19863147605099</v>
          </cell>
        </row>
        <row r="137">
          <cell r="B137" t="str">
            <v>LBR</v>
          </cell>
          <cell r="BM137">
            <v>52.509105066445201</v>
          </cell>
        </row>
        <row r="138">
          <cell r="B138" t="str">
            <v>LBY</v>
          </cell>
          <cell r="BM138">
            <v>3.9051610079907202</v>
          </cell>
        </row>
        <row r="139">
          <cell r="B139" t="str">
            <v>LCA</v>
          </cell>
          <cell r="BM139">
            <v>301.03114754098402</v>
          </cell>
        </row>
        <row r="140">
          <cell r="B140" t="str">
            <v>LCN</v>
          </cell>
          <cell r="BM140">
            <v>32.554813668160797</v>
          </cell>
        </row>
        <row r="141">
          <cell r="B141" t="str">
            <v>LDC</v>
          </cell>
          <cell r="BM141">
            <v>51.824890450928002</v>
          </cell>
        </row>
        <row r="142">
          <cell r="B142" t="str">
            <v>LIC</v>
          </cell>
          <cell r="BM142">
            <v>43.441914887983103</v>
          </cell>
        </row>
        <row r="143">
          <cell r="B143" t="str">
            <v>LIE</v>
          </cell>
          <cell r="BM143">
            <v>238.35624999999999</v>
          </cell>
        </row>
        <row r="144">
          <cell r="B144" t="str">
            <v>LKA</v>
          </cell>
          <cell r="BM144">
            <v>354.33236340122897</v>
          </cell>
        </row>
        <row r="145">
          <cell r="B145" t="str">
            <v>LMC</v>
          </cell>
          <cell r="BM145">
            <v>133.59674531817299</v>
          </cell>
        </row>
        <row r="146">
          <cell r="B146" t="str">
            <v>LMY</v>
          </cell>
          <cell r="BM146">
            <v>69.202839243128096</v>
          </cell>
        </row>
        <row r="147">
          <cell r="B147" t="str">
            <v>LSO</v>
          </cell>
          <cell r="BM147">
            <v>70.561660079051407</v>
          </cell>
        </row>
        <row r="148">
          <cell r="B148" t="str">
            <v>LTE</v>
          </cell>
          <cell r="BM148">
            <v>51.991170025419599</v>
          </cell>
        </row>
        <row r="149">
          <cell r="B149" t="str">
            <v>LTU</v>
          </cell>
          <cell r="BM149">
            <v>44.632465665921401</v>
          </cell>
        </row>
        <row r="150">
          <cell r="B150" t="str">
            <v>LUX</v>
          </cell>
          <cell r="BM150">
            <v>244.87426489438599</v>
          </cell>
        </row>
        <row r="151">
          <cell r="B151" t="str">
            <v>LVA</v>
          </cell>
          <cell r="BM151">
            <v>30.5391129680219</v>
          </cell>
        </row>
        <row r="152">
          <cell r="B152" t="str">
            <v>MAC</v>
          </cell>
          <cell r="BM152">
            <v>19736.838905775101</v>
          </cell>
        </row>
        <row r="153">
          <cell r="B153" t="str">
            <v>MAF</v>
          </cell>
          <cell r="BM153">
            <v>773.18</v>
          </cell>
        </row>
        <row r="154">
          <cell r="B154" t="str">
            <v>MAR</v>
          </cell>
          <cell r="BM154">
            <v>82.703468518933406</v>
          </cell>
        </row>
        <row r="155">
          <cell r="B155" t="str">
            <v>MCO</v>
          </cell>
          <cell r="BM155">
            <v>19360.631475086298</v>
          </cell>
        </row>
        <row r="156">
          <cell r="B156" t="str">
            <v>MDA</v>
          </cell>
          <cell r="BM156">
            <v>91.237779232354796</v>
          </cell>
        </row>
        <row r="157">
          <cell r="B157" t="str">
            <v>MDG</v>
          </cell>
          <cell r="BM157">
            <v>47.595426263320697</v>
          </cell>
        </row>
        <row r="158">
          <cell r="B158" t="str">
            <v>MDV</v>
          </cell>
          <cell r="BM158">
            <v>1801.80666666667</v>
          </cell>
        </row>
        <row r="159">
          <cell r="B159" t="str">
            <v>MEA</v>
          </cell>
          <cell r="BM159">
            <v>41.413737836882703</v>
          </cell>
        </row>
        <row r="160">
          <cell r="B160" t="str">
            <v>MEX</v>
          </cell>
          <cell r="BM160">
            <v>66.325138506648798</v>
          </cell>
        </row>
        <row r="161">
          <cell r="B161" t="str">
            <v>MHL</v>
          </cell>
          <cell r="BM161">
            <v>328.85555555555601</v>
          </cell>
        </row>
        <row r="162">
          <cell r="B162" t="str">
            <v>MIC</v>
          </cell>
          <cell r="BM162">
            <v>74.391606050653394</v>
          </cell>
        </row>
        <row r="163">
          <cell r="B163" t="str">
            <v>MKD</v>
          </cell>
          <cell r="BM163">
            <v>82.178072957969903</v>
          </cell>
        </row>
        <row r="164">
          <cell r="B164" t="str">
            <v>MLI</v>
          </cell>
          <cell r="BM164">
            <v>16.5964595677722</v>
          </cell>
        </row>
        <row r="165">
          <cell r="B165" t="str">
            <v>MLT</v>
          </cell>
          <cell r="BM165">
            <v>1610.4124999999999</v>
          </cell>
        </row>
        <row r="166">
          <cell r="B166" t="str">
            <v>MMR</v>
          </cell>
          <cell r="BM166">
            <v>83.364937870593096</v>
          </cell>
        </row>
        <row r="167">
          <cell r="B167" t="str">
            <v>MNA</v>
          </cell>
          <cell r="BM167">
            <v>45.877828120326001</v>
          </cell>
        </row>
        <row r="168">
          <cell r="B168" t="str">
            <v>MNE</v>
          </cell>
          <cell r="BM168">
            <v>46.193754646840098</v>
          </cell>
        </row>
        <row r="169">
          <cell r="B169" t="str">
            <v>MNG</v>
          </cell>
          <cell r="BM169">
            <v>2.1048331819068098</v>
          </cell>
        </row>
        <row r="170">
          <cell r="B170" t="str">
            <v>MNP</v>
          </cell>
          <cell r="BM170">
            <v>125.123913043478</v>
          </cell>
        </row>
        <row r="171">
          <cell r="B171" t="str">
            <v>MOZ</v>
          </cell>
          <cell r="BM171">
            <v>39.745968870012</v>
          </cell>
        </row>
        <row r="172">
          <cell r="B172" t="str">
            <v>MRT</v>
          </cell>
          <cell r="BM172">
            <v>4.5111671679441203</v>
          </cell>
        </row>
        <row r="173">
          <cell r="B173" t="str">
            <v>MUS</v>
          </cell>
          <cell r="BM173">
            <v>623.51724137931001</v>
          </cell>
        </row>
        <row r="174">
          <cell r="B174" t="str">
            <v>MWI</v>
          </cell>
          <cell r="BM174">
            <v>202.905759439966</v>
          </cell>
        </row>
        <row r="175">
          <cell r="B175" t="str">
            <v>MYS</v>
          </cell>
          <cell r="BM175">
            <v>98.511635976259299</v>
          </cell>
        </row>
        <row r="176">
          <cell r="B176" t="str">
            <v>NAC</v>
          </cell>
          <cell r="BM176">
            <v>20.405281900400698</v>
          </cell>
        </row>
        <row r="177">
          <cell r="B177" t="str">
            <v>NAM</v>
          </cell>
          <cell r="BM177">
            <v>3.08629523011333</v>
          </cell>
        </row>
        <row r="178">
          <cell r="B178" t="str">
            <v>NCL</v>
          </cell>
          <cell r="BM178">
            <v>14.8774617067834</v>
          </cell>
        </row>
        <row r="179">
          <cell r="B179" t="str">
            <v>NER</v>
          </cell>
          <cell r="BM179">
            <v>19.109999210547102</v>
          </cell>
        </row>
        <row r="180">
          <cell r="B180" t="str">
            <v>NGA</v>
          </cell>
          <cell r="BM180">
            <v>226.335504024068</v>
          </cell>
        </row>
        <row r="181">
          <cell r="B181" t="str">
            <v>NIC</v>
          </cell>
          <cell r="BM181">
            <v>55.048645504404199</v>
          </cell>
        </row>
        <row r="182">
          <cell r="B182" t="str">
            <v>NLD</v>
          </cell>
          <cell r="BM182">
            <v>518.01306801306805</v>
          </cell>
        </row>
        <row r="183">
          <cell r="B183" t="str">
            <v>NOR</v>
          </cell>
          <cell r="BM183">
            <v>14.7672152298338</v>
          </cell>
        </row>
        <row r="184">
          <cell r="B184" t="str">
            <v>NPL</v>
          </cell>
          <cell r="BM184">
            <v>203.25642134635501</v>
          </cell>
        </row>
        <row r="185">
          <cell r="B185" t="str">
            <v>NRU</v>
          </cell>
          <cell r="BM185">
            <v>541.70000000000005</v>
          </cell>
        </row>
        <row r="186">
          <cell r="B186" t="str">
            <v>NZL</v>
          </cell>
          <cell r="BM186">
            <v>19.331586343093701</v>
          </cell>
        </row>
        <row r="187">
          <cell r="B187" t="str">
            <v>OED</v>
          </cell>
          <cell r="BM187">
            <v>38.666129220823002</v>
          </cell>
        </row>
        <row r="188">
          <cell r="B188" t="str">
            <v>OMN</v>
          </cell>
          <cell r="BM188">
            <v>16.499586429725401</v>
          </cell>
        </row>
        <row r="189">
          <cell r="B189" t="str">
            <v>OSS</v>
          </cell>
          <cell r="BM189">
            <v>15.716880967687</v>
          </cell>
        </row>
        <row r="190">
          <cell r="B190" t="str">
            <v>PAK</v>
          </cell>
          <cell r="BM190">
            <v>286.54567636986297</v>
          </cell>
        </row>
        <row r="191">
          <cell r="B191" t="str">
            <v>PAN</v>
          </cell>
          <cell r="BM191">
            <v>58.166190347802598</v>
          </cell>
        </row>
        <row r="192">
          <cell r="B192" t="str">
            <v>PER</v>
          </cell>
          <cell r="BM192">
            <v>25.7592546875</v>
          </cell>
        </row>
        <row r="193">
          <cell r="B193" t="str">
            <v>PHL</v>
          </cell>
          <cell r="BM193">
            <v>367.51210718717499</v>
          </cell>
        </row>
        <row r="194">
          <cell r="B194" t="str">
            <v>PLW</v>
          </cell>
          <cell r="BM194">
            <v>39.330434782608698</v>
          </cell>
        </row>
        <row r="195">
          <cell r="B195" t="str">
            <v>PNG</v>
          </cell>
          <cell r="BM195">
            <v>19.756717307777201</v>
          </cell>
        </row>
        <row r="196">
          <cell r="B196" t="str">
            <v>POL</v>
          </cell>
          <cell r="BM196">
            <v>123.800574919152</v>
          </cell>
        </row>
        <row r="197">
          <cell r="B197" t="str">
            <v>PRE</v>
          </cell>
          <cell r="BM197">
            <v>47.802007770773102</v>
          </cell>
        </row>
        <row r="198">
          <cell r="B198" t="str">
            <v>PRI</v>
          </cell>
          <cell r="BM198">
            <v>369.95918827508501</v>
          </cell>
        </row>
        <row r="199">
          <cell r="B199" t="str">
            <v>PRK</v>
          </cell>
          <cell r="BM199">
            <v>214.091977410514</v>
          </cell>
        </row>
        <row r="200">
          <cell r="B200" t="str">
            <v>PRT</v>
          </cell>
          <cell r="BM200">
            <v>112.406676011074</v>
          </cell>
        </row>
        <row r="201">
          <cell r="B201" t="str">
            <v>PRY</v>
          </cell>
          <cell r="BM201">
            <v>17.952504404731901</v>
          </cell>
        </row>
        <row r="202">
          <cell r="B202" t="str">
            <v>PSE</v>
          </cell>
          <cell r="BM202">
            <v>797.88521594684403</v>
          </cell>
        </row>
        <row r="203">
          <cell r="B203" t="str">
            <v>PSS</v>
          </cell>
          <cell r="BM203">
            <v>39.422572096648501</v>
          </cell>
        </row>
        <row r="204">
          <cell r="B204" t="str">
            <v>PST</v>
          </cell>
          <cell r="BM204">
            <v>35.644228934645703</v>
          </cell>
        </row>
        <row r="205">
          <cell r="B205" t="str">
            <v>PYF</v>
          </cell>
          <cell r="BM205">
            <v>80.928838951310894</v>
          </cell>
        </row>
        <row r="206">
          <cell r="B206" t="str">
            <v>QAT</v>
          </cell>
          <cell r="BM206">
            <v>250.74499564838999</v>
          </cell>
        </row>
        <row r="207">
          <cell r="B207" t="str">
            <v>ROU</v>
          </cell>
          <cell r="BM207">
            <v>83.699235048678702</v>
          </cell>
        </row>
        <row r="208">
          <cell r="B208" t="str">
            <v>RUS</v>
          </cell>
          <cell r="BM208">
            <v>8.7973549890791105</v>
          </cell>
        </row>
        <row r="209">
          <cell r="B209" t="str">
            <v>RWA</v>
          </cell>
          <cell r="BM209">
            <v>525.01860559383897</v>
          </cell>
        </row>
        <row r="210">
          <cell r="B210" t="str">
            <v>SAS</v>
          </cell>
          <cell r="BM210">
            <v>389.27372938206997</v>
          </cell>
        </row>
        <row r="211">
          <cell r="B211" t="str">
            <v>SAU</v>
          </cell>
          <cell r="BM211">
            <v>16.1948313477757</v>
          </cell>
        </row>
        <row r="212">
          <cell r="B212" t="str">
            <v>SDN</v>
          </cell>
          <cell r="BM212">
            <v>23.473912740899401</v>
          </cell>
        </row>
        <row r="213">
          <cell r="B213" t="str">
            <v>SEN</v>
          </cell>
          <cell r="BM213">
            <v>86.967901106321094</v>
          </cell>
        </row>
        <row r="214">
          <cell r="B214" t="str">
            <v>SGP</v>
          </cell>
          <cell r="BM214">
            <v>7918.9512534818896</v>
          </cell>
        </row>
        <row r="215">
          <cell r="B215" t="str">
            <v>SLB</v>
          </cell>
          <cell r="BM215">
            <v>24.540121471954301</v>
          </cell>
        </row>
        <row r="216">
          <cell r="B216" t="str">
            <v>SLE</v>
          </cell>
          <cell r="BM216">
            <v>110.515170407315</v>
          </cell>
        </row>
        <row r="217">
          <cell r="B217" t="str">
            <v>SLV</v>
          </cell>
          <cell r="BM217">
            <v>313.04058880308901</v>
          </cell>
        </row>
        <row r="218">
          <cell r="B218" t="str">
            <v>SMR</v>
          </cell>
          <cell r="BM218">
            <v>565.63333333333298</v>
          </cell>
        </row>
        <row r="219">
          <cell r="B219" t="str">
            <v>SOM</v>
          </cell>
          <cell r="BM219">
            <v>25.334298785347698</v>
          </cell>
        </row>
        <row r="220">
          <cell r="B220" t="str">
            <v>SRB</v>
          </cell>
          <cell r="BM220">
            <v>78.883215184084193</v>
          </cell>
        </row>
        <row r="221">
          <cell r="B221" t="str">
            <v>SSA</v>
          </cell>
          <cell r="BM221">
            <v>47.548245186084699</v>
          </cell>
        </row>
        <row r="222">
          <cell r="B222" t="str">
            <v>SSD</v>
          </cell>
          <cell r="BM222">
            <v>17.713558463753898</v>
          </cell>
        </row>
        <row r="223">
          <cell r="B223" t="str">
            <v>SSF</v>
          </cell>
          <cell r="BM223">
            <v>47.551451001677101</v>
          </cell>
        </row>
        <row r="224">
          <cell r="B224" t="str">
            <v>SST</v>
          </cell>
          <cell r="BM224">
            <v>16.756658292562602</v>
          </cell>
        </row>
        <row r="225">
          <cell r="B225" t="str">
            <v>STP</v>
          </cell>
          <cell r="BM225">
            <v>228.292708333333</v>
          </cell>
        </row>
        <row r="226">
          <cell r="B226" t="str">
            <v>SUR</v>
          </cell>
          <cell r="BM226">
            <v>3.7604743589743599</v>
          </cell>
        </row>
        <row r="227">
          <cell r="B227" t="str">
            <v>SVK</v>
          </cell>
          <cell r="BM227">
            <v>113.536335274542</v>
          </cell>
        </row>
        <row r="228">
          <cell r="B228" t="str">
            <v>SVN</v>
          </cell>
          <cell r="BM228">
            <v>104.408881428657</v>
          </cell>
        </row>
        <row r="229">
          <cell r="B229" t="str">
            <v>SWE</v>
          </cell>
          <cell r="BM229">
            <v>25.420723369684399</v>
          </cell>
        </row>
        <row r="230">
          <cell r="B230" t="str">
            <v>SWZ</v>
          </cell>
          <cell r="BM230">
            <v>67.451395348837195</v>
          </cell>
        </row>
        <row r="231">
          <cell r="B231" t="str">
            <v>SXM</v>
          </cell>
          <cell r="BM231">
            <v>1244.4117647058799</v>
          </cell>
        </row>
        <row r="232">
          <cell r="B232" t="str">
            <v>SYC</v>
          </cell>
          <cell r="BM232">
            <v>214.047826086957</v>
          </cell>
        </row>
        <row r="233">
          <cell r="B233" t="str">
            <v>SYR</v>
          </cell>
          <cell r="BM233">
            <v>95.3039100364864</v>
          </cell>
        </row>
        <row r="234">
          <cell r="B234" t="str">
            <v>TCA</v>
          </cell>
          <cell r="BM234">
            <v>40.755789473684203</v>
          </cell>
        </row>
        <row r="235">
          <cell r="B235" t="str">
            <v>TCD</v>
          </cell>
          <cell r="BM235">
            <v>13.044678367217299</v>
          </cell>
        </row>
        <row r="236">
          <cell r="B236" t="str">
            <v>TEA</v>
          </cell>
          <cell r="BM236">
            <v>131.31068845302701</v>
          </cell>
        </row>
        <row r="237">
          <cell r="B237" t="str">
            <v>TEC</v>
          </cell>
          <cell r="BM237">
            <v>20.101191060794399</v>
          </cell>
        </row>
        <row r="238">
          <cell r="B238" t="str">
            <v>TGO</v>
          </cell>
          <cell r="BM238">
            <v>152.210645339217</v>
          </cell>
        </row>
        <row r="239">
          <cell r="B239" t="str">
            <v>THA</v>
          </cell>
          <cell r="BM239">
            <v>136.62427919904499</v>
          </cell>
        </row>
        <row r="240">
          <cell r="B240" t="str">
            <v>TJK</v>
          </cell>
          <cell r="BM240">
            <v>68.719951005115604</v>
          </cell>
        </row>
        <row r="241">
          <cell r="B241" t="str">
            <v>TKM</v>
          </cell>
          <cell r="BM241">
            <v>12.8342242461643</v>
          </cell>
        </row>
        <row r="242">
          <cell r="B242" t="str">
            <v>TLA</v>
          </cell>
          <cell r="BM242">
            <v>31.962926404797699</v>
          </cell>
        </row>
        <row r="243">
          <cell r="B243" t="str">
            <v>TLS</v>
          </cell>
          <cell r="BM243">
            <v>88.664559515803603</v>
          </cell>
        </row>
        <row r="244">
          <cell r="B244" t="str">
            <v>TMN</v>
          </cell>
          <cell r="BM244">
            <v>45.353181308737</v>
          </cell>
        </row>
        <row r="245">
          <cell r="B245" t="str">
            <v>TON</v>
          </cell>
          <cell r="BM245">
            <v>146.80138888888899</v>
          </cell>
        </row>
        <row r="246">
          <cell r="B246" t="str">
            <v>TSA</v>
          </cell>
          <cell r="BM246">
            <v>389.27372938206997</v>
          </cell>
        </row>
        <row r="247">
          <cell r="B247" t="str">
            <v>TSS</v>
          </cell>
          <cell r="BM247">
            <v>47.551451001677101</v>
          </cell>
        </row>
        <row r="248">
          <cell r="B248" t="str">
            <v>TTO</v>
          </cell>
          <cell r="BM248">
            <v>272.80526315789501</v>
          </cell>
        </row>
        <row r="249">
          <cell r="B249" t="str">
            <v>TUN</v>
          </cell>
          <cell r="BM249">
            <v>76.072463954685901</v>
          </cell>
        </row>
        <row r="250">
          <cell r="B250" t="str">
            <v>TUR</v>
          </cell>
          <cell r="BM250">
            <v>109.583913049128</v>
          </cell>
        </row>
        <row r="251">
          <cell r="B251" t="str">
            <v>TUV</v>
          </cell>
          <cell r="BM251">
            <v>393.066666666667</v>
          </cell>
        </row>
        <row r="252">
          <cell r="B252" t="str">
            <v>TZA</v>
          </cell>
          <cell r="BM252">
            <v>67.435327387672203</v>
          </cell>
        </row>
        <row r="253">
          <cell r="B253" t="str">
            <v>UGA</v>
          </cell>
          <cell r="BM253">
            <v>228.11190903650501</v>
          </cell>
        </row>
        <row r="254">
          <cell r="B254" t="str">
            <v>UKR</v>
          </cell>
          <cell r="BM254">
            <v>76.168534691059705</v>
          </cell>
        </row>
        <row r="255">
          <cell r="B255" t="str">
            <v>UMC</v>
          </cell>
          <cell r="BM255">
            <v>46.786171496627297</v>
          </cell>
        </row>
        <row r="256">
          <cell r="B256" t="str">
            <v>URY</v>
          </cell>
          <cell r="BM256">
            <v>19.8476002742544</v>
          </cell>
        </row>
        <row r="257">
          <cell r="B257" t="str">
            <v>USA</v>
          </cell>
          <cell r="BM257">
            <v>36.239844677515599</v>
          </cell>
        </row>
        <row r="258">
          <cell r="B258" t="str">
            <v>UZB</v>
          </cell>
          <cell r="BM258">
            <v>77.685351185748303</v>
          </cell>
        </row>
        <row r="259">
          <cell r="B259" t="str">
            <v>VCT</v>
          </cell>
          <cell r="BM259">
            <v>284.47948717948702</v>
          </cell>
        </row>
        <row r="260">
          <cell r="B260" t="str">
            <v>VEN</v>
          </cell>
          <cell r="BM260">
            <v>32.238470608242203</v>
          </cell>
        </row>
        <row r="261">
          <cell r="B261" t="str">
            <v>VGB</v>
          </cell>
          <cell r="BM261">
            <v>201.58</v>
          </cell>
        </row>
        <row r="262">
          <cell r="B262" t="str">
            <v>VIR</v>
          </cell>
          <cell r="BM262">
            <v>303.68571428571403</v>
          </cell>
        </row>
        <row r="263">
          <cell r="B263" t="str">
            <v>VNM</v>
          </cell>
          <cell r="BM263">
            <v>310.560232141889</v>
          </cell>
        </row>
        <row r="264">
          <cell r="B264" t="str">
            <v>VUT</v>
          </cell>
          <cell r="BM264">
            <v>25.196882690730099</v>
          </cell>
        </row>
        <row r="265">
          <cell r="B265" t="str">
            <v>WLD</v>
          </cell>
          <cell r="BM265">
            <v>59.731828467593999</v>
          </cell>
        </row>
        <row r="266">
          <cell r="B266" t="str">
            <v>WSM</v>
          </cell>
          <cell r="BM266">
            <v>71.370503597122294</v>
          </cell>
        </row>
        <row r="267">
          <cell r="B267" t="str">
            <v>XKX</v>
          </cell>
        </row>
        <row r="268">
          <cell r="B268" t="str">
            <v>YEM</v>
          </cell>
          <cell r="BM268">
            <v>56.4917855181166</v>
          </cell>
        </row>
        <row r="269">
          <cell r="B269" t="str">
            <v>ZAF</v>
          </cell>
          <cell r="BM269">
            <v>48.890593443190497</v>
          </cell>
        </row>
        <row r="270">
          <cell r="B270" t="str">
            <v>ZMB</v>
          </cell>
          <cell r="BM270">
            <v>24.729894133631099</v>
          </cell>
        </row>
        <row r="271">
          <cell r="B271" t="str">
            <v>ZWE</v>
          </cell>
          <cell r="BM271">
            <v>38.420387747188798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2015 Constant"/>
    </sheetNames>
    <sheetDataSet>
      <sheetData sheetId="0" refreshError="1">
        <row r="6">
          <cell r="B6" t="str">
            <v>ABW</v>
          </cell>
          <cell r="BM6">
            <v>2458429455</v>
          </cell>
        </row>
        <row r="7">
          <cell r="B7" t="str">
            <v>AFE</v>
          </cell>
          <cell r="BM7">
            <v>983852000000</v>
          </cell>
        </row>
        <row r="8">
          <cell r="B8" t="str">
            <v>AFG</v>
          </cell>
          <cell r="BM8">
            <v>20621946476</v>
          </cell>
        </row>
        <row r="9">
          <cell r="B9" t="str">
            <v>AFW</v>
          </cell>
          <cell r="BM9">
            <v>820638000000</v>
          </cell>
        </row>
        <row r="10">
          <cell r="B10" t="str">
            <v>AGO</v>
          </cell>
          <cell r="BM10">
            <v>78566095350</v>
          </cell>
        </row>
        <row r="11">
          <cell r="B11" t="str">
            <v>ALB</v>
          </cell>
          <cell r="BM11">
            <v>12516205780</v>
          </cell>
        </row>
        <row r="12">
          <cell r="B12" t="str">
            <v>AND</v>
          </cell>
          <cell r="BM12">
            <v>2672445971</v>
          </cell>
        </row>
        <row r="13">
          <cell r="B13" t="str">
            <v>ARB</v>
          </cell>
          <cell r="BM13">
            <v>2597680000000</v>
          </cell>
        </row>
        <row r="14">
          <cell r="B14" t="str">
            <v>ARE</v>
          </cell>
          <cell r="BM14">
            <v>370866000000</v>
          </cell>
        </row>
        <row r="15">
          <cell r="B15" t="str">
            <v>ARG</v>
          </cell>
          <cell r="BM15">
            <v>514772000000</v>
          </cell>
        </row>
        <row r="16">
          <cell r="B16" t="str">
            <v>ARM</v>
          </cell>
          <cell r="BM16">
            <v>11915301005</v>
          </cell>
        </row>
        <row r="17">
          <cell r="B17" t="str">
            <v>ASM</v>
          </cell>
          <cell r="BM17">
            <v>653477862.60000002</v>
          </cell>
        </row>
        <row r="18">
          <cell r="B18" t="str">
            <v>ATG</v>
          </cell>
          <cell r="BM18">
            <v>1301036618</v>
          </cell>
        </row>
        <row r="19">
          <cell r="B19" t="str">
            <v>AUS</v>
          </cell>
          <cell r="BM19">
            <v>1490970000000</v>
          </cell>
        </row>
        <row r="20">
          <cell r="B20" t="str">
            <v>AUT</v>
          </cell>
          <cell r="BM20">
            <v>386514000000</v>
          </cell>
        </row>
        <row r="21">
          <cell r="B21" t="str">
            <v>AZE</v>
          </cell>
          <cell r="BM21">
            <v>51307185984</v>
          </cell>
        </row>
        <row r="22">
          <cell r="B22" t="str">
            <v>BDI</v>
          </cell>
          <cell r="BM22">
            <v>3218331132</v>
          </cell>
        </row>
        <row r="23">
          <cell r="B23" t="str">
            <v>BEL</v>
          </cell>
          <cell r="BM23">
            <v>466672000000</v>
          </cell>
        </row>
        <row r="24">
          <cell r="B24" t="str">
            <v>BEN</v>
          </cell>
          <cell r="BM24">
            <v>14725558673</v>
          </cell>
        </row>
        <row r="25">
          <cell r="B25" t="str">
            <v>BFA</v>
          </cell>
          <cell r="BM25">
            <v>15291209207</v>
          </cell>
        </row>
        <row r="26">
          <cell r="B26" t="str">
            <v>BGD</v>
          </cell>
          <cell r="BM26">
            <v>266760000000</v>
          </cell>
        </row>
        <row r="27">
          <cell r="B27" t="str">
            <v>BGR</v>
          </cell>
          <cell r="BM27">
            <v>54923717978</v>
          </cell>
        </row>
        <row r="28">
          <cell r="B28" t="str">
            <v>BHR</v>
          </cell>
          <cell r="BM28">
            <v>33258424204</v>
          </cell>
        </row>
        <row r="29">
          <cell r="B29" t="str">
            <v>BHS</v>
          </cell>
          <cell r="BM29">
            <v>9579129439</v>
          </cell>
        </row>
        <row r="30">
          <cell r="B30" t="str">
            <v>BIH</v>
          </cell>
          <cell r="BM30">
            <v>17839465168</v>
          </cell>
        </row>
        <row r="31">
          <cell r="B31" t="str">
            <v>BLR</v>
          </cell>
          <cell r="BM31">
            <v>58482352925</v>
          </cell>
        </row>
        <row r="32">
          <cell r="B32" t="str">
            <v>BLZ</v>
          </cell>
          <cell r="BM32">
            <v>1531516106</v>
          </cell>
        </row>
        <row r="33">
          <cell r="B33" t="str">
            <v>BMU</v>
          </cell>
          <cell r="BM33">
            <v>6371962194</v>
          </cell>
        </row>
        <row r="34">
          <cell r="B34" t="str">
            <v>BOL</v>
          </cell>
          <cell r="BM34">
            <v>34855949803</v>
          </cell>
        </row>
        <row r="35">
          <cell r="B35" t="str">
            <v>BRA</v>
          </cell>
          <cell r="BM35">
            <v>1749100000000</v>
          </cell>
        </row>
        <row r="36">
          <cell r="B36" t="str">
            <v>BRB</v>
          </cell>
          <cell r="BM36">
            <v>4117793616</v>
          </cell>
        </row>
        <row r="37">
          <cell r="B37" t="str">
            <v>BRN</v>
          </cell>
          <cell r="BM37">
            <v>13429361906</v>
          </cell>
        </row>
        <row r="38">
          <cell r="B38" t="str">
            <v>BTN</v>
          </cell>
          <cell r="BM38">
            <v>2221963713</v>
          </cell>
        </row>
        <row r="39">
          <cell r="B39" t="str">
            <v>BWA</v>
          </cell>
          <cell r="BM39">
            <v>14826671812</v>
          </cell>
        </row>
        <row r="40">
          <cell r="B40" t="str">
            <v>CAF</v>
          </cell>
          <cell r="BM40">
            <v>2004791523</v>
          </cell>
        </row>
        <row r="41">
          <cell r="B41" t="str">
            <v>CAN</v>
          </cell>
          <cell r="BM41">
            <v>1607400000000</v>
          </cell>
        </row>
        <row r="42">
          <cell r="B42" t="str">
            <v>CEB</v>
          </cell>
          <cell r="BM42">
            <v>1462730000000</v>
          </cell>
        </row>
        <row r="43">
          <cell r="B43" t="str">
            <v>CHE</v>
          </cell>
          <cell r="BM43">
            <v>740026000000</v>
          </cell>
        </row>
        <row r="44">
          <cell r="B44" t="str">
            <v>CHI</v>
          </cell>
        </row>
        <row r="45">
          <cell r="B45" t="str">
            <v>CHL</v>
          </cell>
          <cell r="BM45">
            <v>246413000000</v>
          </cell>
        </row>
        <row r="46">
          <cell r="B46" t="str">
            <v>CHN</v>
          </cell>
          <cell r="BM46">
            <v>14616500000000</v>
          </cell>
        </row>
        <row r="47">
          <cell r="B47" t="str">
            <v>CIV</v>
          </cell>
          <cell r="BM47">
            <v>61033878289</v>
          </cell>
        </row>
        <row r="48">
          <cell r="B48" t="str">
            <v>CMR</v>
          </cell>
          <cell r="BM48">
            <v>37686544900</v>
          </cell>
        </row>
        <row r="49">
          <cell r="B49" t="str">
            <v>COD</v>
          </cell>
          <cell r="BM49">
            <v>45259706748</v>
          </cell>
        </row>
        <row r="50">
          <cell r="B50" t="str">
            <v>COG</v>
          </cell>
          <cell r="BM50">
            <v>9045462978</v>
          </cell>
        </row>
        <row r="51">
          <cell r="B51" t="str">
            <v>COL</v>
          </cell>
          <cell r="BM51">
            <v>298742000000</v>
          </cell>
        </row>
        <row r="52">
          <cell r="B52" t="str">
            <v>COM</v>
          </cell>
          <cell r="BM52">
            <v>1089641267</v>
          </cell>
        </row>
        <row r="53">
          <cell r="B53" t="str">
            <v>CPV</v>
          </cell>
          <cell r="BM53">
            <v>1632003278</v>
          </cell>
        </row>
        <row r="54">
          <cell r="B54" t="str">
            <v>CRI</v>
          </cell>
          <cell r="BM54">
            <v>61774415011</v>
          </cell>
        </row>
        <row r="55">
          <cell r="B55" t="str">
            <v>CSS</v>
          </cell>
          <cell r="BM55">
            <v>67532300591</v>
          </cell>
        </row>
        <row r="56">
          <cell r="B56" t="str">
            <v>CUB</v>
          </cell>
          <cell r="BM56">
            <v>81054474018</v>
          </cell>
        </row>
        <row r="57">
          <cell r="B57" t="str">
            <v>CUW</v>
          </cell>
          <cell r="BM57">
            <v>2285297118</v>
          </cell>
        </row>
        <row r="58">
          <cell r="B58" t="str">
            <v>CYM</v>
          </cell>
          <cell r="BM58">
            <v>5123472741</v>
          </cell>
        </row>
        <row r="59">
          <cell r="B59" t="str">
            <v>CYP</v>
          </cell>
          <cell r="BM59">
            <v>23640672757</v>
          </cell>
        </row>
        <row r="60">
          <cell r="B60" t="str">
            <v>CZE</v>
          </cell>
          <cell r="BM60">
            <v>203095000000</v>
          </cell>
        </row>
        <row r="61">
          <cell r="B61" t="str">
            <v>DEU</v>
          </cell>
          <cell r="BM61">
            <v>3435820000000</v>
          </cell>
        </row>
        <row r="62">
          <cell r="B62" t="str">
            <v>DJI</v>
          </cell>
          <cell r="BM62">
            <v>3065136606</v>
          </cell>
        </row>
        <row r="63">
          <cell r="B63" t="str">
            <v>DMA</v>
          </cell>
          <cell r="BM63">
            <v>472745391.10000002</v>
          </cell>
        </row>
        <row r="64">
          <cell r="B64" t="str">
            <v>DNK</v>
          </cell>
          <cell r="BM64">
            <v>327738000000</v>
          </cell>
        </row>
        <row r="65">
          <cell r="B65" t="str">
            <v>DOM</v>
          </cell>
          <cell r="BM65">
            <v>83287065055</v>
          </cell>
        </row>
        <row r="66">
          <cell r="B66" t="str">
            <v>DZA</v>
          </cell>
          <cell r="BM66">
            <v>168144000000</v>
          </cell>
        </row>
        <row r="67">
          <cell r="B67" t="str">
            <v>EAP</v>
          </cell>
          <cell r="BM67">
            <v>17300300000000</v>
          </cell>
        </row>
        <row r="68">
          <cell r="B68" t="str">
            <v>EAR</v>
          </cell>
          <cell r="BM68">
            <v>11243000000000</v>
          </cell>
        </row>
        <row r="69">
          <cell r="B69" t="str">
            <v>EAS</v>
          </cell>
          <cell r="BM69">
            <v>26298200000000</v>
          </cell>
        </row>
        <row r="70">
          <cell r="B70" t="str">
            <v>ECA</v>
          </cell>
          <cell r="BM70">
            <v>3212490000000</v>
          </cell>
        </row>
        <row r="71">
          <cell r="B71" t="str">
            <v>ECS</v>
          </cell>
          <cell r="BM71">
            <v>21134700000000</v>
          </cell>
        </row>
        <row r="72">
          <cell r="B72" t="str">
            <v>ECU</v>
          </cell>
          <cell r="BM72">
            <v>93781977160</v>
          </cell>
        </row>
        <row r="73">
          <cell r="B73" t="str">
            <v>EGY</v>
          </cell>
          <cell r="BM73">
            <v>412246000000</v>
          </cell>
        </row>
        <row r="74">
          <cell r="B74" t="str">
            <v>EMU</v>
          </cell>
          <cell r="BM74">
            <v>11815200000000</v>
          </cell>
        </row>
        <row r="75">
          <cell r="B75" t="str">
            <v>ERI</v>
          </cell>
        </row>
        <row r="76">
          <cell r="B76" t="str">
            <v>ESP</v>
          </cell>
          <cell r="BM76">
            <v>1181210000000</v>
          </cell>
        </row>
        <row r="77">
          <cell r="B77" t="str">
            <v>EST</v>
          </cell>
          <cell r="BM77">
            <v>26279914561</v>
          </cell>
        </row>
        <row r="78">
          <cell r="B78" t="str">
            <v>ETH</v>
          </cell>
          <cell r="BM78">
            <v>95071785238</v>
          </cell>
        </row>
        <row r="79">
          <cell r="B79" t="str">
            <v>EUU</v>
          </cell>
          <cell r="BM79">
            <v>13892500000000</v>
          </cell>
        </row>
        <row r="80">
          <cell r="B80" t="str">
            <v>FCS</v>
          </cell>
          <cell r="BM80">
            <v>1741750000000</v>
          </cell>
        </row>
        <row r="81">
          <cell r="B81" t="str">
            <v>FIN</v>
          </cell>
          <cell r="BM81">
            <v>248883000000</v>
          </cell>
        </row>
        <row r="82">
          <cell r="B82" t="str">
            <v>FJI</v>
          </cell>
          <cell r="BM82">
            <v>4431812577</v>
          </cell>
        </row>
        <row r="83">
          <cell r="B83" t="str">
            <v>FRA</v>
          </cell>
          <cell r="BM83">
            <v>2411260000000</v>
          </cell>
        </row>
        <row r="84">
          <cell r="B84" t="str">
            <v>FRO</v>
          </cell>
        </row>
        <row r="85">
          <cell r="B85" t="str">
            <v>FSM</v>
          </cell>
          <cell r="BM85">
            <v>326589289.5</v>
          </cell>
        </row>
        <row r="86">
          <cell r="B86" t="str">
            <v>GAB</v>
          </cell>
          <cell r="BM86">
            <v>15176119329</v>
          </cell>
        </row>
        <row r="87">
          <cell r="B87" t="str">
            <v>GBR</v>
          </cell>
          <cell r="BM87">
            <v>2895630000000</v>
          </cell>
        </row>
        <row r="88">
          <cell r="B88" t="str">
            <v>GEO</v>
          </cell>
          <cell r="BM88">
            <v>16557390869</v>
          </cell>
        </row>
        <row r="89">
          <cell r="B89" t="str">
            <v>GHA</v>
          </cell>
          <cell r="BM89">
            <v>62786746874</v>
          </cell>
        </row>
        <row r="90">
          <cell r="B90" t="str">
            <v>GIB</v>
          </cell>
        </row>
        <row r="91">
          <cell r="B91" t="str">
            <v>GIN</v>
          </cell>
          <cell r="BM91">
            <v>12635273566</v>
          </cell>
        </row>
        <row r="92">
          <cell r="B92" t="str">
            <v>GMB</v>
          </cell>
          <cell r="BM92">
            <v>1674141973</v>
          </cell>
        </row>
        <row r="93">
          <cell r="B93" t="str">
            <v>GNB</v>
          </cell>
          <cell r="BM93">
            <v>1218759824</v>
          </cell>
        </row>
        <row r="94">
          <cell r="B94" t="str">
            <v>GNQ</v>
          </cell>
          <cell r="BM94">
            <v>9625001914</v>
          </cell>
        </row>
        <row r="95">
          <cell r="B95" t="str">
            <v>GRC</v>
          </cell>
          <cell r="BM95">
            <v>185375000000</v>
          </cell>
        </row>
        <row r="96">
          <cell r="B96" t="str">
            <v>GRD</v>
          </cell>
          <cell r="BM96">
            <v>978815313.89999998</v>
          </cell>
        </row>
        <row r="97">
          <cell r="B97" t="str">
            <v>GRL</v>
          </cell>
          <cell r="BM97">
            <v>2703236956</v>
          </cell>
        </row>
        <row r="98">
          <cell r="B98" t="str">
            <v>GTM</v>
          </cell>
          <cell r="BM98">
            <v>69560945138</v>
          </cell>
        </row>
        <row r="99">
          <cell r="B99" t="str">
            <v>GUM</v>
          </cell>
          <cell r="BM99">
            <v>5259729936</v>
          </cell>
        </row>
        <row r="100">
          <cell r="B100" t="str">
            <v>GUY</v>
          </cell>
          <cell r="BM100">
            <v>7275908034</v>
          </cell>
        </row>
        <row r="101">
          <cell r="B101" t="str">
            <v>HIC</v>
          </cell>
          <cell r="BM101">
            <v>50044000000000</v>
          </cell>
        </row>
        <row r="102">
          <cell r="B102" t="str">
            <v>HKG</v>
          </cell>
          <cell r="BM102">
            <v>310237000000</v>
          </cell>
        </row>
        <row r="103">
          <cell r="B103" t="str">
            <v>HND</v>
          </cell>
          <cell r="BM103">
            <v>22176498034</v>
          </cell>
        </row>
        <row r="104">
          <cell r="B104" t="str">
            <v>HPC</v>
          </cell>
          <cell r="BM104">
            <v>823547000000</v>
          </cell>
        </row>
        <row r="105">
          <cell r="B105" t="str">
            <v>HRV</v>
          </cell>
          <cell r="BM105">
            <v>52557893779</v>
          </cell>
        </row>
        <row r="106">
          <cell r="B106" t="str">
            <v>HTI</v>
          </cell>
          <cell r="BM106">
            <v>14956795315</v>
          </cell>
        </row>
        <row r="107">
          <cell r="B107" t="str">
            <v>HUN</v>
          </cell>
          <cell r="BM107">
            <v>140409000000</v>
          </cell>
        </row>
        <row r="108">
          <cell r="B108" t="str">
            <v>IBD</v>
          </cell>
          <cell r="BM108">
            <v>30585000000000</v>
          </cell>
        </row>
        <row r="109">
          <cell r="B109" t="str">
            <v>IBT</v>
          </cell>
          <cell r="BM109">
            <v>32964100000000</v>
          </cell>
        </row>
        <row r="110">
          <cell r="B110" t="str">
            <v>IDA</v>
          </cell>
          <cell r="BM110">
            <v>2378440000000</v>
          </cell>
        </row>
        <row r="111">
          <cell r="B111" t="str">
            <v>IDB</v>
          </cell>
          <cell r="BM111">
            <v>1108260000000</v>
          </cell>
        </row>
        <row r="112">
          <cell r="B112" t="str">
            <v>IDN</v>
          </cell>
          <cell r="BM112">
            <v>1027660000000</v>
          </cell>
        </row>
        <row r="113">
          <cell r="B113" t="str">
            <v>IDX</v>
          </cell>
          <cell r="BM113">
            <v>1270360000000</v>
          </cell>
        </row>
        <row r="114">
          <cell r="B114" t="str">
            <v>IMN</v>
          </cell>
        </row>
        <row r="115">
          <cell r="B115" t="str">
            <v>IND</v>
          </cell>
          <cell r="BM115">
            <v>2508590000000</v>
          </cell>
        </row>
        <row r="116">
          <cell r="B116" t="str">
            <v>INX</v>
          </cell>
        </row>
        <row r="117">
          <cell r="B117" t="str">
            <v>IRL</v>
          </cell>
          <cell r="BM117">
            <v>392535000000</v>
          </cell>
        </row>
        <row r="118">
          <cell r="B118" t="str">
            <v>IRN</v>
          </cell>
          <cell r="BM118">
            <v>447938000000</v>
          </cell>
        </row>
        <row r="119">
          <cell r="B119" t="str">
            <v>IRQ</v>
          </cell>
          <cell r="BM119">
            <v>178917000000</v>
          </cell>
        </row>
        <row r="120">
          <cell r="B120" t="str">
            <v>ISL</v>
          </cell>
          <cell r="BM120">
            <v>19491448632</v>
          </cell>
        </row>
        <row r="121">
          <cell r="B121" t="str">
            <v>ISR</v>
          </cell>
          <cell r="BM121">
            <v>345460000000</v>
          </cell>
        </row>
        <row r="122">
          <cell r="B122" t="str">
            <v>ITA</v>
          </cell>
          <cell r="BM122">
            <v>1745330000000</v>
          </cell>
        </row>
        <row r="123">
          <cell r="B123" t="str">
            <v>JAM</v>
          </cell>
          <cell r="BM123">
            <v>13440715454</v>
          </cell>
        </row>
        <row r="124">
          <cell r="B124" t="str">
            <v>JOR</v>
          </cell>
          <cell r="BM124">
            <v>41108073617</v>
          </cell>
        </row>
        <row r="125">
          <cell r="B125" t="str">
            <v>JPN</v>
          </cell>
          <cell r="BM125">
            <v>4363130000000</v>
          </cell>
        </row>
        <row r="126">
          <cell r="B126" t="str">
            <v>KAZ</v>
          </cell>
          <cell r="BM126">
            <v>205829000000</v>
          </cell>
        </row>
        <row r="127">
          <cell r="B127" t="str">
            <v>KEN</v>
          </cell>
          <cell r="BM127">
            <v>84054150946</v>
          </cell>
        </row>
        <row r="128">
          <cell r="B128" t="str">
            <v>KGZ</v>
          </cell>
          <cell r="BM128">
            <v>7255421236</v>
          </cell>
        </row>
        <row r="129">
          <cell r="B129" t="str">
            <v>KHM</v>
          </cell>
          <cell r="BM129">
            <v>23024448759</v>
          </cell>
        </row>
        <row r="130">
          <cell r="B130" t="str">
            <v>KIR</v>
          </cell>
          <cell r="BM130">
            <v>176050030.09999999</v>
          </cell>
        </row>
        <row r="131">
          <cell r="B131" t="str">
            <v>KNA</v>
          </cell>
          <cell r="BM131">
            <v>925775566.39999998</v>
          </cell>
        </row>
        <row r="132">
          <cell r="B132" t="str">
            <v>KOR</v>
          </cell>
          <cell r="BM132">
            <v>1623900000000</v>
          </cell>
        </row>
        <row r="133">
          <cell r="B133" t="str">
            <v>KWT</v>
          </cell>
          <cell r="BM133">
            <v>104327000000</v>
          </cell>
        </row>
        <row r="134">
          <cell r="B134" t="str">
            <v>LAC</v>
          </cell>
          <cell r="BM134">
            <v>4473120000000</v>
          </cell>
        </row>
        <row r="135">
          <cell r="B135" t="str">
            <v>LAO</v>
          </cell>
          <cell r="BM135">
            <v>18584865506</v>
          </cell>
        </row>
        <row r="136">
          <cell r="B136" t="str">
            <v>LBN</v>
          </cell>
          <cell r="BM136">
            <v>34621752540</v>
          </cell>
        </row>
        <row r="137">
          <cell r="B137" t="str">
            <v>LBR</v>
          </cell>
          <cell r="BM137">
            <v>3115556272</v>
          </cell>
        </row>
        <row r="138">
          <cell r="B138" t="str">
            <v>LBY</v>
          </cell>
          <cell r="BM138">
            <v>46364963765</v>
          </cell>
        </row>
        <row r="139">
          <cell r="B139" t="str">
            <v>LCA</v>
          </cell>
          <cell r="BM139">
            <v>1588638627</v>
          </cell>
        </row>
        <row r="140">
          <cell r="B140" t="str">
            <v>LCN</v>
          </cell>
          <cell r="BM140">
            <v>5219070000000</v>
          </cell>
        </row>
        <row r="141">
          <cell r="B141" t="str">
            <v>LDC</v>
          </cell>
          <cell r="BM141">
            <v>1135340000000</v>
          </cell>
        </row>
        <row r="142">
          <cell r="B142" t="str">
            <v>LIC</v>
          </cell>
          <cell r="BM142">
            <v>536520000000</v>
          </cell>
        </row>
        <row r="143">
          <cell r="B143" t="str">
            <v>LIE</v>
          </cell>
        </row>
        <row r="144">
          <cell r="B144" t="str">
            <v>LKA</v>
          </cell>
          <cell r="BM144">
            <v>88853624203</v>
          </cell>
        </row>
        <row r="145">
          <cell r="B145" t="str">
            <v>LMC</v>
          </cell>
          <cell r="BM145">
            <v>7622850000000</v>
          </cell>
        </row>
        <row r="146">
          <cell r="B146" t="str">
            <v>LMY</v>
          </cell>
          <cell r="BM146">
            <v>31575200000000</v>
          </cell>
        </row>
        <row r="147">
          <cell r="B147" t="str">
            <v>LSO</v>
          </cell>
          <cell r="BM147">
            <v>2213872052</v>
          </cell>
        </row>
        <row r="148">
          <cell r="B148" t="str">
            <v>LTE</v>
          </cell>
          <cell r="BM148">
            <v>22499500000000</v>
          </cell>
        </row>
        <row r="149">
          <cell r="B149" t="str">
            <v>LTU</v>
          </cell>
          <cell r="BM149">
            <v>48110631393</v>
          </cell>
        </row>
        <row r="150">
          <cell r="B150" t="str">
            <v>LUX</v>
          </cell>
          <cell r="BM150">
            <v>66117875823</v>
          </cell>
        </row>
        <row r="151">
          <cell r="B151" t="str">
            <v>LVA</v>
          </cell>
          <cell r="BM151">
            <v>29570216090</v>
          </cell>
        </row>
        <row r="152">
          <cell r="B152" t="str">
            <v>MAC</v>
          </cell>
          <cell r="BM152">
            <v>23488188942</v>
          </cell>
        </row>
        <row r="153">
          <cell r="B153" t="str">
            <v>MAF</v>
          </cell>
        </row>
        <row r="154">
          <cell r="B154" t="str">
            <v>MAR</v>
          </cell>
          <cell r="BM154">
            <v>105726000000</v>
          </cell>
        </row>
        <row r="155">
          <cell r="B155" t="str">
            <v>MCO</v>
          </cell>
          <cell r="BM155">
            <v>6248493129</v>
          </cell>
        </row>
        <row r="156">
          <cell r="B156" t="str">
            <v>MDA</v>
          </cell>
          <cell r="BM156">
            <v>8479779802</v>
          </cell>
        </row>
        <row r="157">
          <cell r="B157" t="str">
            <v>MDG</v>
          </cell>
          <cell r="BM157">
            <v>12244127641</v>
          </cell>
        </row>
        <row r="158">
          <cell r="B158" t="str">
            <v>MDV</v>
          </cell>
          <cell r="BM158">
            <v>3600460153</v>
          </cell>
        </row>
        <row r="159">
          <cell r="B159" t="str">
            <v>MEA</v>
          </cell>
          <cell r="BM159">
            <v>3307760000000</v>
          </cell>
        </row>
        <row r="160">
          <cell r="B160" t="str">
            <v>MEX</v>
          </cell>
          <cell r="BM160">
            <v>1150420000000</v>
          </cell>
        </row>
        <row r="161">
          <cell r="B161" t="str">
            <v>MHL</v>
          </cell>
          <cell r="BM161">
            <v>207699800</v>
          </cell>
        </row>
        <row r="162">
          <cell r="B162" t="str">
            <v>MIC</v>
          </cell>
          <cell r="BM162">
            <v>31040800000000</v>
          </cell>
        </row>
        <row r="163">
          <cell r="B163" t="str">
            <v>MKD</v>
          </cell>
          <cell r="BM163">
            <v>10501957283</v>
          </cell>
        </row>
        <row r="164">
          <cell r="B164" t="str">
            <v>MLI</v>
          </cell>
          <cell r="BM164">
            <v>15830713977</v>
          </cell>
        </row>
        <row r="165">
          <cell r="B165" t="str">
            <v>MLT</v>
          </cell>
          <cell r="BM165">
            <v>13103388907</v>
          </cell>
        </row>
        <row r="166">
          <cell r="B166" t="str">
            <v>MMR</v>
          </cell>
          <cell r="BM166">
            <v>86343026585</v>
          </cell>
        </row>
        <row r="167">
          <cell r="B167" t="str">
            <v>MNA</v>
          </cell>
          <cell r="BM167">
            <v>1548010000000</v>
          </cell>
        </row>
        <row r="168">
          <cell r="B168" t="str">
            <v>MNE</v>
          </cell>
          <cell r="BM168">
            <v>4048140209</v>
          </cell>
        </row>
        <row r="169">
          <cell r="B169" t="str">
            <v>MNG</v>
          </cell>
          <cell r="BM169">
            <v>13528524725</v>
          </cell>
        </row>
        <row r="170">
          <cell r="B170" t="str">
            <v>MNP</v>
          </cell>
        </row>
        <row r="171">
          <cell r="B171" t="str">
            <v>MOZ</v>
          </cell>
          <cell r="BM171">
            <v>17959233845</v>
          </cell>
        </row>
        <row r="172">
          <cell r="B172" t="str">
            <v>MRT</v>
          </cell>
          <cell r="BM172">
            <v>7206781562</v>
          </cell>
        </row>
        <row r="173">
          <cell r="B173" t="str">
            <v>MUS</v>
          </cell>
          <cell r="BM173">
            <v>11465336643</v>
          </cell>
        </row>
        <row r="174">
          <cell r="B174" t="str">
            <v>MWI</v>
          </cell>
          <cell r="BM174">
            <v>7537262760</v>
          </cell>
        </row>
        <row r="175">
          <cell r="B175" t="str">
            <v>MYS</v>
          </cell>
          <cell r="BM175">
            <v>344099000000</v>
          </cell>
        </row>
        <row r="176">
          <cell r="B176" t="str">
            <v>NAC</v>
          </cell>
          <cell r="BM176">
            <v>20860800000000</v>
          </cell>
        </row>
        <row r="177">
          <cell r="B177" t="str">
            <v>NAM</v>
          </cell>
          <cell r="BM177">
            <v>10352990575</v>
          </cell>
        </row>
        <row r="178">
          <cell r="B178" t="str">
            <v>NCL</v>
          </cell>
        </row>
        <row r="179">
          <cell r="B179" t="str">
            <v>NER</v>
          </cell>
          <cell r="BM179">
            <v>12649312791</v>
          </cell>
        </row>
        <row r="180">
          <cell r="B180" t="str">
            <v>NGA</v>
          </cell>
          <cell r="BM180">
            <v>493918000000</v>
          </cell>
        </row>
        <row r="181">
          <cell r="B181" t="str">
            <v>NIC</v>
          </cell>
          <cell r="BM181">
            <v>12745084493</v>
          </cell>
        </row>
        <row r="182">
          <cell r="B182" t="str">
            <v>NLD</v>
          </cell>
          <cell r="BM182">
            <v>808332000000</v>
          </cell>
        </row>
        <row r="183">
          <cell r="B183" t="str">
            <v>NOR</v>
          </cell>
          <cell r="BM183">
            <v>403553000000</v>
          </cell>
        </row>
        <row r="184">
          <cell r="B184" t="str">
            <v>NPL</v>
          </cell>
          <cell r="BM184">
            <v>29880062111</v>
          </cell>
        </row>
        <row r="185">
          <cell r="B185" t="str">
            <v>NRU</v>
          </cell>
          <cell r="BM185">
            <v>90650121.430000007</v>
          </cell>
        </row>
        <row r="186">
          <cell r="B186" t="str">
            <v>NZL</v>
          </cell>
          <cell r="BM186">
            <v>199618000000</v>
          </cell>
        </row>
        <row r="187">
          <cell r="B187" t="str">
            <v>OED</v>
          </cell>
          <cell r="BM187">
            <v>49247900000000</v>
          </cell>
        </row>
        <row r="188">
          <cell r="B188" t="str">
            <v>OMN</v>
          </cell>
          <cell r="BM188">
            <v>80394695533</v>
          </cell>
        </row>
        <row r="189">
          <cell r="B189" t="str">
            <v>OSS</v>
          </cell>
          <cell r="BM189">
            <v>382553000000</v>
          </cell>
        </row>
        <row r="190">
          <cell r="B190" t="str">
            <v>PAK</v>
          </cell>
          <cell r="BM190">
            <v>320099000000</v>
          </cell>
        </row>
        <row r="191">
          <cell r="B191" t="str">
            <v>PAN</v>
          </cell>
          <cell r="BM191">
            <v>52520697170</v>
          </cell>
        </row>
        <row r="192">
          <cell r="B192" t="str">
            <v>PER</v>
          </cell>
          <cell r="BM192">
            <v>191470000000</v>
          </cell>
        </row>
        <row r="193">
          <cell r="B193" t="str">
            <v>PHL</v>
          </cell>
          <cell r="BM193">
            <v>358511000000</v>
          </cell>
        </row>
        <row r="194">
          <cell r="B194" t="str">
            <v>PLW</v>
          </cell>
          <cell r="BM194">
            <v>239735252.90000001</v>
          </cell>
        </row>
        <row r="195">
          <cell r="B195" t="str">
            <v>PNG</v>
          </cell>
          <cell r="BM195">
            <v>23854664089</v>
          </cell>
        </row>
        <row r="196">
          <cell r="B196" t="str">
            <v>POL</v>
          </cell>
          <cell r="BM196">
            <v>555630000000</v>
          </cell>
        </row>
        <row r="197">
          <cell r="B197" t="str">
            <v>PRE</v>
          </cell>
          <cell r="BM197">
            <v>1420500000000</v>
          </cell>
        </row>
        <row r="198">
          <cell r="B198" t="str">
            <v>PRI</v>
          </cell>
          <cell r="BM198">
            <v>92660076633</v>
          </cell>
        </row>
        <row r="199">
          <cell r="B199" t="str">
            <v>PRK</v>
          </cell>
        </row>
        <row r="200">
          <cell r="B200" t="str">
            <v>PRT</v>
          </cell>
          <cell r="BM200">
            <v>203590000000</v>
          </cell>
        </row>
        <row r="201">
          <cell r="B201" t="str">
            <v>PRY</v>
          </cell>
          <cell r="BM201">
            <v>40343452708</v>
          </cell>
        </row>
        <row r="202">
          <cell r="B202" t="str">
            <v>PSE</v>
          </cell>
          <cell r="BM202">
            <v>14037400000</v>
          </cell>
        </row>
        <row r="203">
          <cell r="B203" t="str">
            <v>PSS</v>
          </cell>
          <cell r="BM203">
            <v>9158160682</v>
          </cell>
        </row>
        <row r="204">
          <cell r="B204" t="str">
            <v>PST</v>
          </cell>
          <cell r="BM204">
            <v>46062100000000</v>
          </cell>
        </row>
        <row r="205">
          <cell r="B205" t="str">
            <v>PYF</v>
          </cell>
          <cell r="BM205">
            <v>5501937833</v>
          </cell>
        </row>
        <row r="206">
          <cell r="B206" t="str">
            <v>QAT</v>
          </cell>
          <cell r="BM206">
            <v>161417000000</v>
          </cell>
        </row>
        <row r="207">
          <cell r="B207" t="str">
            <v>ROU</v>
          </cell>
          <cell r="BM207">
            <v>209236000000</v>
          </cell>
        </row>
        <row r="208">
          <cell r="B208" t="str">
            <v>RUS</v>
          </cell>
          <cell r="BM208">
            <v>1422330000000</v>
          </cell>
        </row>
        <row r="209">
          <cell r="B209" t="str">
            <v>RWA</v>
          </cell>
          <cell r="BM209">
            <v>10807279944</v>
          </cell>
        </row>
        <row r="210">
          <cell r="B210" t="str">
            <v>SAS</v>
          </cell>
          <cell r="BM210">
            <v>3240630000000</v>
          </cell>
        </row>
        <row r="211">
          <cell r="B211" t="str">
            <v>SAU</v>
          </cell>
          <cell r="BM211">
            <v>651027000000</v>
          </cell>
        </row>
        <row r="212">
          <cell r="B212" t="str">
            <v>SDN</v>
          </cell>
          <cell r="BM212">
            <v>81244318743</v>
          </cell>
        </row>
        <row r="213">
          <cell r="B213" t="str">
            <v>SEN</v>
          </cell>
          <cell r="BM213">
            <v>22859676611</v>
          </cell>
        </row>
        <row r="214">
          <cell r="B214" t="str">
            <v>SGP</v>
          </cell>
          <cell r="BM214">
            <v>335363000000</v>
          </cell>
        </row>
        <row r="215">
          <cell r="B215" t="str">
            <v>SLB</v>
          </cell>
          <cell r="BM215">
            <v>1467328739</v>
          </cell>
        </row>
        <row r="216">
          <cell r="B216" t="str">
            <v>SLE</v>
          </cell>
          <cell r="BM216">
            <v>4976753934</v>
          </cell>
        </row>
        <row r="217">
          <cell r="B217" t="str">
            <v>SLV</v>
          </cell>
          <cell r="BM217">
            <v>23560825997</v>
          </cell>
        </row>
        <row r="218">
          <cell r="B218" t="str">
            <v>SMR</v>
          </cell>
          <cell r="BM218">
            <v>1408417036</v>
          </cell>
        </row>
        <row r="219">
          <cell r="B219" t="str">
            <v>SOM</v>
          </cell>
          <cell r="BM219">
            <v>7069119939</v>
          </cell>
        </row>
        <row r="220">
          <cell r="B220" t="str">
            <v>SRB</v>
          </cell>
          <cell r="BM220">
            <v>45184791299</v>
          </cell>
        </row>
        <row r="221">
          <cell r="B221" t="str">
            <v>SSA</v>
          </cell>
          <cell r="BM221">
            <v>1802960000000</v>
          </cell>
        </row>
        <row r="222">
          <cell r="B222" t="str">
            <v>SSD</v>
          </cell>
        </row>
        <row r="223">
          <cell r="B223" t="str">
            <v>SSF</v>
          </cell>
          <cell r="BM223">
            <v>1804490000000</v>
          </cell>
        </row>
        <row r="224">
          <cell r="B224" t="str">
            <v>SST</v>
          </cell>
          <cell r="BM224">
            <v>459244000000</v>
          </cell>
        </row>
        <row r="225">
          <cell r="B225" t="str">
            <v>STP</v>
          </cell>
          <cell r="BM225">
            <v>370868351.89999998</v>
          </cell>
        </row>
        <row r="226">
          <cell r="B226" t="str">
            <v>SUR</v>
          </cell>
          <cell r="BM226">
            <v>4417127638</v>
          </cell>
        </row>
        <row r="227">
          <cell r="B227" t="str">
            <v>SVK</v>
          </cell>
          <cell r="BM227">
            <v>94769119000</v>
          </cell>
        </row>
        <row r="228">
          <cell r="B228" t="str">
            <v>SVN</v>
          </cell>
          <cell r="BM228">
            <v>48144051030</v>
          </cell>
        </row>
        <row r="229">
          <cell r="B229" t="str">
            <v>SWE</v>
          </cell>
          <cell r="BM229">
            <v>533634000000</v>
          </cell>
        </row>
        <row r="230">
          <cell r="B230" t="str">
            <v>SWZ</v>
          </cell>
          <cell r="BM230">
            <v>4319634145</v>
          </cell>
        </row>
        <row r="231">
          <cell r="B231" t="str">
            <v>SXM</v>
          </cell>
        </row>
        <row r="232">
          <cell r="B232" t="str">
            <v>SYC</v>
          </cell>
          <cell r="BM232">
            <v>1530539000</v>
          </cell>
        </row>
        <row r="233">
          <cell r="B233" t="str">
            <v>SYR</v>
          </cell>
        </row>
        <row r="234">
          <cell r="B234" t="str">
            <v>TCA</v>
          </cell>
          <cell r="BM234">
            <v>802388490.20000005</v>
          </cell>
        </row>
        <row r="235">
          <cell r="B235" t="str">
            <v>TCD</v>
          </cell>
          <cell r="BM235">
            <v>10357639641</v>
          </cell>
        </row>
        <row r="236">
          <cell r="B236" t="str">
            <v>TEA</v>
          </cell>
          <cell r="BM236">
            <v>17278000000000</v>
          </cell>
        </row>
        <row r="237">
          <cell r="B237" t="str">
            <v>TEC</v>
          </cell>
          <cell r="BM237">
            <v>4029730000000</v>
          </cell>
        </row>
        <row r="238">
          <cell r="B238" t="str">
            <v>TGO</v>
          </cell>
          <cell r="BM238">
            <v>5187639195</v>
          </cell>
        </row>
        <row r="239">
          <cell r="B239" t="str">
            <v>THA</v>
          </cell>
          <cell r="BM239">
            <v>431857000000</v>
          </cell>
        </row>
        <row r="240">
          <cell r="B240" t="str">
            <v>TJK</v>
          </cell>
          <cell r="BM240">
            <v>11425168167</v>
          </cell>
        </row>
        <row r="241">
          <cell r="B241" t="str">
            <v>TKM</v>
          </cell>
        </row>
        <row r="242">
          <cell r="B242" t="str">
            <v>TLA</v>
          </cell>
          <cell r="BM242">
            <v>5012430000000</v>
          </cell>
        </row>
        <row r="243">
          <cell r="B243" t="str">
            <v>TLS</v>
          </cell>
          <cell r="BM243">
            <v>2093497569</v>
          </cell>
        </row>
        <row r="244">
          <cell r="B244" t="str">
            <v>TMN</v>
          </cell>
          <cell r="BM244">
            <v>1533990000000</v>
          </cell>
        </row>
        <row r="245">
          <cell r="B245" t="str">
            <v>TON</v>
          </cell>
          <cell r="BM245">
            <v>489364573.39999998</v>
          </cell>
        </row>
        <row r="246">
          <cell r="B246" t="str">
            <v>TSA</v>
          </cell>
          <cell r="BM246">
            <v>3240630000000</v>
          </cell>
        </row>
        <row r="247">
          <cell r="B247" t="str">
            <v>TSS</v>
          </cell>
          <cell r="BM247">
            <v>1804490000000</v>
          </cell>
        </row>
        <row r="248">
          <cell r="B248" t="str">
            <v>TTO</v>
          </cell>
          <cell r="BM248">
            <v>21087122855</v>
          </cell>
        </row>
        <row r="249">
          <cell r="B249" t="str">
            <v>TUN</v>
          </cell>
          <cell r="BM249">
            <v>44913489643</v>
          </cell>
        </row>
        <row r="250">
          <cell r="B250" t="str">
            <v>TUR</v>
          </cell>
          <cell r="BM250">
            <v>1015330000000</v>
          </cell>
        </row>
        <row r="251">
          <cell r="B251" t="str">
            <v>TUV</v>
          </cell>
          <cell r="BM251">
            <v>46535494.119999997</v>
          </cell>
        </row>
        <row r="252">
          <cell r="B252" t="str">
            <v>TZA</v>
          </cell>
          <cell r="BM252">
            <v>61522709092</v>
          </cell>
        </row>
        <row r="253">
          <cell r="B253" t="str">
            <v>UGA</v>
          </cell>
          <cell r="BM253">
            <v>40768765940</v>
          </cell>
        </row>
        <row r="254">
          <cell r="B254" t="str">
            <v>UKR</v>
          </cell>
          <cell r="BM254">
            <v>98118346734</v>
          </cell>
        </row>
        <row r="255">
          <cell r="B255" t="str">
            <v>UMC</v>
          </cell>
          <cell r="BM255">
            <v>23418300000000</v>
          </cell>
        </row>
        <row r="256">
          <cell r="B256" t="str">
            <v>URY</v>
          </cell>
          <cell r="BM256">
            <v>52115108175</v>
          </cell>
        </row>
        <row r="257">
          <cell r="B257" t="str">
            <v>USA</v>
          </cell>
          <cell r="BM257">
            <v>19247100000000</v>
          </cell>
        </row>
        <row r="258">
          <cell r="B258" t="str">
            <v>UZB</v>
          </cell>
          <cell r="BM258">
            <v>108164000000</v>
          </cell>
        </row>
        <row r="259">
          <cell r="B259" t="str">
            <v>VCT</v>
          </cell>
          <cell r="BM259">
            <v>815975930.89999998</v>
          </cell>
        </row>
        <row r="260">
          <cell r="B260" t="str">
            <v>VEN</v>
          </cell>
        </row>
        <row r="261">
          <cell r="B261" t="str">
            <v>VGB</v>
          </cell>
        </row>
        <row r="262">
          <cell r="B262" t="str">
            <v>VIR</v>
          </cell>
          <cell r="BM262">
            <v>3786142476</v>
          </cell>
        </row>
        <row r="263">
          <cell r="B263" t="str">
            <v>VNM</v>
          </cell>
          <cell r="BM263">
            <v>322775000000</v>
          </cell>
        </row>
        <row r="264">
          <cell r="B264" t="str">
            <v>VUT</v>
          </cell>
          <cell r="BM264">
            <v>817502074.60000002</v>
          </cell>
        </row>
        <row r="265">
          <cell r="B265" t="str">
            <v>WLD</v>
          </cell>
          <cell r="BM265">
            <v>81901000000000</v>
          </cell>
        </row>
        <row r="266">
          <cell r="B266" t="str">
            <v>WSM</v>
          </cell>
          <cell r="BM266">
            <v>864892729.39999998</v>
          </cell>
        </row>
        <row r="267">
          <cell r="B267" t="str">
            <v>XKX</v>
          </cell>
          <cell r="BM267">
            <v>7144367590</v>
          </cell>
        </row>
        <row r="268">
          <cell r="B268" t="str">
            <v>YEM</v>
          </cell>
          <cell r="BM268">
            <v>34133335016</v>
          </cell>
        </row>
        <row r="269">
          <cell r="B269" t="str">
            <v>ZAF</v>
          </cell>
          <cell r="BM269">
            <v>335640000000</v>
          </cell>
        </row>
        <row r="270">
          <cell r="B270" t="str">
            <v>ZMB</v>
          </cell>
          <cell r="BM270">
            <v>23418945737</v>
          </cell>
        </row>
        <row r="271">
          <cell r="B271" t="str">
            <v>ZWE</v>
          </cell>
          <cell r="BM271">
            <v>19426048166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Variables"/>
      <sheetName val="Database"/>
      <sheetName val="References"/>
      <sheetName val="Household Estimates"/>
      <sheetName val="Food Service Estimates"/>
      <sheetName val="Retail Estimates"/>
    </sheetNames>
    <sheetDataSet>
      <sheetData sheetId="0"/>
      <sheetData sheetId="1"/>
      <sheetData sheetId="2"/>
      <sheetData sheetId="3"/>
      <sheetData sheetId="4"/>
      <sheetData sheetId="5">
        <row r="2">
          <cell r="D2" t="str">
            <v>Food service estimate (kg/capita/year)</v>
          </cell>
        </row>
        <row r="3">
          <cell r="B3">
            <v>36</v>
          </cell>
          <cell r="D3">
            <v>21.677391537791951</v>
          </cell>
        </row>
        <row r="4">
          <cell r="B4">
            <v>554</v>
          </cell>
          <cell r="D4">
            <v>25.5704180040103</v>
          </cell>
        </row>
        <row r="5">
          <cell r="B5">
            <v>398</v>
          </cell>
          <cell r="D5">
            <v>27.648074566430626</v>
          </cell>
        </row>
        <row r="6">
          <cell r="B6">
            <v>417</v>
          </cell>
          <cell r="D6">
            <v>27.648074566430626</v>
          </cell>
        </row>
        <row r="7">
          <cell r="B7">
            <v>762</v>
          </cell>
          <cell r="D7">
            <v>27.648074566430626</v>
          </cell>
        </row>
        <row r="8">
          <cell r="B8">
            <v>795</v>
          </cell>
          <cell r="D8">
            <v>27.648074566430626</v>
          </cell>
        </row>
        <row r="9">
          <cell r="B9">
            <v>860</v>
          </cell>
          <cell r="D9">
            <v>27.648074566430626</v>
          </cell>
        </row>
        <row r="10">
          <cell r="B10">
            <v>156</v>
          </cell>
          <cell r="D10">
            <v>45.598050000000001</v>
          </cell>
        </row>
        <row r="11">
          <cell r="B11">
            <v>344</v>
          </cell>
          <cell r="D11">
            <v>25.5704180040103</v>
          </cell>
        </row>
        <row r="12">
          <cell r="B12">
            <v>446</v>
          </cell>
          <cell r="D12">
            <v>25.5704180040103</v>
          </cell>
        </row>
        <row r="13">
          <cell r="B13">
            <v>408</v>
          </cell>
          <cell r="D13">
            <v>27.648074566430626</v>
          </cell>
        </row>
        <row r="14">
          <cell r="B14">
            <v>392</v>
          </cell>
          <cell r="D14">
            <v>14.746421607138945</v>
          </cell>
        </row>
        <row r="15">
          <cell r="B15">
            <v>496</v>
          </cell>
          <cell r="D15">
            <v>27.648074566430626</v>
          </cell>
        </row>
        <row r="16">
          <cell r="B16">
            <v>410</v>
          </cell>
          <cell r="D16">
            <v>25.5704180040103</v>
          </cell>
        </row>
        <row r="17">
          <cell r="B17">
            <v>112</v>
          </cell>
          <cell r="D17">
            <v>27.648074566430626</v>
          </cell>
        </row>
        <row r="18">
          <cell r="B18">
            <v>100</v>
          </cell>
          <cell r="D18">
            <v>27.648074566430626</v>
          </cell>
        </row>
        <row r="19">
          <cell r="B19">
            <v>203</v>
          </cell>
          <cell r="D19">
            <v>25.5704180040103</v>
          </cell>
        </row>
        <row r="20">
          <cell r="B20">
            <v>348</v>
          </cell>
          <cell r="D20">
            <v>25.5704180040103</v>
          </cell>
        </row>
        <row r="21">
          <cell r="B21">
            <v>616</v>
          </cell>
          <cell r="D21">
            <v>25.5704180040103</v>
          </cell>
        </row>
        <row r="22">
          <cell r="B22">
            <v>498</v>
          </cell>
          <cell r="D22">
            <v>27.648074566430626</v>
          </cell>
        </row>
        <row r="23">
          <cell r="B23">
            <v>642</v>
          </cell>
          <cell r="D23">
            <v>25.5704180040103</v>
          </cell>
        </row>
        <row r="24">
          <cell r="B24">
            <v>643</v>
          </cell>
          <cell r="D24">
            <v>27.648074566430626</v>
          </cell>
        </row>
        <row r="25">
          <cell r="B25">
            <v>703</v>
          </cell>
          <cell r="D25">
            <v>25.5704180040103</v>
          </cell>
        </row>
        <row r="26">
          <cell r="B26">
            <v>804</v>
          </cell>
          <cell r="D26">
            <v>27.648074566430626</v>
          </cell>
        </row>
        <row r="27">
          <cell r="B27">
            <v>660</v>
          </cell>
          <cell r="D27" t="str">
            <v>*</v>
          </cell>
        </row>
        <row r="28">
          <cell r="B28">
            <v>28</v>
          </cell>
          <cell r="D28">
            <v>25.5704180040103</v>
          </cell>
        </row>
        <row r="29">
          <cell r="B29">
            <v>32</v>
          </cell>
          <cell r="D29">
            <v>27.648074566430626</v>
          </cell>
        </row>
        <row r="30">
          <cell r="B30">
            <v>533</v>
          </cell>
          <cell r="D30">
            <v>25.5704180040103</v>
          </cell>
        </row>
        <row r="31">
          <cell r="B31">
            <v>44</v>
          </cell>
          <cell r="D31">
            <v>25.5704180040103</v>
          </cell>
        </row>
        <row r="32">
          <cell r="B32">
            <v>52</v>
          </cell>
          <cell r="D32">
            <v>25.5704180040103</v>
          </cell>
        </row>
        <row r="33">
          <cell r="B33">
            <v>84</v>
          </cell>
          <cell r="D33">
            <v>27.648074566430626</v>
          </cell>
        </row>
        <row r="34">
          <cell r="B34">
            <v>68</v>
          </cell>
          <cell r="D34">
            <v>27.648074566430626</v>
          </cell>
        </row>
        <row r="35">
          <cell r="B35">
            <v>535</v>
          </cell>
          <cell r="D35" t="str">
            <v>*</v>
          </cell>
        </row>
        <row r="36">
          <cell r="B36">
            <v>76</v>
          </cell>
          <cell r="D36">
            <v>27.648074566430626</v>
          </cell>
        </row>
        <row r="37">
          <cell r="B37">
            <v>92</v>
          </cell>
          <cell r="D37">
            <v>25.5704180040103</v>
          </cell>
        </row>
        <row r="38">
          <cell r="B38">
            <v>136</v>
          </cell>
          <cell r="D38">
            <v>25.5704180040103</v>
          </cell>
        </row>
        <row r="39">
          <cell r="B39">
            <v>152</v>
          </cell>
          <cell r="D39">
            <v>25.5704180040103</v>
          </cell>
        </row>
        <row r="40">
          <cell r="B40">
            <v>170</v>
          </cell>
          <cell r="D40">
            <v>27.648074566430626</v>
          </cell>
        </row>
        <row r="41">
          <cell r="B41">
            <v>188</v>
          </cell>
          <cell r="D41">
            <v>27.648074566430626</v>
          </cell>
        </row>
        <row r="42">
          <cell r="B42">
            <v>192</v>
          </cell>
          <cell r="D42">
            <v>27.648074566430626</v>
          </cell>
        </row>
        <row r="43">
          <cell r="B43">
            <v>531</v>
          </cell>
          <cell r="D43">
            <v>25.5704180040103</v>
          </cell>
        </row>
        <row r="44">
          <cell r="B44">
            <v>212</v>
          </cell>
          <cell r="D44">
            <v>27.648074566430626</v>
          </cell>
        </row>
        <row r="45">
          <cell r="B45">
            <v>214</v>
          </cell>
          <cell r="D45">
            <v>27.648074566430626</v>
          </cell>
        </row>
        <row r="46">
          <cell r="B46">
            <v>218</v>
          </cell>
          <cell r="D46">
            <v>27.648074566430626</v>
          </cell>
        </row>
        <row r="47">
          <cell r="B47">
            <v>222</v>
          </cell>
          <cell r="D47">
            <v>27.648074566430626</v>
          </cell>
        </row>
        <row r="48">
          <cell r="B48">
            <v>238</v>
          </cell>
          <cell r="D48" t="str">
            <v>*</v>
          </cell>
        </row>
        <row r="49">
          <cell r="B49">
            <v>254</v>
          </cell>
          <cell r="D49" t="str">
            <v>*</v>
          </cell>
        </row>
        <row r="50">
          <cell r="B50">
            <v>308</v>
          </cell>
          <cell r="D50">
            <v>27.648074566430626</v>
          </cell>
        </row>
        <row r="51">
          <cell r="B51">
            <v>312</v>
          </cell>
          <cell r="D51" t="str">
            <v>*</v>
          </cell>
        </row>
        <row r="52">
          <cell r="B52">
            <v>320</v>
          </cell>
          <cell r="D52">
            <v>27.648074566430626</v>
          </cell>
        </row>
        <row r="53">
          <cell r="B53">
            <v>328</v>
          </cell>
          <cell r="D53">
            <v>27.648074566430626</v>
          </cell>
        </row>
        <row r="54">
          <cell r="B54">
            <v>332</v>
          </cell>
          <cell r="D54">
            <v>27.648074566430626</v>
          </cell>
        </row>
        <row r="55">
          <cell r="B55">
            <v>340</v>
          </cell>
          <cell r="D55">
            <v>27.648074566430626</v>
          </cell>
        </row>
        <row r="56">
          <cell r="B56">
            <v>388</v>
          </cell>
          <cell r="D56">
            <v>27.648074566430626</v>
          </cell>
        </row>
        <row r="57">
          <cell r="B57">
            <v>474</v>
          </cell>
          <cell r="D57" t="str">
            <v>*</v>
          </cell>
        </row>
        <row r="58">
          <cell r="B58">
            <v>484</v>
          </cell>
          <cell r="D58">
            <v>27.648074566430626</v>
          </cell>
        </row>
        <row r="59">
          <cell r="B59">
            <v>500</v>
          </cell>
          <cell r="D59" t="str">
            <v>*</v>
          </cell>
        </row>
        <row r="60">
          <cell r="B60">
            <v>558</v>
          </cell>
          <cell r="D60">
            <v>27.648074566430626</v>
          </cell>
        </row>
        <row r="61">
          <cell r="B61">
            <v>591</v>
          </cell>
          <cell r="D61">
            <v>25.5704180040103</v>
          </cell>
        </row>
        <row r="62">
          <cell r="B62">
            <v>600</v>
          </cell>
          <cell r="D62">
            <v>27.648074566430626</v>
          </cell>
        </row>
        <row r="63">
          <cell r="B63">
            <v>604</v>
          </cell>
          <cell r="D63">
            <v>27.648074566430626</v>
          </cell>
        </row>
        <row r="64">
          <cell r="B64">
            <v>630</v>
          </cell>
          <cell r="D64">
            <v>25.5704180040103</v>
          </cell>
        </row>
        <row r="65">
          <cell r="B65">
            <v>652</v>
          </cell>
          <cell r="D65" t="str">
            <v>*</v>
          </cell>
        </row>
        <row r="66">
          <cell r="B66">
            <v>659</v>
          </cell>
          <cell r="D66">
            <v>25.5704180040103</v>
          </cell>
        </row>
        <row r="67">
          <cell r="B67">
            <v>662</v>
          </cell>
          <cell r="D67">
            <v>27.648074566430626</v>
          </cell>
        </row>
        <row r="68">
          <cell r="B68">
            <v>663</v>
          </cell>
          <cell r="D68">
            <v>25.5704180040103</v>
          </cell>
        </row>
        <row r="69">
          <cell r="B69">
            <v>670</v>
          </cell>
          <cell r="D69">
            <v>27.648074566430626</v>
          </cell>
        </row>
        <row r="70">
          <cell r="B70">
            <v>534</v>
          </cell>
          <cell r="D70">
            <v>25.5704180040103</v>
          </cell>
        </row>
        <row r="71">
          <cell r="B71">
            <v>740</v>
          </cell>
          <cell r="D71">
            <v>27.648074566430626</v>
          </cell>
        </row>
        <row r="72">
          <cell r="B72">
            <v>780</v>
          </cell>
          <cell r="D72">
            <v>25.5704180040103</v>
          </cell>
        </row>
        <row r="73">
          <cell r="B73">
            <v>796</v>
          </cell>
          <cell r="D73">
            <v>25.5704180040103</v>
          </cell>
        </row>
        <row r="74">
          <cell r="B74">
            <v>850</v>
          </cell>
          <cell r="D74">
            <v>25.5704180040103</v>
          </cell>
        </row>
        <row r="75">
          <cell r="B75">
            <v>858</v>
          </cell>
          <cell r="D75">
            <v>25.5704180040103</v>
          </cell>
        </row>
        <row r="76">
          <cell r="B76">
            <v>862</v>
          </cell>
          <cell r="D76">
            <v>27.648074566430626</v>
          </cell>
        </row>
        <row r="77">
          <cell r="B77">
            <v>242</v>
          </cell>
          <cell r="D77">
            <v>27.648074566430626</v>
          </cell>
        </row>
        <row r="78">
          <cell r="B78">
            <v>540</v>
          </cell>
          <cell r="D78">
            <v>25.5704180040103</v>
          </cell>
        </row>
        <row r="79">
          <cell r="B79">
            <v>598</v>
          </cell>
          <cell r="D79">
            <v>27.648074566430626</v>
          </cell>
        </row>
        <row r="80">
          <cell r="B80">
            <v>90</v>
          </cell>
          <cell r="D80">
            <v>27.648074566430626</v>
          </cell>
        </row>
        <row r="81">
          <cell r="B81">
            <v>548</v>
          </cell>
          <cell r="D81">
            <v>27.648074566430626</v>
          </cell>
        </row>
        <row r="82">
          <cell r="B82">
            <v>316</v>
          </cell>
          <cell r="D82">
            <v>25.5704180040103</v>
          </cell>
        </row>
        <row r="83">
          <cell r="B83">
            <v>296</v>
          </cell>
          <cell r="D83">
            <v>27.648074566430626</v>
          </cell>
        </row>
        <row r="84">
          <cell r="B84">
            <v>584</v>
          </cell>
          <cell r="D84">
            <v>27.648074566430626</v>
          </cell>
        </row>
        <row r="85">
          <cell r="B85">
            <v>583</v>
          </cell>
          <cell r="D85">
            <v>27.648074566430626</v>
          </cell>
        </row>
        <row r="86">
          <cell r="B86">
            <v>520</v>
          </cell>
          <cell r="D86">
            <v>25.5704180040103</v>
          </cell>
        </row>
        <row r="87">
          <cell r="B87">
            <v>580</v>
          </cell>
          <cell r="D87">
            <v>25.5704180040103</v>
          </cell>
        </row>
        <row r="88">
          <cell r="B88">
            <v>585</v>
          </cell>
          <cell r="D88">
            <v>25.5704180040103</v>
          </cell>
        </row>
        <row r="89">
          <cell r="B89">
            <v>12</v>
          </cell>
          <cell r="D89">
            <v>27.648074566430626</v>
          </cell>
        </row>
        <row r="90">
          <cell r="B90">
            <v>818</v>
          </cell>
          <cell r="D90">
            <v>27.648074566430626</v>
          </cell>
        </row>
        <row r="91">
          <cell r="B91">
            <v>434</v>
          </cell>
          <cell r="D91">
            <v>27.648074566430626</v>
          </cell>
        </row>
        <row r="92">
          <cell r="B92">
            <v>504</v>
          </cell>
          <cell r="D92">
            <v>27.648074566430626</v>
          </cell>
        </row>
        <row r="93">
          <cell r="B93">
            <v>729</v>
          </cell>
          <cell r="D93">
            <v>27.648074566430626</v>
          </cell>
        </row>
        <row r="94">
          <cell r="B94">
            <v>788</v>
          </cell>
          <cell r="D94">
            <v>27.648074566430626</v>
          </cell>
        </row>
        <row r="95">
          <cell r="B95">
            <v>732</v>
          </cell>
          <cell r="D95" t="str">
            <v>*</v>
          </cell>
        </row>
        <row r="96">
          <cell r="B96">
            <v>60</v>
          </cell>
          <cell r="D96">
            <v>25.5704180040103</v>
          </cell>
        </row>
        <row r="97">
          <cell r="B97">
            <v>124</v>
          </cell>
          <cell r="D97">
            <v>25.5704180040103</v>
          </cell>
        </row>
        <row r="98">
          <cell r="B98">
            <v>304</v>
          </cell>
          <cell r="D98">
            <v>25.5704180040103</v>
          </cell>
        </row>
        <row r="99">
          <cell r="B99">
            <v>666</v>
          </cell>
          <cell r="D99" t="str">
            <v>*</v>
          </cell>
        </row>
        <row r="100">
          <cell r="B100">
            <v>840</v>
          </cell>
          <cell r="D100">
            <v>63.619143418084469</v>
          </cell>
        </row>
        <row r="101">
          <cell r="B101">
            <v>208</v>
          </cell>
          <cell r="D101">
            <v>20.640389820228037</v>
          </cell>
        </row>
        <row r="102">
          <cell r="B102">
            <v>233</v>
          </cell>
          <cell r="D102">
            <v>16.60574299916971</v>
          </cell>
        </row>
        <row r="103">
          <cell r="B103">
            <v>234</v>
          </cell>
          <cell r="D103">
            <v>25.5704180040103</v>
          </cell>
        </row>
        <row r="104">
          <cell r="B104">
            <v>246</v>
          </cell>
          <cell r="D104">
            <v>23.304906254164074</v>
          </cell>
        </row>
        <row r="105">
          <cell r="B105">
            <v>352</v>
          </cell>
          <cell r="D105">
            <v>25.5704180040103</v>
          </cell>
        </row>
        <row r="106">
          <cell r="B106">
            <v>372</v>
          </cell>
          <cell r="D106">
            <v>56.14642745390838</v>
          </cell>
        </row>
        <row r="107">
          <cell r="B107">
            <v>833</v>
          </cell>
          <cell r="D107">
            <v>25.5704180040103</v>
          </cell>
        </row>
        <row r="108">
          <cell r="B108">
            <v>428</v>
          </cell>
          <cell r="D108">
            <v>25.5704180040103</v>
          </cell>
        </row>
        <row r="109">
          <cell r="B109">
            <v>440</v>
          </cell>
          <cell r="D109">
            <v>25.5704180040103</v>
          </cell>
        </row>
        <row r="110">
          <cell r="B110">
            <v>578</v>
          </cell>
          <cell r="D110">
            <v>4.961141497472104</v>
          </cell>
        </row>
        <row r="111">
          <cell r="B111">
            <v>752</v>
          </cell>
          <cell r="D111">
            <v>20.5</v>
          </cell>
        </row>
        <row r="112">
          <cell r="B112">
            <v>826</v>
          </cell>
          <cell r="D112">
            <v>16.5</v>
          </cell>
        </row>
        <row r="113">
          <cell r="B113">
            <v>16</v>
          </cell>
          <cell r="D113">
            <v>27.648074566430626</v>
          </cell>
        </row>
        <row r="114">
          <cell r="B114">
            <v>184</v>
          </cell>
          <cell r="D114" t="str">
            <v>*</v>
          </cell>
        </row>
        <row r="115">
          <cell r="B115">
            <v>258</v>
          </cell>
          <cell r="D115">
            <v>25.5704180040103</v>
          </cell>
        </row>
        <row r="116">
          <cell r="B116">
            <v>570</v>
          </cell>
          <cell r="D116" t="str">
            <v>*</v>
          </cell>
        </row>
        <row r="117">
          <cell r="B117">
            <v>882</v>
          </cell>
          <cell r="D117">
            <v>27.648074566430626</v>
          </cell>
        </row>
        <row r="118">
          <cell r="B118">
            <v>772</v>
          </cell>
          <cell r="D118" t="str">
            <v>*</v>
          </cell>
        </row>
        <row r="119">
          <cell r="B119">
            <v>776</v>
          </cell>
          <cell r="D119">
            <v>27.648074566430626</v>
          </cell>
        </row>
        <row r="120">
          <cell r="B120">
            <v>798</v>
          </cell>
          <cell r="D120">
            <v>27.648074566430626</v>
          </cell>
        </row>
        <row r="121">
          <cell r="B121">
            <v>876</v>
          </cell>
          <cell r="D121" t="str">
            <v>*</v>
          </cell>
        </row>
        <row r="122">
          <cell r="B122">
            <v>96</v>
          </cell>
          <cell r="D122">
            <v>25.5704180040103</v>
          </cell>
        </row>
        <row r="123">
          <cell r="B123">
            <v>116</v>
          </cell>
          <cell r="D123">
            <v>27.648074566430626</v>
          </cell>
        </row>
        <row r="124">
          <cell r="B124">
            <v>360</v>
          </cell>
          <cell r="D124">
            <v>27.648074566430626</v>
          </cell>
        </row>
        <row r="125">
          <cell r="B125">
            <v>418</v>
          </cell>
          <cell r="D125">
            <v>27.648074566430626</v>
          </cell>
        </row>
        <row r="126">
          <cell r="B126">
            <v>458</v>
          </cell>
          <cell r="D126">
            <v>89.563549462297971</v>
          </cell>
        </row>
        <row r="127">
          <cell r="B127">
            <v>104</v>
          </cell>
          <cell r="D127">
            <v>27.648074566430626</v>
          </cell>
        </row>
        <row r="128">
          <cell r="B128">
            <v>608</v>
          </cell>
          <cell r="D128">
            <v>27.648074566430626</v>
          </cell>
        </row>
        <row r="129">
          <cell r="B129">
            <v>702</v>
          </cell>
          <cell r="D129">
            <v>25.5704180040103</v>
          </cell>
        </row>
        <row r="130">
          <cell r="B130">
            <v>764</v>
          </cell>
          <cell r="D130">
            <v>27.648074566430626</v>
          </cell>
        </row>
        <row r="131">
          <cell r="B131">
            <v>626</v>
          </cell>
          <cell r="D131">
            <v>27.648074566430626</v>
          </cell>
        </row>
        <row r="132">
          <cell r="B132">
            <v>704</v>
          </cell>
          <cell r="D132">
            <v>27.648074566430626</v>
          </cell>
        </row>
        <row r="133">
          <cell r="B133">
            <v>4</v>
          </cell>
          <cell r="D133">
            <v>27.648074566430626</v>
          </cell>
        </row>
        <row r="134">
          <cell r="B134">
            <v>50</v>
          </cell>
          <cell r="D134">
            <v>3.3391539473684211</v>
          </cell>
        </row>
        <row r="135">
          <cell r="B135">
            <v>64</v>
          </cell>
          <cell r="D135">
            <v>27.648074566430626</v>
          </cell>
        </row>
        <row r="136">
          <cell r="B136">
            <v>356</v>
          </cell>
          <cell r="D136">
            <v>27.648074566430626</v>
          </cell>
        </row>
        <row r="137">
          <cell r="B137">
            <v>364</v>
          </cell>
          <cell r="D137">
            <v>27.648074566430626</v>
          </cell>
        </row>
        <row r="138">
          <cell r="B138">
            <v>462</v>
          </cell>
          <cell r="D138">
            <v>27.648074566430626</v>
          </cell>
        </row>
        <row r="139">
          <cell r="B139">
            <v>524</v>
          </cell>
          <cell r="D139">
            <v>27.648074566430626</v>
          </cell>
        </row>
        <row r="140">
          <cell r="B140">
            <v>586</v>
          </cell>
          <cell r="D140">
            <v>27.648074566430626</v>
          </cell>
        </row>
        <row r="141">
          <cell r="B141">
            <v>144</v>
          </cell>
          <cell r="D141">
            <v>27.648074566430626</v>
          </cell>
        </row>
        <row r="142">
          <cell r="B142">
            <v>8</v>
          </cell>
          <cell r="D142">
            <v>27.648074566430626</v>
          </cell>
        </row>
        <row r="143">
          <cell r="B143">
            <v>20</v>
          </cell>
          <cell r="D143">
            <v>25.5704180040103</v>
          </cell>
        </row>
        <row r="144">
          <cell r="B144">
            <v>70</v>
          </cell>
          <cell r="D144">
            <v>27.648074566430626</v>
          </cell>
        </row>
        <row r="145">
          <cell r="B145">
            <v>191</v>
          </cell>
          <cell r="D145">
            <v>25.5704180040103</v>
          </cell>
        </row>
        <row r="146">
          <cell r="B146">
            <v>292</v>
          </cell>
          <cell r="D146">
            <v>25.5704180040103</v>
          </cell>
        </row>
        <row r="147">
          <cell r="B147">
            <v>300</v>
          </cell>
          <cell r="D147">
            <v>25.5704180040103</v>
          </cell>
        </row>
        <row r="148">
          <cell r="B148">
            <v>336</v>
          </cell>
          <cell r="D148" t="str">
            <v>*</v>
          </cell>
        </row>
        <row r="149">
          <cell r="B149">
            <v>380</v>
          </cell>
          <cell r="D149">
            <v>25.5704180040103</v>
          </cell>
        </row>
        <row r="150">
          <cell r="B150">
            <v>470</v>
          </cell>
          <cell r="D150">
            <v>25.5704180040103</v>
          </cell>
        </row>
        <row r="151">
          <cell r="B151">
            <v>499</v>
          </cell>
          <cell r="D151">
            <v>27.648074566430626</v>
          </cell>
        </row>
        <row r="152">
          <cell r="B152">
            <v>807</v>
          </cell>
          <cell r="D152">
            <v>27.648074566430626</v>
          </cell>
        </row>
        <row r="153">
          <cell r="B153">
            <v>620</v>
          </cell>
          <cell r="D153">
            <v>25.5704180040103</v>
          </cell>
        </row>
        <row r="154">
          <cell r="B154">
            <v>674</v>
          </cell>
          <cell r="D154">
            <v>25.5704180040103</v>
          </cell>
        </row>
        <row r="155">
          <cell r="B155">
            <v>688</v>
          </cell>
          <cell r="D155">
            <v>6</v>
          </cell>
        </row>
        <row r="156">
          <cell r="B156">
            <v>705</v>
          </cell>
          <cell r="D156">
            <v>20.080268514930744</v>
          </cell>
        </row>
        <row r="157">
          <cell r="B157">
            <v>724</v>
          </cell>
          <cell r="D157">
            <v>25.5704180040103</v>
          </cell>
        </row>
        <row r="158">
          <cell r="B158">
            <v>24</v>
          </cell>
          <cell r="D158">
            <v>27.648074566430626</v>
          </cell>
        </row>
        <row r="159">
          <cell r="B159">
            <v>204</v>
          </cell>
          <cell r="D159">
            <v>27.648074566430626</v>
          </cell>
        </row>
        <row r="160">
          <cell r="B160">
            <v>72</v>
          </cell>
          <cell r="D160">
            <v>27.648074566430626</v>
          </cell>
        </row>
        <row r="161">
          <cell r="B161">
            <v>854</v>
          </cell>
          <cell r="D161">
            <v>27.648074566430626</v>
          </cell>
        </row>
        <row r="162">
          <cell r="B162">
            <v>108</v>
          </cell>
          <cell r="D162">
            <v>27.648074566430626</v>
          </cell>
        </row>
        <row r="163">
          <cell r="B163">
            <v>132</v>
          </cell>
          <cell r="D163">
            <v>27.648074566430626</v>
          </cell>
        </row>
        <row r="164">
          <cell r="B164">
            <v>120</v>
          </cell>
          <cell r="D164">
            <v>27.648074566430626</v>
          </cell>
        </row>
        <row r="165">
          <cell r="B165">
            <v>140</v>
          </cell>
          <cell r="D165">
            <v>27.648074566430626</v>
          </cell>
        </row>
        <row r="166">
          <cell r="B166">
            <v>148</v>
          </cell>
          <cell r="D166">
            <v>27.648074566430626</v>
          </cell>
        </row>
        <row r="167">
          <cell r="B167">
            <v>174</v>
          </cell>
          <cell r="D167">
            <v>27.648074566430626</v>
          </cell>
        </row>
        <row r="168">
          <cell r="B168">
            <v>178</v>
          </cell>
          <cell r="D168">
            <v>27.648074566430626</v>
          </cell>
        </row>
        <row r="169">
          <cell r="B169">
            <v>384</v>
          </cell>
          <cell r="D169">
            <v>27.648074566430626</v>
          </cell>
        </row>
        <row r="170">
          <cell r="B170">
            <v>180</v>
          </cell>
          <cell r="D170">
            <v>27.648074566430626</v>
          </cell>
        </row>
        <row r="171">
          <cell r="B171">
            <v>262</v>
          </cell>
          <cell r="D171">
            <v>27.648074566430626</v>
          </cell>
        </row>
        <row r="172">
          <cell r="B172">
            <v>226</v>
          </cell>
          <cell r="D172">
            <v>27.648074566430626</v>
          </cell>
        </row>
        <row r="173">
          <cell r="B173">
            <v>232</v>
          </cell>
          <cell r="D173">
            <v>27.648074566430626</v>
          </cell>
        </row>
        <row r="174">
          <cell r="B174">
            <v>748</v>
          </cell>
          <cell r="D174">
            <v>27.648074566430626</v>
          </cell>
        </row>
        <row r="175">
          <cell r="B175">
            <v>231</v>
          </cell>
          <cell r="D175">
            <v>27.648074566430626</v>
          </cell>
        </row>
        <row r="176">
          <cell r="B176">
            <v>266</v>
          </cell>
          <cell r="D176">
            <v>27.648074566430626</v>
          </cell>
        </row>
        <row r="177">
          <cell r="B177">
            <v>270</v>
          </cell>
          <cell r="D177">
            <v>27.648074566430626</v>
          </cell>
        </row>
        <row r="178">
          <cell r="B178">
            <v>288</v>
          </cell>
          <cell r="D178">
            <v>27.648074566430626</v>
          </cell>
        </row>
        <row r="179">
          <cell r="B179">
            <v>324</v>
          </cell>
          <cell r="D179">
            <v>27.648074566430626</v>
          </cell>
        </row>
        <row r="180">
          <cell r="B180">
            <v>624</v>
          </cell>
          <cell r="D180">
            <v>27.648074566430626</v>
          </cell>
        </row>
        <row r="181">
          <cell r="B181">
            <v>404</v>
          </cell>
          <cell r="D181">
            <v>31.137437546052631</v>
          </cell>
        </row>
        <row r="182">
          <cell r="B182">
            <v>426</v>
          </cell>
          <cell r="D182">
            <v>27.648074566430626</v>
          </cell>
        </row>
        <row r="183">
          <cell r="B183">
            <v>430</v>
          </cell>
          <cell r="D183">
            <v>27.648074566430626</v>
          </cell>
        </row>
        <row r="184">
          <cell r="B184">
            <v>450</v>
          </cell>
          <cell r="D184">
            <v>27.648074566430626</v>
          </cell>
        </row>
        <row r="185">
          <cell r="B185">
            <v>454</v>
          </cell>
          <cell r="D185">
            <v>27.648074566430626</v>
          </cell>
        </row>
        <row r="186">
          <cell r="B186">
            <v>466</v>
          </cell>
          <cell r="D186">
            <v>27.648074566430626</v>
          </cell>
        </row>
        <row r="187">
          <cell r="B187">
            <v>478</v>
          </cell>
          <cell r="D187">
            <v>27.648074566430626</v>
          </cell>
        </row>
        <row r="188">
          <cell r="B188">
            <v>480</v>
          </cell>
          <cell r="D188">
            <v>25.5704180040103</v>
          </cell>
        </row>
        <row r="189">
          <cell r="B189">
            <v>175</v>
          </cell>
          <cell r="D189" t="str">
            <v>*</v>
          </cell>
        </row>
        <row r="190">
          <cell r="B190">
            <v>508</v>
          </cell>
          <cell r="D190">
            <v>27.648074566430626</v>
          </cell>
        </row>
        <row r="191">
          <cell r="B191">
            <v>516</v>
          </cell>
          <cell r="D191">
            <v>27.648074566430626</v>
          </cell>
        </row>
        <row r="192">
          <cell r="B192">
            <v>562</v>
          </cell>
          <cell r="D192">
            <v>27.648074566430626</v>
          </cell>
        </row>
        <row r="193">
          <cell r="B193">
            <v>566</v>
          </cell>
          <cell r="D193">
            <v>27.648074566430626</v>
          </cell>
        </row>
        <row r="194">
          <cell r="B194">
            <v>638</v>
          </cell>
          <cell r="D194" t="str">
            <v>*</v>
          </cell>
        </row>
        <row r="195">
          <cell r="B195">
            <v>646</v>
          </cell>
          <cell r="D195">
            <v>27.648074566430626</v>
          </cell>
        </row>
        <row r="196">
          <cell r="B196">
            <v>654</v>
          </cell>
          <cell r="D196" t="str">
            <v>*</v>
          </cell>
        </row>
        <row r="197">
          <cell r="B197">
            <v>678</v>
          </cell>
          <cell r="D197">
            <v>27.648074566430626</v>
          </cell>
        </row>
        <row r="198">
          <cell r="B198">
            <v>686</v>
          </cell>
          <cell r="D198">
            <v>27.648074566430626</v>
          </cell>
        </row>
        <row r="199">
          <cell r="B199">
            <v>690</v>
          </cell>
          <cell r="D199">
            <v>25.5704180040103</v>
          </cell>
        </row>
        <row r="200">
          <cell r="B200">
            <v>694</v>
          </cell>
          <cell r="D200">
            <v>27.648074566430626</v>
          </cell>
        </row>
        <row r="201">
          <cell r="B201">
            <v>706</v>
          </cell>
          <cell r="D201">
            <v>27.648074566430626</v>
          </cell>
        </row>
        <row r="202">
          <cell r="B202">
            <v>710</v>
          </cell>
          <cell r="D202">
            <v>27.648074566430626</v>
          </cell>
        </row>
        <row r="203">
          <cell r="B203">
            <v>728</v>
          </cell>
          <cell r="D203">
            <v>27.648074566430626</v>
          </cell>
        </row>
        <row r="204">
          <cell r="B204">
            <v>768</v>
          </cell>
          <cell r="D204">
            <v>27.648074566430626</v>
          </cell>
        </row>
        <row r="205">
          <cell r="B205">
            <v>800</v>
          </cell>
          <cell r="D205">
            <v>27.648074566430626</v>
          </cell>
        </row>
        <row r="206">
          <cell r="B206">
            <v>834</v>
          </cell>
          <cell r="D206">
            <v>27.648074566430626</v>
          </cell>
        </row>
        <row r="207">
          <cell r="B207">
            <v>894</v>
          </cell>
          <cell r="D207">
            <v>27.648074566430626</v>
          </cell>
        </row>
        <row r="208">
          <cell r="B208">
            <v>716</v>
          </cell>
          <cell r="D208">
            <v>27.648074566430626</v>
          </cell>
        </row>
        <row r="209">
          <cell r="B209">
            <v>51</v>
          </cell>
          <cell r="D209">
            <v>27.648074566430626</v>
          </cell>
        </row>
        <row r="210">
          <cell r="B210">
            <v>31</v>
          </cell>
          <cell r="D210">
            <v>27.648074566430626</v>
          </cell>
        </row>
        <row r="211">
          <cell r="B211">
            <v>48</v>
          </cell>
          <cell r="D211">
            <v>25.5704180040103</v>
          </cell>
        </row>
        <row r="212">
          <cell r="B212">
            <v>196</v>
          </cell>
          <cell r="D212">
            <v>25.5704180040103</v>
          </cell>
        </row>
        <row r="213">
          <cell r="B213">
            <v>268</v>
          </cell>
          <cell r="D213">
            <v>27.648074566430626</v>
          </cell>
        </row>
        <row r="214">
          <cell r="B214">
            <v>368</v>
          </cell>
          <cell r="D214">
            <v>27.648074566430626</v>
          </cell>
        </row>
        <row r="215">
          <cell r="B215">
            <v>376</v>
          </cell>
          <cell r="D215">
            <v>27.437618593108716</v>
          </cell>
        </row>
        <row r="216">
          <cell r="B216">
            <v>400</v>
          </cell>
          <cell r="D216">
            <v>27.648074566430626</v>
          </cell>
        </row>
        <row r="217">
          <cell r="B217">
            <v>414</v>
          </cell>
          <cell r="D217">
            <v>25.5704180040103</v>
          </cell>
        </row>
        <row r="218">
          <cell r="B218">
            <v>422</v>
          </cell>
          <cell r="D218">
            <v>27.648074566430626</v>
          </cell>
        </row>
        <row r="219">
          <cell r="B219">
            <v>512</v>
          </cell>
          <cell r="D219">
            <v>25.5704180040103</v>
          </cell>
        </row>
        <row r="220">
          <cell r="B220">
            <v>634</v>
          </cell>
          <cell r="D220">
            <v>25.5704180040103</v>
          </cell>
        </row>
        <row r="221">
          <cell r="B221">
            <v>682</v>
          </cell>
          <cell r="D221">
            <v>25.5704180040103</v>
          </cell>
        </row>
        <row r="222">
          <cell r="B222">
            <v>275</v>
          </cell>
          <cell r="D222">
            <v>27.648074566430626</v>
          </cell>
        </row>
        <row r="223">
          <cell r="B223">
            <v>760</v>
          </cell>
          <cell r="D223">
            <v>27.648074566430626</v>
          </cell>
        </row>
        <row r="224">
          <cell r="B224">
            <v>792</v>
          </cell>
          <cell r="D224">
            <v>27.648074566430626</v>
          </cell>
        </row>
        <row r="225">
          <cell r="B225">
            <v>784</v>
          </cell>
          <cell r="D225">
            <v>25.5704180040103</v>
          </cell>
        </row>
        <row r="226">
          <cell r="B226">
            <v>887</v>
          </cell>
          <cell r="D226">
            <v>27.648074566430626</v>
          </cell>
        </row>
        <row r="227">
          <cell r="B227">
            <v>40</v>
          </cell>
          <cell r="D227">
            <v>28.385021627168378</v>
          </cell>
        </row>
        <row r="228">
          <cell r="B228">
            <v>56</v>
          </cell>
          <cell r="D228">
            <v>19.704067307692309</v>
          </cell>
        </row>
        <row r="229">
          <cell r="B229">
            <v>250</v>
          </cell>
          <cell r="D229">
            <v>24.483138057587134</v>
          </cell>
        </row>
        <row r="230">
          <cell r="B230">
            <v>276</v>
          </cell>
          <cell r="D230">
            <v>20.575845383740386</v>
          </cell>
        </row>
        <row r="231">
          <cell r="B231">
            <v>438</v>
          </cell>
          <cell r="D231">
            <v>25.5704180040103</v>
          </cell>
        </row>
        <row r="232">
          <cell r="B232">
            <v>442</v>
          </cell>
          <cell r="D232">
            <v>20.9</v>
          </cell>
        </row>
        <row r="233">
          <cell r="B233">
            <v>492</v>
          </cell>
          <cell r="D233">
            <v>25.5704180040103</v>
          </cell>
        </row>
        <row r="234">
          <cell r="B234">
            <v>528</v>
          </cell>
          <cell r="D234">
            <v>25.5704180040103</v>
          </cell>
        </row>
        <row r="235">
          <cell r="B235">
            <v>756</v>
          </cell>
          <cell r="D235">
            <v>40</v>
          </cell>
        </row>
        <row r="236">
          <cell r="B236">
            <v>830</v>
          </cell>
          <cell r="D236" t="str">
            <v>*</v>
          </cell>
        </row>
        <row r="237">
          <cell r="B237">
            <v>158</v>
          </cell>
          <cell r="D237" t="str">
            <v>*</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ess to Electricity"/>
    </sheetNames>
    <sheetDataSet>
      <sheetData sheetId="0" refreshError="1">
        <row r="6">
          <cell r="B6" t="str">
            <v>ABW</v>
          </cell>
          <cell r="BM6">
            <v>100</v>
          </cell>
        </row>
        <row r="7">
          <cell r="B7" t="str">
            <v>AFE</v>
          </cell>
          <cell r="BM7">
            <v>45.803485229386901</v>
          </cell>
        </row>
        <row r="8">
          <cell r="B8" t="str">
            <v>AFG</v>
          </cell>
          <cell r="BM8">
            <v>97.699996948242202</v>
          </cell>
        </row>
        <row r="9">
          <cell r="B9" t="str">
            <v>AFW</v>
          </cell>
          <cell r="BM9">
            <v>52.111601003791897</v>
          </cell>
        </row>
        <row r="10">
          <cell r="B10" t="str">
            <v>AGO</v>
          </cell>
          <cell r="BM10">
            <v>46.890609741210902</v>
          </cell>
        </row>
        <row r="11">
          <cell r="B11" t="str">
            <v>ALB</v>
          </cell>
          <cell r="BM11">
            <v>100</v>
          </cell>
        </row>
        <row r="12">
          <cell r="B12" t="str">
            <v>AND</v>
          </cell>
          <cell r="BM12">
            <v>100</v>
          </cell>
        </row>
        <row r="13">
          <cell r="B13" t="str">
            <v>ARB</v>
          </cell>
          <cell r="BM13">
            <v>90.277735082682099</v>
          </cell>
        </row>
        <row r="14">
          <cell r="B14" t="str">
            <v>ARE</v>
          </cell>
          <cell r="BM14">
            <v>100</v>
          </cell>
        </row>
        <row r="15">
          <cell r="B15" t="str">
            <v>ARG</v>
          </cell>
          <cell r="BM15">
            <v>100</v>
          </cell>
        </row>
        <row r="16">
          <cell r="B16" t="str">
            <v>ARM</v>
          </cell>
          <cell r="BM16">
            <v>100</v>
          </cell>
        </row>
        <row r="17">
          <cell r="B17" t="str">
            <v>ASM</v>
          </cell>
        </row>
        <row r="18">
          <cell r="B18" t="str">
            <v>ATG</v>
          </cell>
          <cell r="BM18">
            <v>100</v>
          </cell>
        </row>
        <row r="19">
          <cell r="B19" t="str">
            <v>AUS</v>
          </cell>
          <cell r="BM19">
            <v>100</v>
          </cell>
        </row>
        <row r="20">
          <cell r="B20" t="str">
            <v>AUT</v>
          </cell>
          <cell r="BM20">
            <v>100</v>
          </cell>
        </row>
        <row r="21">
          <cell r="B21" t="str">
            <v>AZE</v>
          </cell>
          <cell r="BM21">
            <v>100</v>
          </cell>
        </row>
        <row r="22">
          <cell r="B22" t="str">
            <v>BDI</v>
          </cell>
          <cell r="BM22">
            <v>11.7355556488037</v>
          </cell>
        </row>
        <row r="23">
          <cell r="B23" t="str">
            <v>BEL</v>
          </cell>
          <cell r="BM23">
            <v>100</v>
          </cell>
        </row>
        <row r="24">
          <cell r="B24" t="str">
            <v>BEN</v>
          </cell>
          <cell r="BM24">
            <v>41.410957336425803</v>
          </cell>
        </row>
        <row r="25">
          <cell r="B25" t="str">
            <v>BFA</v>
          </cell>
          <cell r="BM25">
            <v>18.957239151001001</v>
          </cell>
        </row>
        <row r="26">
          <cell r="B26" t="str">
            <v>BGD</v>
          </cell>
          <cell r="BM26">
            <v>96.199996948242202</v>
          </cell>
        </row>
        <row r="27">
          <cell r="B27" t="str">
            <v>BGR</v>
          </cell>
          <cell r="BM27">
            <v>99.699996948242202</v>
          </cell>
        </row>
        <row r="28">
          <cell r="B28" t="str">
            <v>BHR</v>
          </cell>
          <cell r="BM28">
            <v>100</v>
          </cell>
        </row>
        <row r="29">
          <cell r="B29" t="str">
            <v>BHS</v>
          </cell>
          <cell r="BM29">
            <v>100</v>
          </cell>
        </row>
        <row r="30">
          <cell r="B30" t="str">
            <v>BIH</v>
          </cell>
          <cell r="BM30">
            <v>100</v>
          </cell>
        </row>
        <row r="31">
          <cell r="B31" t="str">
            <v>BLR</v>
          </cell>
          <cell r="BM31">
            <v>100</v>
          </cell>
        </row>
        <row r="32">
          <cell r="B32" t="str">
            <v>BLZ</v>
          </cell>
          <cell r="BM32">
            <v>97.113334655761705</v>
          </cell>
        </row>
        <row r="33">
          <cell r="B33" t="str">
            <v>BMU</v>
          </cell>
          <cell r="BM33">
            <v>100</v>
          </cell>
        </row>
        <row r="34">
          <cell r="B34" t="str">
            <v>BOL</v>
          </cell>
          <cell r="BM34">
            <v>97.554122924804702</v>
          </cell>
        </row>
        <row r="35">
          <cell r="B35" t="str">
            <v>BRA</v>
          </cell>
          <cell r="BM35">
            <v>100</v>
          </cell>
        </row>
        <row r="36">
          <cell r="B36" t="str">
            <v>BRB</v>
          </cell>
          <cell r="BM36">
            <v>100</v>
          </cell>
        </row>
        <row r="37">
          <cell r="B37" t="str">
            <v>BRN</v>
          </cell>
          <cell r="BM37">
            <v>100</v>
          </cell>
        </row>
        <row r="38">
          <cell r="B38" t="str">
            <v>BTN</v>
          </cell>
          <cell r="BM38">
            <v>100</v>
          </cell>
        </row>
        <row r="39">
          <cell r="B39" t="str">
            <v>BWA</v>
          </cell>
          <cell r="BM39">
            <v>71.994758605957003</v>
          </cell>
        </row>
        <row r="40">
          <cell r="B40" t="str">
            <v>CAF</v>
          </cell>
          <cell r="BM40">
            <v>15.465084075927701</v>
          </cell>
        </row>
        <row r="41">
          <cell r="B41" t="str">
            <v>CAN</v>
          </cell>
          <cell r="BM41">
            <v>100</v>
          </cell>
        </row>
        <row r="42">
          <cell r="B42" t="str">
            <v>CEB</v>
          </cell>
          <cell r="BM42">
            <v>99.979640033330199</v>
          </cell>
        </row>
        <row r="43">
          <cell r="B43" t="str">
            <v>CHE</v>
          </cell>
          <cell r="BM43">
            <v>100</v>
          </cell>
        </row>
        <row r="44">
          <cell r="B44" t="str">
            <v>CHI</v>
          </cell>
          <cell r="BM44">
            <v>100</v>
          </cell>
        </row>
        <row r="45">
          <cell r="B45" t="str">
            <v>CHL</v>
          </cell>
          <cell r="BM45">
            <v>100</v>
          </cell>
        </row>
        <row r="46">
          <cell r="B46" t="str">
            <v>CHN</v>
          </cell>
          <cell r="BM46">
            <v>100</v>
          </cell>
        </row>
        <row r="47">
          <cell r="B47" t="str">
            <v>CIV</v>
          </cell>
          <cell r="BM47">
            <v>69.679122924804702</v>
          </cell>
        </row>
        <row r="48">
          <cell r="B48" t="str">
            <v>CMR</v>
          </cell>
          <cell r="BM48">
            <v>64.721366882324205</v>
          </cell>
        </row>
        <row r="49">
          <cell r="B49" t="str">
            <v>COD</v>
          </cell>
          <cell r="BM49">
            <v>19.100000381469702</v>
          </cell>
        </row>
        <row r="50">
          <cell r="B50" t="str">
            <v>COG</v>
          </cell>
          <cell r="BM50">
            <v>49.517101287841797</v>
          </cell>
        </row>
        <row r="51">
          <cell r="B51" t="str">
            <v>COL</v>
          </cell>
          <cell r="BM51">
            <v>100</v>
          </cell>
        </row>
        <row r="52">
          <cell r="B52" t="str">
            <v>COM</v>
          </cell>
          <cell r="BM52">
            <v>86.737136840820298</v>
          </cell>
        </row>
        <row r="53">
          <cell r="B53" t="str">
            <v>CPV</v>
          </cell>
          <cell r="BM53">
            <v>94.1617431640625</v>
          </cell>
        </row>
        <row r="54">
          <cell r="B54" t="str">
            <v>CRI</v>
          </cell>
          <cell r="BM54">
            <v>99.900001525878906</v>
          </cell>
        </row>
        <row r="55">
          <cell r="B55" t="str">
            <v>CSS</v>
          </cell>
          <cell r="BM55">
            <v>98.818926897671304</v>
          </cell>
        </row>
        <row r="56">
          <cell r="B56" t="str">
            <v>CUB</v>
          </cell>
          <cell r="BM56">
            <v>100</v>
          </cell>
        </row>
        <row r="57">
          <cell r="B57" t="str">
            <v>CUW</v>
          </cell>
          <cell r="BM57">
            <v>100</v>
          </cell>
        </row>
        <row r="58">
          <cell r="B58" t="str">
            <v>CYM</v>
          </cell>
          <cell r="BM58">
            <v>100</v>
          </cell>
        </row>
        <row r="59">
          <cell r="B59" t="str">
            <v>CYP</v>
          </cell>
          <cell r="BM59">
            <v>100</v>
          </cell>
        </row>
        <row r="60">
          <cell r="B60" t="str">
            <v>CZE</v>
          </cell>
          <cell r="BM60">
            <v>100</v>
          </cell>
        </row>
        <row r="61">
          <cell r="B61" t="str">
            <v>DEU</v>
          </cell>
          <cell r="BM61">
            <v>100</v>
          </cell>
        </row>
        <row r="62">
          <cell r="B62" t="str">
            <v>DJI</v>
          </cell>
          <cell r="BM62">
            <v>61.767082214355497</v>
          </cell>
        </row>
        <row r="63">
          <cell r="B63" t="str">
            <v>DMA</v>
          </cell>
          <cell r="BM63">
            <v>100</v>
          </cell>
        </row>
        <row r="64">
          <cell r="B64" t="str">
            <v>DNK</v>
          </cell>
          <cell r="BM64">
            <v>100</v>
          </cell>
        </row>
        <row r="65">
          <cell r="B65" t="str">
            <v>DOM</v>
          </cell>
          <cell r="BM65">
            <v>100</v>
          </cell>
        </row>
        <row r="66">
          <cell r="B66" t="str">
            <v>DZA</v>
          </cell>
          <cell r="BM66">
            <v>99.804130554199205</v>
          </cell>
        </row>
        <row r="67">
          <cell r="B67" t="str">
            <v>EAP</v>
          </cell>
          <cell r="BM67">
            <v>97.802892695404694</v>
          </cell>
        </row>
        <row r="68">
          <cell r="B68" t="str">
            <v>EAR</v>
          </cell>
          <cell r="BM68">
            <v>93.382215674326702</v>
          </cell>
        </row>
        <row r="69">
          <cell r="B69" t="str">
            <v>EAS</v>
          </cell>
          <cell r="BM69">
            <v>98.013333848824303</v>
          </cell>
        </row>
        <row r="70">
          <cell r="B70" t="str">
            <v>ECA</v>
          </cell>
          <cell r="BM70">
            <v>99.989201081944302</v>
          </cell>
        </row>
        <row r="71">
          <cell r="B71" t="str">
            <v>ECS</v>
          </cell>
          <cell r="BM71">
            <v>99.995321344515105</v>
          </cell>
        </row>
        <row r="72">
          <cell r="B72" t="str">
            <v>ECU</v>
          </cell>
          <cell r="BM72">
            <v>98.849998474121094</v>
          </cell>
        </row>
        <row r="73">
          <cell r="B73" t="str">
            <v>EGY</v>
          </cell>
          <cell r="BM73">
            <v>100</v>
          </cell>
        </row>
        <row r="74">
          <cell r="B74" t="str">
            <v>EMU</v>
          </cell>
          <cell r="BM74">
            <v>100</v>
          </cell>
        </row>
        <row r="75">
          <cell r="B75" t="str">
            <v>ERI</v>
          </cell>
          <cell r="BM75">
            <v>52.171096801757798</v>
          </cell>
        </row>
        <row r="76">
          <cell r="B76" t="str">
            <v>ESP</v>
          </cell>
          <cell r="BM76">
            <v>100</v>
          </cell>
        </row>
        <row r="77">
          <cell r="B77" t="str">
            <v>EST</v>
          </cell>
          <cell r="BM77">
            <v>100</v>
          </cell>
        </row>
        <row r="78">
          <cell r="B78" t="str">
            <v>ETH</v>
          </cell>
          <cell r="BM78">
            <v>51.093982696533203</v>
          </cell>
        </row>
        <row r="79">
          <cell r="B79" t="str">
            <v>EUU</v>
          </cell>
          <cell r="BM79">
            <v>99.995351238004204</v>
          </cell>
        </row>
        <row r="80">
          <cell r="B80" t="str">
            <v>FCS</v>
          </cell>
          <cell r="BM80">
            <v>56.537250991542003</v>
          </cell>
        </row>
        <row r="81">
          <cell r="B81" t="str">
            <v>FIN</v>
          </cell>
          <cell r="BM81">
            <v>100</v>
          </cell>
        </row>
        <row r="82">
          <cell r="B82" t="str">
            <v>FJI</v>
          </cell>
          <cell r="BM82">
            <v>100</v>
          </cell>
        </row>
        <row r="83">
          <cell r="B83" t="str">
            <v>FRA</v>
          </cell>
          <cell r="BM83">
            <v>100</v>
          </cell>
        </row>
        <row r="84">
          <cell r="B84" t="str">
            <v>FRO</v>
          </cell>
          <cell r="BM84">
            <v>100</v>
          </cell>
        </row>
        <row r="85">
          <cell r="B85" t="str">
            <v>FSM</v>
          </cell>
          <cell r="BM85">
            <v>82.925918579101605</v>
          </cell>
        </row>
        <row r="86">
          <cell r="B86" t="str">
            <v>GAB</v>
          </cell>
          <cell r="BM86">
            <v>91.571563720703097</v>
          </cell>
        </row>
        <row r="87">
          <cell r="B87" t="str">
            <v>GBR</v>
          </cell>
          <cell r="BM87">
            <v>100</v>
          </cell>
        </row>
        <row r="88">
          <cell r="B88" t="str">
            <v>GEO</v>
          </cell>
          <cell r="BM88">
            <v>100</v>
          </cell>
        </row>
        <row r="89">
          <cell r="B89" t="str">
            <v>GHA</v>
          </cell>
          <cell r="BM89">
            <v>85.873550415039105</v>
          </cell>
        </row>
        <row r="90">
          <cell r="B90" t="str">
            <v>GIB</v>
          </cell>
          <cell r="BM90">
            <v>100</v>
          </cell>
        </row>
        <row r="91">
          <cell r="B91" t="str">
            <v>GIN</v>
          </cell>
          <cell r="BM91">
            <v>44.668678283691399</v>
          </cell>
        </row>
        <row r="92">
          <cell r="B92" t="str">
            <v>GMB</v>
          </cell>
          <cell r="BM92">
            <v>62.273067474365199</v>
          </cell>
        </row>
        <row r="93">
          <cell r="B93" t="str">
            <v>GNB</v>
          </cell>
          <cell r="BM93">
            <v>33.3354682922363</v>
          </cell>
        </row>
        <row r="94">
          <cell r="B94" t="str">
            <v>GNQ</v>
          </cell>
          <cell r="BM94">
            <v>66.747726440429702</v>
          </cell>
        </row>
        <row r="95">
          <cell r="B95" t="str">
            <v>GRC</v>
          </cell>
          <cell r="BM95">
            <v>100</v>
          </cell>
        </row>
        <row r="96">
          <cell r="B96" t="str">
            <v>GRD</v>
          </cell>
          <cell r="BM96">
            <v>93.586448669433594</v>
          </cell>
        </row>
        <row r="97">
          <cell r="B97" t="str">
            <v>GRL</v>
          </cell>
          <cell r="BM97">
            <v>100</v>
          </cell>
        </row>
        <row r="98">
          <cell r="B98" t="str">
            <v>GTM</v>
          </cell>
          <cell r="BM98">
            <v>97.055267333984403</v>
          </cell>
        </row>
        <row r="99">
          <cell r="B99" t="str">
            <v>GUM</v>
          </cell>
          <cell r="BM99">
            <v>100</v>
          </cell>
        </row>
        <row r="100">
          <cell r="B100" t="str">
            <v>GUY</v>
          </cell>
          <cell r="BM100">
            <v>92.540542602539105</v>
          </cell>
        </row>
        <row r="101">
          <cell r="B101" t="str">
            <v>HIC</v>
          </cell>
          <cell r="BM101">
            <v>99.988298451008404</v>
          </cell>
        </row>
        <row r="102">
          <cell r="B102" t="str">
            <v>HKG</v>
          </cell>
          <cell r="BM102">
            <v>100</v>
          </cell>
        </row>
        <row r="103">
          <cell r="B103" t="str">
            <v>HND</v>
          </cell>
          <cell r="BM103">
            <v>93.206710815429702</v>
          </cell>
        </row>
        <row r="104">
          <cell r="B104" t="str">
            <v>HPC</v>
          </cell>
          <cell r="BM104">
            <v>46.542406946377596</v>
          </cell>
        </row>
        <row r="105">
          <cell r="B105" t="str">
            <v>HRV</v>
          </cell>
          <cell r="BM105">
            <v>100</v>
          </cell>
        </row>
        <row r="106">
          <cell r="B106" t="str">
            <v>HTI</v>
          </cell>
          <cell r="BM106">
            <v>46.925533294677699</v>
          </cell>
        </row>
        <row r="107">
          <cell r="B107" t="str">
            <v>HUN</v>
          </cell>
          <cell r="BM107">
            <v>100</v>
          </cell>
        </row>
        <row r="108">
          <cell r="B108" t="str">
            <v>IBD</v>
          </cell>
          <cell r="BM108">
            <v>98.778447065034499</v>
          </cell>
        </row>
        <row r="109">
          <cell r="B109" t="str">
            <v>IBT</v>
          </cell>
          <cell r="BM109">
            <v>89.021668566694999</v>
          </cell>
        </row>
        <row r="110">
          <cell r="B110" t="str">
            <v>IDA</v>
          </cell>
          <cell r="BM110">
            <v>61.226173182899402</v>
          </cell>
        </row>
        <row r="111">
          <cell r="B111" t="str">
            <v>IDB</v>
          </cell>
          <cell r="BM111">
            <v>67.8680694575568</v>
          </cell>
        </row>
        <row r="112">
          <cell r="B112" t="str">
            <v>IDN</v>
          </cell>
          <cell r="BM112">
            <v>96.949996948242202</v>
          </cell>
        </row>
        <row r="113">
          <cell r="B113" t="str">
            <v>IDX</v>
          </cell>
          <cell r="BM113">
            <v>57.8593075730236</v>
          </cell>
        </row>
        <row r="114">
          <cell r="B114" t="str">
            <v>IMN</v>
          </cell>
          <cell r="BM114">
            <v>100</v>
          </cell>
        </row>
        <row r="115">
          <cell r="B115" t="str">
            <v>IND</v>
          </cell>
          <cell r="BM115">
            <v>99</v>
          </cell>
        </row>
        <row r="116">
          <cell r="B116" t="str">
            <v>INX</v>
          </cell>
        </row>
        <row r="117">
          <cell r="B117" t="str">
            <v>IRL</v>
          </cell>
          <cell r="BM117">
            <v>100</v>
          </cell>
        </row>
        <row r="118">
          <cell r="B118" t="str">
            <v>IRN</v>
          </cell>
          <cell r="BM118">
            <v>100</v>
          </cell>
        </row>
        <row r="119">
          <cell r="B119" t="str">
            <v>IRQ</v>
          </cell>
          <cell r="BM119">
            <v>100</v>
          </cell>
        </row>
        <row r="120">
          <cell r="B120" t="str">
            <v>ISL</v>
          </cell>
          <cell r="BM120">
            <v>100</v>
          </cell>
        </row>
        <row r="121">
          <cell r="B121" t="str">
            <v>ISR</v>
          </cell>
          <cell r="BM121">
            <v>100</v>
          </cell>
        </row>
        <row r="122">
          <cell r="B122" t="str">
            <v>ITA</v>
          </cell>
          <cell r="BM122">
            <v>100</v>
          </cell>
        </row>
        <row r="123">
          <cell r="B123" t="str">
            <v>JAM</v>
          </cell>
          <cell r="BM123">
            <v>100</v>
          </cell>
        </row>
        <row r="124">
          <cell r="B124" t="str">
            <v>JOR</v>
          </cell>
          <cell r="BM124">
            <v>99.900001525878906</v>
          </cell>
        </row>
        <row r="125">
          <cell r="B125" t="str">
            <v>JPN</v>
          </cell>
          <cell r="BM125">
            <v>100</v>
          </cell>
        </row>
        <row r="126">
          <cell r="B126" t="str">
            <v>KAZ</v>
          </cell>
          <cell r="BM126">
            <v>100</v>
          </cell>
        </row>
        <row r="127">
          <cell r="B127" t="str">
            <v>KEN</v>
          </cell>
          <cell r="BM127">
            <v>71.437942504882798</v>
          </cell>
        </row>
        <row r="128">
          <cell r="B128" t="str">
            <v>KGZ</v>
          </cell>
          <cell r="BM128">
            <v>99.981048583984403</v>
          </cell>
        </row>
        <row r="129">
          <cell r="B129" t="str">
            <v>KHM</v>
          </cell>
          <cell r="BM129">
            <v>86.400001525878906</v>
          </cell>
        </row>
        <row r="130">
          <cell r="B130" t="str">
            <v>KIR</v>
          </cell>
          <cell r="BM130">
            <v>91.963027954101605</v>
          </cell>
        </row>
        <row r="131">
          <cell r="B131" t="str">
            <v>KNA</v>
          </cell>
          <cell r="BM131">
            <v>100</v>
          </cell>
        </row>
        <row r="132">
          <cell r="B132" t="str">
            <v>KOR</v>
          </cell>
          <cell r="BM132">
            <v>100</v>
          </cell>
        </row>
        <row r="133">
          <cell r="B133" t="str">
            <v>KWT</v>
          </cell>
          <cell r="BM133">
            <v>100</v>
          </cell>
        </row>
        <row r="134">
          <cell r="B134" t="str">
            <v>LAC</v>
          </cell>
          <cell r="BM134">
            <v>98.385954419077507</v>
          </cell>
        </row>
        <row r="135">
          <cell r="B135" t="str">
            <v>LAO</v>
          </cell>
          <cell r="BM135">
            <v>100</v>
          </cell>
        </row>
        <row r="136">
          <cell r="B136" t="str">
            <v>LBN</v>
          </cell>
          <cell r="BM136">
            <v>100</v>
          </cell>
        </row>
        <row r="137">
          <cell r="B137" t="str">
            <v>LBR</v>
          </cell>
          <cell r="BM137">
            <v>27.534709930419901</v>
          </cell>
        </row>
        <row r="138">
          <cell r="B138" t="str">
            <v>LBY</v>
          </cell>
          <cell r="BM138">
            <v>69.707351684570298</v>
          </cell>
        </row>
        <row r="139">
          <cell r="B139" t="str">
            <v>LCA</v>
          </cell>
          <cell r="BM139">
            <v>100</v>
          </cell>
        </row>
        <row r="140">
          <cell r="B140" t="str">
            <v>LCN</v>
          </cell>
          <cell r="BM140">
            <v>98.516127284061696</v>
          </cell>
        </row>
        <row r="141">
          <cell r="B141" t="str">
            <v>LDC</v>
          </cell>
          <cell r="BM141">
            <v>54.696380547940102</v>
          </cell>
        </row>
        <row r="142">
          <cell r="B142" t="str">
            <v>LIC</v>
          </cell>
          <cell r="BM142">
            <v>42.988145215162</v>
          </cell>
        </row>
        <row r="143">
          <cell r="B143" t="str">
            <v>LIE</v>
          </cell>
          <cell r="BM143">
            <v>100</v>
          </cell>
        </row>
        <row r="144">
          <cell r="B144" t="str">
            <v>LKA</v>
          </cell>
          <cell r="BM144">
            <v>100</v>
          </cell>
        </row>
        <row r="145">
          <cell r="B145" t="str">
            <v>LMC</v>
          </cell>
          <cell r="BM145">
            <v>90.114857643034398</v>
          </cell>
        </row>
        <row r="146">
          <cell r="B146" t="str">
            <v>LMY</v>
          </cell>
          <cell r="BM146">
            <v>88.705528698718894</v>
          </cell>
        </row>
        <row r="147">
          <cell r="B147" t="str">
            <v>LSO</v>
          </cell>
          <cell r="BM147">
            <v>47.352737426757798</v>
          </cell>
        </row>
        <row r="148">
          <cell r="B148" t="str">
            <v>LTE</v>
          </cell>
          <cell r="BM148">
            <v>99.463718581807697</v>
          </cell>
        </row>
        <row r="149">
          <cell r="B149" t="str">
            <v>LTU</v>
          </cell>
          <cell r="BM149">
            <v>100</v>
          </cell>
        </row>
        <row r="150">
          <cell r="B150" t="str">
            <v>LUX</v>
          </cell>
          <cell r="BM150">
            <v>100</v>
          </cell>
        </row>
        <row r="151">
          <cell r="B151" t="str">
            <v>LVA</v>
          </cell>
          <cell r="BM151">
            <v>100</v>
          </cell>
        </row>
        <row r="152">
          <cell r="B152" t="str">
            <v>MAC</v>
          </cell>
          <cell r="BM152">
            <v>100</v>
          </cell>
        </row>
        <row r="153">
          <cell r="B153" t="str">
            <v>MAF</v>
          </cell>
          <cell r="BM153">
            <v>100</v>
          </cell>
        </row>
        <row r="154">
          <cell r="B154" t="str">
            <v>MAR</v>
          </cell>
          <cell r="BM154">
            <v>100</v>
          </cell>
        </row>
        <row r="155">
          <cell r="B155" t="str">
            <v>MCO</v>
          </cell>
          <cell r="BM155">
            <v>100</v>
          </cell>
        </row>
        <row r="156">
          <cell r="B156" t="str">
            <v>MDA</v>
          </cell>
          <cell r="BM156">
            <v>100</v>
          </cell>
        </row>
        <row r="157">
          <cell r="B157" t="str">
            <v>MDG</v>
          </cell>
          <cell r="BM157">
            <v>33.735076904296903</v>
          </cell>
        </row>
        <row r="158">
          <cell r="B158" t="str">
            <v>MDV</v>
          </cell>
          <cell r="BM158">
            <v>100</v>
          </cell>
        </row>
        <row r="159">
          <cell r="B159" t="str">
            <v>MEA</v>
          </cell>
          <cell r="BM159">
            <v>97.355935849458106</v>
          </cell>
        </row>
        <row r="160">
          <cell r="B160" t="str">
            <v>MEX</v>
          </cell>
          <cell r="BM160">
            <v>99.400001525878906</v>
          </cell>
        </row>
        <row r="161">
          <cell r="B161" t="str">
            <v>MHL</v>
          </cell>
          <cell r="BM161">
            <v>99.160606384277301</v>
          </cell>
        </row>
        <row r="162">
          <cell r="B162" t="str">
            <v>MIC</v>
          </cell>
          <cell r="BM162">
            <v>94.084596668498193</v>
          </cell>
        </row>
        <row r="163">
          <cell r="B163" t="str">
            <v>MKD</v>
          </cell>
          <cell r="BM163">
            <v>100</v>
          </cell>
        </row>
        <row r="164">
          <cell r="B164" t="str">
            <v>MLI</v>
          </cell>
          <cell r="BM164">
            <v>50.561416625976598</v>
          </cell>
        </row>
        <row r="165">
          <cell r="B165" t="str">
            <v>MLT</v>
          </cell>
          <cell r="BM165">
            <v>100</v>
          </cell>
        </row>
        <row r="166">
          <cell r="B166" t="str">
            <v>MMR</v>
          </cell>
          <cell r="BM166">
            <v>70.397193908691406</v>
          </cell>
        </row>
        <row r="167">
          <cell r="B167" t="str">
            <v>MNA</v>
          </cell>
          <cell r="BM167">
            <v>96.899440830920398</v>
          </cell>
        </row>
        <row r="168">
          <cell r="B168" t="str">
            <v>MNE</v>
          </cell>
          <cell r="BM168">
            <v>100</v>
          </cell>
        </row>
        <row r="169">
          <cell r="B169" t="str">
            <v>MNG</v>
          </cell>
          <cell r="BM169">
            <v>98.099998474121094</v>
          </cell>
        </row>
        <row r="170">
          <cell r="B170" t="str">
            <v>MNP</v>
          </cell>
          <cell r="BM170">
            <v>100</v>
          </cell>
        </row>
        <row r="171">
          <cell r="B171" t="str">
            <v>MOZ</v>
          </cell>
          <cell r="BM171">
            <v>30.603832244873001</v>
          </cell>
        </row>
        <row r="172">
          <cell r="B172" t="str">
            <v>MRT</v>
          </cell>
          <cell r="BM172">
            <v>47.348419189453097</v>
          </cell>
        </row>
        <row r="173">
          <cell r="B173" t="str">
            <v>MUS</v>
          </cell>
          <cell r="BM173">
            <v>99.661651611328097</v>
          </cell>
        </row>
        <row r="174">
          <cell r="B174" t="str">
            <v>MWI</v>
          </cell>
          <cell r="BM174">
            <v>14.866768836975099</v>
          </cell>
        </row>
        <row r="175">
          <cell r="B175" t="str">
            <v>MYS</v>
          </cell>
          <cell r="BM175">
            <v>100</v>
          </cell>
        </row>
        <row r="176">
          <cell r="B176" t="str">
            <v>NAC</v>
          </cell>
          <cell r="BM176">
            <v>100</v>
          </cell>
        </row>
        <row r="177">
          <cell r="B177" t="str">
            <v>NAM</v>
          </cell>
          <cell r="BM177">
            <v>56.258693695068402</v>
          </cell>
        </row>
        <row r="178">
          <cell r="B178" t="str">
            <v>NCL</v>
          </cell>
          <cell r="BM178">
            <v>100</v>
          </cell>
        </row>
        <row r="179">
          <cell r="B179" t="str">
            <v>NER</v>
          </cell>
          <cell r="BM179">
            <v>19.251909255981399</v>
          </cell>
        </row>
        <row r="180">
          <cell r="B180" t="str">
            <v>NGA</v>
          </cell>
          <cell r="BM180">
            <v>55.400001525878899</v>
          </cell>
        </row>
        <row r="181">
          <cell r="B181" t="str">
            <v>NIC</v>
          </cell>
          <cell r="BM181">
            <v>88.907379150390597</v>
          </cell>
        </row>
        <row r="182">
          <cell r="B182" t="str">
            <v>NLD</v>
          </cell>
          <cell r="BM182">
            <v>100</v>
          </cell>
        </row>
        <row r="183">
          <cell r="B183" t="str">
            <v>NOR</v>
          </cell>
          <cell r="BM183">
            <v>100</v>
          </cell>
        </row>
        <row r="184">
          <cell r="B184" t="str">
            <v>NPL</v>
          </cell>
          <cell r="BM184">
            <v>89.900001525878906</v>
          </cell>
        </row>
        <row r="185">
          <cell r="B185" t="str">
            <v>NRU</v>
          </cell>
          <cell r="BM185">
            <v>100</v>
          </cell>
        </row>
        <row r="186">
          <cell r="B186" t="str">
            <v>NZL</v>
          </cell>
          <cell r="BM186">
            <v>100</v>
          </cell>
        </row>
        <row r="187">
          <cell r="B187" t="str">
            <v>OED</v>
          </cell>
          <cell r="BM187">
            <v>99.943284791263196</v>
          </cell>
        </row>
        <row r="188">
          <cell r="B188" t="str">
            <v>OMN</v>
          </cell>
          <cell r="BM188">
            <v>100</v>
          </cell>
        </row>
        <row r="189">
          <cell r="B189" t="str">
            <v>OSS</v>
          </cell>
          <cell r="BM189">
            <v>79.194673744848203</v>
          </cell>
        </row>
        <row r="190">
          <cell r="B190" t="str">
            <v>PAK</v>
          </cell>
          <cell r="BM190">
            <v>75.379692077636705</v>
          </cell>
        </row>
        <row r="191">
          <cell r="B191" t="str">
            <v>PAN</v>
          </cell>
          <cell r="BM191">
            <v>96.704635620117202</v>
          </cell>
        </row>
        <row r="192">
          <cell r="B192" t="str">
            <v>PER</v>
          </cell>
          <cell r="BM192">
            <v>99.311813354492202</v>
          </cell>
        </row>
        <row r="193">
          <cell r="B193" t="str">
            <v>PHL</v>
          </cell>
          <cell r="BM193">
            <v>96.842384338378906</v>
          </cell>
        </row>
        <row r="194">
          <cell r="B194" t="str">
            <v>PLW</v>
          </cell>
          <cell r="BM194">
            <v>100</v>
          </cell>
        </row>
        <row r="195">
          <cell r="B195" t="str">
            <v>PNG</v>
          </cell>
          <cell r="BM195">
            <v>60.400001525878899</v>
          </cell>
        </row>
        <row r="196">
          <cell r="B196" t="str">
            <v>POL</v>
          </cell>
          <cell r="BM196">
            <v>100</v>
          </cell>
        </row>
        <row r="197">
          <cell r="B197" t="str">
            <v>PRE</v>
          </cell>
          <cell r="BM197">
            <v>48.4464380996085</v>
          </cell>
        </row>
        <row r="198">
          <cell r="B198" t="str">
            <v>PRI</v>
          </cell>
          <cell r="BM198">
            <v>100</v>
          </cell>
        </row>
        <row r="199">
          <cell r="B199" t="str">
            <v>PRK</v>
          </cell>
          <cell r="BM199">
            <v>52.313545227050803</v>
          </cell>
        </row>
        <row r="200">
          <cell r="B200" t="str">
            <v>PRT</v>
          </cell>
          <cell r="BM200">
            <v>100</v>
          </cell>
        </row>
        <row r="201">
          <cell r="B201" t="str">
            <v>PRY</v>
          </cell>
          <cell r="BM201">
            <v>100</v>
          </cell>
        </row>
        <row r="202">
          <cell r="B202" t="str">
            <v>PSE</v>
          </cell>
          <cell r="BM202">
            <v>100</v>
          </cell>
        </row>
        <row r="203">
          <cell r="B203" t="str">
            <v>PSS</v>
          </cell>
          <cell r="BM203">
            <v>87.616039371523698</v>
          </cell>
        </row>
        <row r="204">
          <cell r="B204" t="str">
            <v>PST</v>
          </cell>
          <cell r="BM204">
            <v>99.998138130684097</v>
          </cell>
        </row>
        <row r="205">
          <cell r="B205" t="str">
            <v>PYF</v>
          </cell>
          <cell r="BM205">
            <v>100</v>
          </cell>
        </row>
        <row r="206">
          <cell r="B206" t="str">
            <v>QAT</v>
          </cell>
          <cell r="BM206">
            <v>100</v>
          </cell>
        </row>
        <row r="207">
          <cell r="B207" t="str">
            <v>ROU</v>
          </cell>
          <cell r="BM207">
            <v>100</v>
          </cell>
        </row>
        <row r="208">
          <cell r="B208" t="str">
            <v>RUS</v>
          </cell>
          <cell r="BM208">
            <v>100</v>
          </cell>
        </row>
        <row r="209">
          <cell r="B209" t="str">
            <v>RWA</v>
          </cell>
          <cell r="BM209">
            <v>46.599998474121101</v>
          </cell>
        </row>
        <row r="210">
          <cell r="B210" t="str">
            <v>SAS</v>
          </cell>
          <cell r="BM210">
            <v>95.784289430009196</v>
          </cell>
        </row>
        <row r="211">
          <cell r="B211" t="str">
            <v>SAU</v>
          </cell>
          <cell r="BM211">
            <v>100</v>
          </cell>
        </row>
        <row r="212">
          <cell r="B212" t="str">
            <v>SDN</v>
          </cell>
          <cell r="BM212">
            <v>55.389701843261697</v>
          </cell>
        </row>
        <row r="213">
          <cell r="B213" t="str">
            <v>SEN</v>
          </cell>
          <cell r="BM213">
            <v>70.368942260742202</v>
          </cell>
        </row>
        <row r="214">
          <cell r="B214" t="str">
            <v>SGP</v>
          </cell>
          <cell r="BM214">
            <v>100</v>
          </cell>
        </row>
        <row r="215">
          <cell r="B215" t="str">
            <v>SLB</v>
          </cell>
          <cell r="BM215">
            <v>73.346481323242202</v>
          </cell>
        </row>
        <row r="216">
          <cell r="B216" t="str">
            <v>SLE</v>
          </cell>
          <cell r="BM216">
            <v>26.200885772705099</v>
          </cell>
        </row>
        <row r="217">
          <cell r="B217" t="str">
            <v>SLV</v>
          </cell>
          <cell r="BM217">
            <v>100</v>
          </cell>
        </row>
        <row r="218">
          <cell r="B218" t="str">
            <v>SMR</v>
          </cell>
          <cell r="BM218">
            <v>100</v>
          </cell>
        </row>
        <row r="219">
          <cell r="B219" t="str">
            <v>SOM</v>
          </cell>
          <cell r="BM219">
            <v>49.730869293212898</v>
          </cell>
        </row>
        <row r="220">
          <cell r="B220" t="str">
            <v>SRB</v>
          </cell>
          <cell r="BM220">
            <v>100</v>
          </cell>
        </row>
        <row r="221">
          <cell r="B221" t="str">
            <v>SSA</v>
          </cell>
          <cell r="BM221">
            <v>48.3466019487038</v>
          </cell>
        </row>
        <row r="222">
          <cell r="B222" t="str">
            <v>SSD</v>
          </cell>
          <cell r="BM222">
            <v>7.2413382530212402</v>
          </cell>
        </row>
        <row r="223">
          <cell r="B223" t="str">
            <v>SSF</v>
          </cell>
          <cell r="BM223">
            <v>48.351078786269603</v>
          </cell>
        </row>
        <row r="224">
          <cell r="B224" t="str">
            <v>SST</v>
          </cell>
          <cell r="BM224">
            <v>83.188520273413999</v>
          </cell>
        </row>
        <row r="225">
          <cell r="B225" t="str">
            <v>STP</v>
          </cell>
          <cell r="BM225">
            <v>76.559089660644503</v>
          </cell>
        </row>
        <row r="226">
          <cell r="B226" t="str">
            <v>SUR</v>
          </cell>
          <cell r="BM226">
            <v>98.204772949218807</v>
          </cell>
        </row>
        <row r="227">
          <cell r="B227" t="str">
            <v>SVK</v>
          </cell>
          <cell r="BM227">
            <v>100</v>
          </cell>
        </row>
        <row r="228">
          <cell r="B228" t="str">
            <v>SVN</v>
          </cell>
          <cell r="BM228">
            <v>100</v>
          </cell>
        </row>
        <row r="229">
          <cell r="B229" t="str">
            <v>SWE</v>
          </cell>
          <cell r="BM229">
            <v>100</v>
          </cell>
        </row>
        <row r="230">
          <cell r="B230" t="str">
            <v>SWZ</v>
          </cell>
          <cell r="BM230">
            <v>79.730499267578097</v>
          </cell>
        </row>
        <row r="231">
          <cell r="B231" t="str">
            <v>SXM</v>
          </cell>
          <cell r="BM231">
            <v>100</v>
          </cell>
        </row>
        <row r="232">
          <cell r="B232" t="str">
            <v>SYC</v>
          </cell>
          <cell r="BM232">
            <v>100</v>
          </cell>
        </row>
        <row r="233">
          <cell r="B233" t="str">
            <v>SYR</v>
          </cell>
          <cell r="BM233">
            <v>89.140319824218807</v>
          </cell>
        </row>
        <row r="234">
          <cell r="B234" t="str">
            <v>TCA</v>
          </cell>
          <cell r="BM234">
            <v>99.400001525878906</v>
          </cell>
        </row>
        <row r="235">
          <cell r="B235" t="str">
            <v>TCD</v>
          </cell>
          <cell r="BM235">
            <v>11.080117225646999</v>
          </cell>
        </row>
        <row r="236">
          <cell r="B236" t="str">
            <v>TEA</v>
          </cell>
          <cell r="BM236">
            <v>98.364473466962295</v>
          </cell>
        </row>
        <row r="237">
          <cell r="B237" t="str">
            <v>TEC</v>
          </cell>
          <cell r="BM237">
            <v>99.990636939756897</v>
          </cell>
        </row>
        <row r="238">
          <cell r="B238" t="str">
            <v>TGO</v>
          </cell>
          <cell r="BM238">
            <v>53.997432708740199</v>
          </cell>
        </row>
        <row r="239">
          <cell r="B239" t="str">
            <v>THA</v>
          </cell>
          <cell r="BM239">
            <v>100</v>
          </cell>
        </row>
        <row r="240">
          <cell r="B240" t="str">
            <v>TJK</v>
          </cell>
          <cell r="BM240">
            <v>99.779296875</v>
          </cell>
        </row>
        <row r="241">
          <cell r="B241" t="str">
            <v>TKM</v>
          </cell>
          <cell r="BM241">
            <v>100</v>
          </cell>
        </row>
        <row r="242">
          <cell r="B242" t="str">
            <v>TLA</v>
          </cell>
          <cell r="BM242">
            <v>98.479159986467295</v>
          </cell>
        </row>
        <row r="243">
          <cell r="B243" t="str">
            <v>TLS</v>
          </cell>
          <cell r="BM243">
            <v>96.123313903808594</v>
          </cell>
        </row>
        <row r="244">
          <cell r="B244" t="str">
            <v>TMN</v>
          </cell>
          <cell r="BM244">
            <v>96.861385314812694</v>
          </cell>
        </row>
        <row r="245">
          <cell r="B245" t="str">
            <v>TON</v>
          </cell>
          <cell r="BM245">
            <v>100</v>
          </cell>
        </row>
        <row r="246">
          <cell r="B246" t="str">
            <v>TSA</v>
          </cell>
          <cell r="BM246">
            <v>95.784289430009196</v>
          </cell>
        </row>
        <row r="247">
          <cell r="B247" t="str">
            <v>TSS</v>
          </cell>
          <cell r="BM247">
            <v>48.351078786269603</v>
          </cell>
        </row>
        <row r="248">
          <cell r="B248" t="str">
            <v>TTO</v>
          </cell>
          <cell r="BM248">
            <v>100</v>
          </cell>
        </row>
        <row r="249">
          <cell r="B249" t="str">
            <v>TUN</v>
          </cell>
          <cell r="BM249">
            <v>100</v>
          </cell>
        </row>
        <row r="250">
          <cell r="B250" t="str">
            <v>TUR</v>
          </cell>
          <cell r="BM250">
            <v>100</v>
          </cell>
        </row>
        <row r="251">
          <cell r="B251" t="str">
            <v>TUV</v>
          </cell>
          <cell r="BM251">
            <v>99.689231872558594</v>
          </cell>
        </row>
        <row r="252">
          <cell r="B252" t="str">
            <v>TZA</v>
          </cell>
          <cell r="BM252">
            <v>39.900001525878899</v>
          </cell>
        </row>
        <row r="253">
          <cell r="B253" t="str">
            <v>UGA</v>
          </cell>
          <cell r="BM253">
            <v>42.074417114257798</v>
          </cell>
        </row>
        <row r="254">
          <cell r="B254" t="str">
            <v>UKR</v>
          </cell>
          <cell r="BM254">
            <v>100</v>
          </cell>
        </row>
        <row r="255">
          <cell r="B255" t="str">
            <v>UMC</v>
          </cell>
          <cell r="BM255">
            <v>99.373883819071395</v>
          </cell>
        </row>
        <row r="256">
          <cell r="B256" t="str">
            <v>URY</v>
          </cell>
          <cell r="BM256">
            <v>100</v>
          </cell>
        </row>
        <row r="257">
          <cell r="B257" t="str">
            <v>USA</v>
          </cell>
          <cell r="BM257">
            <v>100</v>
          </cell>
        </row>
        <row r="258">
          <cell r="B258" t="str">
            <v>UZB</v>
          </cell>
          <cell r="BM258">
            <v>100</v>
          </cell>
        </row>
        <row r="259">
          <cell r="B259" t="str">
            <v>VCT</v>
          </cell>
          <cell r="BM259">
            <v>100</v>
          </cell>
        </row>
        <row r="260">
          <cell r="B260" t="str">
            <v>VEN</v>
          </cell>
          <cell r="BM260">
            <v>100</v>
          </cell>
        </row>
        <row r="261">
          <cell r="B261" t="str">
            <v>VGB</v>
          </cell>
          <cell r="BM261">
            <v>100</v>
          </cell>
        </row>
        <row r="262">
          <cell r="B262" t="str">
            <v>VIR</v>
          </cell>
          <cell r="BM262">
            <v>100</v>
          </cell>
        </row>
        <row r="263">
          <cell r="B263" t="str">
            <v>VNM</v>
          </cell>
          <cell r="BM263">
            <v>100</v>
          </cell>
        </row>
        <row r="264">
          <cell r="B264" t="str">
            <v>VUT</v>
          </cell>
          <cell r="BM264">
            <v>67.333267211914105</v>
          </cell>
        </row>
        <row r="265">
          <cell r="B265" t="str">
            <v>WLD</v>
          </cell>
          <cell r="BM265">
            <v>90.521569211168597</v>
          </cell>
        </row>
        <row r="266">
          <cell r="B266" t="str">
            <v>WSM</v>
          </cell>
          <cell r="BM266">
            <v>100</v>
          </cell>
        </row>
        <row r="267">
          <cell r="B267" t="str">
            <v>XKX</v>
          </cell>
        </row>
        <row r="268">
          <cell r="B268" t="str">
            <v>YEM</v>
          </cell>
          <cell r="BM268">
            <v>73.757926940917997</v>
          </cell>
        </row>
        <row r="269">
          <cell r="B269" t="str">
            <v>ZAF</v>
          </cell>
          <cell r="BM269">
            <v>84.385536193847699</v>
          </cell>
        </row>
        <row r="270">
          <cell r="B270" t="str">
            <v>ZMB</v>
          </cell>
          <cell r="BM270">
            <v>44.5244750976563</v>
          </cell>
        </row>
        <row r="271">
          <cell r="B271" t="str">
            <v>ZWE</v>
          </cell>
          <cell r="BM271">
            <v>52.747669219970703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urism Receipts"/>
    </sheetNames>
    <sheetDataSet>
      <sheetData sheetId="0">
        <row r="6">
          <cell r="B6" t="str">
            <v>ABW</v>
          </cell>
          <cell r="BK6">
            <v>2035000000</v>
          </cell>
        </row>
        <row r="7">
          <cell r="B7" t="str">
            <v>AFE</v>
          </cell>
          <cell r="BK7">
            <v>28672643620</v>
          </cell>
        </row>
        <row r="8">
          <cell r="B8" t="str">
            <v>AFG</v>
          </cell>
          <cell r="BK8">
            <v>50000000</v>
          </cell>
        </row>
        <row r="9">
          <cell r="B9" t="str">
            <v>AFW</v>
          </cell>
          <cell r="BK9">
            <v>7230774394</v>
          </cell>
        </row>
        <row r="10">
          <cell r="B10" t="str">
            <v>AGO</v>
          </cell>
          <cell r="BK10">
            <v>557000000</v>
          </cell>
        </row>
        <row r="11">
          <cell r="B11" t="str">
            <v>ALB</v>
          </cell>
          <cell r="BK11">
            <v>2306000000</v>
          </cell>
        </row>
        <row r="12">
          <cell r="B12" t="str">
            <v>AND</v>
          </cell>
        </row>
        <row r="13">
          <cell r="B13" t="str">
            <v>ARB</v>
          </cell>
          <cell r="BK13">
            <v>119513000000</v>
          </cell>
        </row>
        <row r="14">
          <cell r="B14" t="str">
            <v>ARE</v>
          </cell>
          <cell r="BK14">
            <v>34609500000</v>
          </cell>
        </row>
        <row r="15">
          <cell r="B15" t="str">
            <v>ARG</v>
          </cell>
          <cell r="BK15">
            <v>5999000000</v>
          </cell>
        </row>
        <row r="16">
          <cell r="B16" t="str">
            <v>ARM</v>
          </cell>
          <cell r="BK16">
            <v>1358000000</v>
          </cell>
        </row>
        <row r="17">
          <cell r="B17" t="str">
            <v>ASM</v>
          </cell>
        </row>
        <row r="18">
          <cell r="B18" t="str">
            <v>ATG</v>
          </cell>
          <cell r="BK18">
            <v>854000000</v>
          </cell>
        </row>
        <row r="19">
          <cell r="B19" t="str">
            <v>AUS</v>
          </cell>
          <cell r="BK19">
            <v>47327000000</v>
          </cell>
        </row>
        <row r="20">
          <cell r="B20" t="str">
            <v>AUT</v>
          </cell>
          <cell r="BK20">
            <v>25413000000</v>
          </cell>
        </row>
        <row r="21">
          <cell r="B21" t="str">
            <v>AZE</v>
          </cell>
          <cell r="BK21">
            <v>2830000000</v>
          </cell>
        </row>
        <row r="22">
          <cell r="B22" t="str">
            <v>BDI</v>
          </cell>
        </row>
        <row r="23">
          <cell r="B23" t="str">
            <v>BEL</v>
          </cell>
          <cell r="BK23">
            <v>10319000000</v>
          </cell>
        </row>
        <row r="24">
          <cell r="B24" t="str">
            <v>BEN</v>
          </cell>
          <cell r="BK24">
            <v>175000000</v>
          </cell>
        </row>
        <row r="25">
          <cell r="B25" t="str">
            <v>BFA</v>
          </cell>
          <cell r="BK25">
            <v>179000000</v>
          </cell>
        </row>
        <row r="26">
          <cell r="B26" t="str">
            <v>BGD</v>
          </cell>
          <cell r="BK26">
            <v>357000000</v>
          </cell>
        </row>
        <row r="27">
          <cell r="B27" t="str">
            <v>BGR</v>
          </cell>
          <cell r="BK27">
            <v>5061000000</v>
          </cell>
        </row>
        <row r="28">
          <cell r="B28" t="str">
            <v>BHR</v>
          </cell>
          <cell r="BK28">
            <v>3834000000</v>
          </cell>
        </row>
        <row r="29">
          <cell r="B29" t="str">
            <v>BHS</v>
          </cell>
          <cell r="BK29">
            <v>3756000000</v>
          </cell>
        </row>
        <row r="30">
          <cell r="B30" t="str">
            <v>BIH</v>
          </cell>
          <cell r="BK30">
            <v>1147000000</v>
          </cell>
        </row>
        <row r="31">
          <cell r="B31" t="str">
            <v>BLR</v>
          </cell>
          <cell r="BK31">
            <v>1221000000</v>
          </cell>
        </row>
        <row r="32">
          <cell r="B32" t="str">
            <v>BLZ</v>
          </cell>
        </row>
        <row r="33">
          <cell r="B33" t="str">
            <v>BMU</v>
          </cell>
          <cell r="BK33">
            <v>583000000</v>
          </cell>
        </row>
        <row r="34">
          <cell r="B34" t="str">
            <v>BOL</v>
          </cell>
          <cell r="BK34">
            <v>948000000</v>
          </cell>
        </row>
        <row r="35">
          <cell r="B35" t="str">
            <v>BRA</v>
          </cell>
          <cell r="BK35">
            <v>6324000000</v>
          </cell>
        </row>
        <row r="36">
          <cell r="B36" t="str">
            <v>BRB</v>
          </cell>
        </row>
        <row r="37">
          <cell r="B37" t="str">
            <v>BRN</v>
          </cell>
          <cell r="BK37">
            <v>190000000</v>
          </cell>
        </row>
        <row r="38">
          <cell r="B38" t="str">
            <v>BTN</v>
          </cell>
          <cell r="BK38">
            <v>121000000</v>
          </cell>
        </row>
        <row r="39">
          <cell r="B39" t="str">
            <v>BWA</v>
          </cell>
          <cell r="BK39">
            <v>584200012.20000005</v>
          </cell>
        </row>
        <row r="40">
          <cell r="B40" t="str">
            <v>CAF</v>
          </cell>
        </row>
        <row r="41">
          <cell r="B41" t="str">
            <v>CAN</v>
          </cell>
        </row>
        <row r="42">
          <cell r="B42" t="str">
            <v>CEB</v>
          </cell>
          <cell r="BK42">
            <v>64718122568</v>
          </cell>
        </row>
        <row r="43">
          <cell r="B43" t="str">
            <v>CHE</v>
          </cell>
          <cell r="BK43">
            <v>21294000000</v>
          </cell>
        </row>
        <row r="44">
          <cell r="B44" t="str">
            <v>CHI</v>
          </cell>
        </row>
        <row r="45">
          <cell r="B45" t="str">
            <v>CHL</v>
          </cell>
          <cell r="BK45">
            <v>3911000000</v>
          </cell>
        </row>
        <row r="46">
          <cell r="B46" t="str">
            <v>CHN</v>
          </cell>
        </row>
        <row r="47">
          <cell r="B47" t="str">
            <v>CIV</v>
          </cell>
          <cell r="BK47">
            <v>551000000</v>
          </cell>
        </row>
        <row r="48">
          <cell r="B48" t="str">
            <v>CMR</v>
          </cell>
          <cell r="BK48">
            <v>633000000</v>
          </cell>
        </row>
        <row r="49">
          <cell r="B49" t="str">
            <v>COD</v>
          </cell>
          <cell r="BK49">
            <v>60500000</v>
          </cell>
        </row>
        <row r="50">
          <cell r="B50" t="str">
            <v>COG</v>
          </cell>
        </row>
        <row r="51">
          <cell r="B51" t="str">
            <v>COL</v>
          </cell>
          <cell r="BK51">
            <v>6655000000</v>
          </cell>
        </row>
        <row r="52">
          <cell r="B52" t="str">
            <v>COM</v>
          </cell>
          <cell r="BK52">
            <v>73699996.950000003</v>
          </cell>
        </row>
        <row r="53">
          <cell r="B53" t="str">
            <v>CPV</v>
          </cell>
          <cell r="BK53">
            <v>520000000</v>
          </cell>
        </row>
        <row r="54">
          <cell r="B54" t="str">
            <v>CRI</v>
          </cell>
          <cell r="BK54">
            <v>4073000000</v>
          </cell>
        </row>
        <row r="55">
          <cell r="B55" t="str">
            <v>CSS</v>
          </cell>
        </row>
        <row r="56">
          <cell r="B56" t="str">
            <v>CUB</v>
          </cell>
          <cell r="BK56">
            <v>2783000000</v>
          </cell>
        </row>
        <row r="57">
          <cell r="B57" t="str">
            <v>CUW</v>
          </cell>
          <cell r="BK57">
            <v>604000000</v>
          </cell>
        </row>
        <row r="58">
          <cell r="B58" t="str">
            <v>CYM</v>
          </cell>
          <cell r="BK58">
            <v>911000000</v>
          </cell>
        </row>
        <row r="59">
          <cell r="B59" t="str">
            <v>CYP</v>
          </cell>
          <cell r="BK59">
            <v>3449000000</v>
          </cell>
        </row>
        <row r="60">
          <cell r="B60" t="str">
            <v>CZE</v>
          </cell>
          <cell r="BK60">
            <v>8283000000</v>
          </cell>
        </row>
        <row r="61">
          <cell r="B61" t="str">
            <v>DEU</v>
          </cell>
          <cell r="BK61">
            <v>59446000000</v>
          </cell>
        </row>
        <row r="62">
          <cell r="B62" t="str">
            <v>DJI</v>
          </cell>
          <cell r="BK62">
            <v>57000000</v>
          </cell>
        </row>
        <row r="63">
          <cell r="B63" t="str">
            <v>DMA</v>
          </cell>
          <cell r="BK63">
            <v>111000000</v>
          </cell>
        </row>
        <row r="64">
          <cell r="B64" t="str">
            <v>DNK</v>
          </cell>
          <cell r="BK64">
            <v>9097000000</v>
          </cell>
        </row>
        <row r="65">
          <cell r="B65" t="str">
            <v>DOM</v>
          </cell>
          <cell r="BK65">
            <v>7561000000</v>
          </cell>
        </row>
        <row r="66">
          <cell r="B66" t="str">
            <v>DZA</v>
          </cell>
          <cell r="BK66">
            <v>196500000</v>
          </cell>
        </row>
        <row r="67">
          <cell r="B67" t="str">
            <v>EAP</v>
          </cell>
        </row>
        <row r="68">
          <cell r="B68" t="str">
            <v>EAR</v>
          </cell>
          <cell r="BK68">
            <v>244162000000</v>
          </cell>
        </row>
        <row r="69">
          <cell r="B69" t="str">
            <v>EAS</v>
          </cell>
        </row>
        <row r="70">
          <cell r="B70" t="str">
            <v>ECA</v>
          </cell>
          <cell r="BK70">
            <v>89044934208</v>
          </cell>
        </row>
        <row r="71">
          <cell r="B71" t="str">
            <v>ECS</v>
          </cell>
          <cell r="BK71">
            <v>584532000000</v>
          </cell>
        </row>
        <row r="72">
          <cell r="B72" t="str">
            <v>ECU</v>
          </cell>
          <cell r="BK72">
            <v>2279000000</v>
          </cell>
        </row>
        <row r="73">
          <cell r="B73" t="str">
            <v>EGY</v>
          </cell>
          <cell r="BK73">
            <v>12704000000</v>
          </cell>
        </row>
        <row r="74">
          <cell r="B74" t="str">
            <v>EMU</v>
          </cell>
          <cell r="BK74">
            <v>356076000000</v>
          </cell>
        </row>
        <row r="75">
          <cell r="B75" t="str">
            <v>ERI</v>
          </cell>
        </row>
        <row r="76">
          <cell r="B76" t="str">
            <v>ESP</v>
          </cell>
        </row>
        <row r="77">
          <cell r="B77" t="str">
            <v>EST</v>
          </cell>
          <cell r="BK77">
            <v>2326000000</v>
          </cell>
        </row>
        <row r="78">
          <cell r="B78" t="str">
            <v>ETH</v>
          </cell>
          <cell r="BK78">
            <v>3548000000</v>
          </cell>
        </row>
        <row r="79">
          <cell r="B79" t="str">
            <v>EUU</v>
          </cell>
          <cell r="BK79">
            <v>431696000000</v>
          </cell>
        </row>
        <row r="80">
          <cell r="B80" t="str">
            <v>FCS</v>
          </cell>
        </row>
        <row r="81">
          <cell r="B81" t="str">
            <v>FIN</v>
          </cell>
          <cell r="BK81">
            <v>5762000000</v>
          </cell>
        </row>
        <row r="82">
          <cell r="B82" t="str">
            <v>FJI</v>
          </cell>
          <cell r="BK82">
            <v>1370000000</v>
          </cell>
        </row>
        <row r="83">
          <cell r="B83" t="str">
            <v>FRA</v>
          </cell>
          <cell r="BK83">
            <v>72518000000</v>
          </cell>
        </row>
        <row r="84">
          <cell r="B84" t="str">
            <v>FRO</v>
          </cell>
        </row>
        <row r="85">
          <cell r="B85" t="str">
            <v>FSM</v>
          </cell>
        </row>
        <row r="86">
          <cell r="B86" t="str">
            <v>GAB</v>
          </cell>
        </row>
        <row r="87">
          <cell r="B87" t="str">
            <v>GBR</v>
          </cell>
        </row>
        <row r="88">
          <cell r="B88" t="str">
            <v>GEO</v>
          </cell>
          <cell r="BK88">
            <v>3518000000</v>
          </cell>
        </row>
        <row r="89">
          <cell r="B89" t="str">
            <v>GHA</v>
          </cell>
          <cell r="BK89">
            <v>996000000</v>
          </cell>
        </row>
        <row r="90">
          <cell r="B90" t="str">
            <v>GIB</v>
          </cell>
        </row>
        <row r="91">
          <cell r="B91" t="str">
            <v>GIN</v>
          </cell>
          <cell r="BK91">
            <v>4699999.8090000004</v>
          </cell>
        </row>
        <row r="92">
          <cell r="B92" t="str">
            <v>GMB</v>
          </cell>
          <cell r="BK92">
            <v>174000000</v>
          </cell>
        </row>
        <row r="93">
          <cell r="B93" t="str">
            <v>GNB</v>
          </cell>
          <cell r="BK93">
            <v>20000000</v>
          </cell>
        </row>
        <row r="94">
          <cell r="B94" t="str">
            <v>GNQ</v>
          </cell>
        </row>
        <row r="95">
          <cell r="B95" t="str">
            <v>GRC</v>
          </cell>
          <cell r="BK95">
            <v>21594000000</v>
          </cell>
        </row>
        <row r="96">
          <cell r="B96" t="str">
            <v>GRD</v>
          </cell>
          <cell r="BK96">
            <v>548000000</v>
          </cell>
        </row>
        <row r="97">
          <cell r="B97" t="str">
            <v>GRL</v>
          </cell>
        </row>
        <row r="98">
          <cell r="B98" t="str">
            <v>GTM</v>
          </cell>
          <cell r="BK98">
            <v>1235099976</v>
          </cell>
        </row>
        <row r="99">
          <cell r="B99" t="str">
            <v>GUM</v>
          </cell>
        </row>
        <row r="100">
          <cell r="B100" t="str">
            <v>GUY</v>
          </cell>
        </row>
        <row r="101">
          <cell r="B101" t="str">
            <v>HIC</v>
          </cell>
          <cell r="BK101">
            <v>1147990000000</v>
          </cell>
        </row>
        <row r="102">
          <cell r="B102" t="str">
            <v>HKG</v>
          </cell>
          <cell r="BK102">
            <v>42313000000</v>
          </cell>
        </row>
        <row r="103">
          <cell r="B103" t="str">
            <v>HND</v>
          </cell>
          <cell r="BK103">
            <v>601000000</v>
          </cell>
        </row>
        <row r="104">
          <cell r="B104" t="str">
            <v>HPC</v>
          </cell>
          <cell r="BK104">
            <v>19734803845</v>
          </cell>
        </row>
        <row r="105">
          <cell r="B105" t="str">
            <v>HRV</v>
          </cell>
          <cell r="BK105">
            <v>11348000000</v>
          </cell>
        </row>
        <row r="106">
          <cell r="B106" t="str">
            <v>HTI</v>
          </cell>
          <cell r="BK106">
            <v>620000000</v>
          </cell>
        </row>
        <row r="107">
          <cell r="B107" t="str">
            <v>HUN</v>
          </cell>
          <cell r="BK107">
            <v>9618000000</v>
          </cell>
        </row>
        <row r="108">
          <cell r="B108" t="str">
            <v>IBD</v>
          </cell>
        </row>
        <row r="109">
          <cell r="B109" t="str">
            <v>IBT</v>
          </cell>
        </row>
        <row r="110">
          <cell r="B110" t="str">
            <v>IDA</v>
          </cell>
          <cell r="BK110">
            <v>42040713818</v>
          </cell>
        </row>
        <row r="111">
          <cell r="B111" t="str">
            <v>IDB</v>
          </cell>
          <cell r="BK111">
            <v>10652993523</v>
          </cell>
        </row>
        <row r="112">
          <cell r="B112" t="str">
            <v>IDN</v>
          </cell>
          <cell r="BK112">
            <v>17915000000</v>
          </cell>
        </row>
        <row r="113">
          <cell r="B113" t="str">
            <v>IDX</v>
          </cell>
          <cell r="BK113">
            <v>32347248555</v>
          </cell>
        </row>
        <row r="114">
          <cell r="B114" t="str">
            <v>IMN</v>
          </cell>
        </row>
        <row r="115">
          <cell r="B115" t="str">
            <v>IND</v>
          </cell>
          <cell r="BK115">
            <v>29143000000</v>
          </cell>
        </row>
        <row r="116">
          <cell r="B116" t="str">
            <v>INX</v>
          </cell>
        </row>
        <row r="117">
          <cell r="B117" t="str">
            <v>IRL</v>
          </cell>
          <cell r="BK117">
            <v>15276000000</v>
          </cell>
        </row>
        <row r="118">
          <cell r="B118" t="str">
            <v>IRN</v>
          </cell>
          <cell r="BK118">
            <v>5252000000</v>
          </cell>
        </row>
        <row r="119">
          <cell r="B119" t="str">
            <v>IRQ</v>
          </cell>
          <cell r="BK119">
            <v>1986000000</v>
          </cell>
        </row>
        <row r="120">
          <cell r="B120" t="str">
            <v>ISL</v>
          </cell>
        </row>
        <row r="121">
          <cell r="B121" t="str">
            <v>ISR</v>
          </cell>
          <cell r="BK121">
            <v>8048000000</v>
          </cell>
        </row>
        <row r="122">
          <cell r="B122" t="str">
            <v>ITA</v>
          </cell>
          <cell r="BK122">
            <v>51602000000</v>
          </cell>
        </row>
        <row r="123">
          <cell r="B123" t="str">
            <v>JAM</v>
          </cell>
        </row>
        <row r="124">
          <cell r="B124" t="str">
            <v>JOR</v>
          </cell>
          <cell r="BK124">
            <v>6221000000</v>
          </cell>
        </row>
        <row r="125">
          <cell r="B125" t="str">
            <v>JPN</v>
          </cell>
          <cell r="BK125">
            <v>45276000000</v>
          </cell>
        </row>
        <row r="126">
          <cell r="B126" t="str">
            <v>KAZ</v>
          </cell>
          <cell r="BK126">
            <v>2651000000</v>
          </cell>
        </row>
        <row r="127">
          <cell r="B127" t="str">
            <v>KEN</v>
          </cell>
          <cell r="BK127">
            <v>1784000000</v>
          </cell>
        </row>
        <row r="128">
          <cell r="B128" t="str">
            <v>KGZ</v>
          </cell>
          <cell r="BK128">
            <v>518000000</v>
          </cell>
        </row>
        <row r="129">
          <cell r="B129" t="str">
            <v>KHM</v>
          </cell>
          <cell r="BK129">
            <v>4832000000</v>
          </cell>
        </row>
        <row r="130">
          <cell r="B130" t="str">
            <v>KIR</v>
          </cell>
        </row>
        <row r="131">
          <cell r="B131" t="str">
            <v>KNA</v>
          </cell>
          <cell r="BK131">
            <v>367000000</v>
          </cell>
        </row>
        <row r="132">
          <cell r="B132" t="str">
            <v>KOR</v>
          </cell>
          <cell r="BK132">
            <v>23104000000</v>
          </cell>
        </row>
        <row r="133">
          <cell r="B133" t="str">
            <v>KWT</v>
          </cell>
          <cell r="BK133">
            <v>919000000</v>
          </cell>
        </row>
        <row r="134">
          <cell r="B134" t="str">
            <v>LAC</v>
          </cell>
          <cell r="BK134">
            <v>79006050570</v>
          </cell>
        </row>
        <row r="135">
          <cell r="B135" t="str">
            <v>LAO</v>
          </cell>
          <cell r="BK135">
            <v>833000000</v>
          </cell>
        </row>
        <row r="136">
          <cell r="B136" t="str">
            <v>LBN</v>
          </cell>
          <cell r="BK136">
            <v>8694000000</v>
          </cell>
        </row>
        <row r="137">
          <cell r="B137" t="str">
            <v>LBR</v>
          </cell>
        </row>
        <row r="138">
          <cell r="B138" t="str">
            <v>LBY</v>
          </cell>
        </row>
        <row r="139">
          <cell r="B139" t="str">
            <v>LCA</v>
          </cell>
          <cell r="BK139">
            <v>989000000</v>
          </cell>
        </row>
        <row r="140">
          <cell r="B140" t="str">
            <v>LCN</v>
          </cell>
          <cell r="BK140">
            <v>101815000000</v>
          </cell>
        </row>
        <row r="141">
          <cell r="B141" t="str">
            <v>LDC</v>
          </cell>
          <cell r="BK141">
            <v>24732461287</v>
          </cell>
        </row>
        <row r="142">
          <cell r="B142" t="str">
            <v>LIC</v>
          </cell>
          <cell r="BK142">
            <v>11679698813</v>
          </cell>
        </row>
        <row r="143">
          <cell r="B143" t="str">
            <v>LIE</v>
          </cell>
        </row>
        <row r="144">
          <cell r="B144" t="str">
            <v>LKA</v>
          </cell>
          <cell r="BK144">
            <v>5608000000</v>
          </cell>
        </row>
        <row r="145">
          <cell r="B145" t="str">
            <v>LMC</v>
          </cell>
          <cell r="BK145">
            <v>133339000000</v>
          </cell>
        </row>
        <row r="146">
          <cell r="B146" t="str">
            <v>LMY</v>
          </cell>
        </row>
        <row r="147">
          <cell r="B147" t="str">
            <v>LSO</v>
          </cell>
        </row>
        <row r="148">
          <cell r="B148" t="str">
            <v>LTE</v>
          </cell>
        </row>
        <row r="149">
          <cell r="B149" t="str">
            <v>LTU</v>
          </cell>
        </row>
        <row r="150">
          <cell r="B150" t="str">
            <v>LUX</v>
          </cell>
          <cell r="BK150">
            <v>5642000000</v>
          </cell>
        </row>
        <row r="151">
          <cell r="B151" t="str">
            <v>LVA</v>
          </cell>
        </row>
        <row r="152">
          <cell r="B152" t="str">
            <v>MAC</v>
          </cell>
          <cell r="BK152">
            <v>41478000000</v>
          </cell>
        </row>
        <row r="153">
          <cell r="B153" t="str">
            <v>MAF</v>
          </cell>
        </row>
        <row r="154">
          <cell r="B154" t="str">
            <v>MAR</v>
          </cell>
          <cell r="BK154">
            <v>9520000000</v>
          </cell>
        </row>
        <row r="155">
          <cell r="B155" t="str">
            <v>MCO</v>
          </cell>
        </row>
        <row r="156">
          <cell r="B156" t="str">
            <v>MDA</v>
          </cell>
          <cell r="BK156">
            <v>500000000</v>
          </cell>
        </row>
        <row r="157">
          <cell r="B157" t="str">
            <v>MDG</v>
          </cell>
          <cell r="BK157">
            <v>879000000</v>
          </cell>
        </row>
        <row r="158">
          <cell r="B158" t="str">
            <v>MDV</v>
          </cell>
          <cell r="BK158">
            <v>3054000000</v>
          </cell>
        </row>
        <row r="159">
          <cell r="B159" t="str">
            <v>MEA</v>
          </cell>
          <cell r="BK159">
            <v>131897000000</v>
          </cell>
        </row>
        <row r="160">
          <cell r="B160" t="str">
            <v>MEX</v>
          </cell>
          <cell r="BK160">
            <v>23802000000</v>
          </cell>
        </row>
        <row r="161">
          <cell r="B161" t="str">
            <v>MHL</v>
          </cell>
          <cell r="BK161">
            <v>20100000.379999999</v>
          </cell>
        </row>
        <row r="162">
          <cell r="B162" t="str">
            <v>MIC</v>
          </cell>
        </row>
        <row r="163">
          <cell r="B163" t="str">
            <v>MKD</v>
          </cell>
          <cell r="BK163">
            <v>387000000</v>
          </cell>
        </row>
        <row r="164">
          <cell r="B164" t="str">
            <v>MLI</v>
          </cell>
          <cell r="BK164">
            <v>231000000</v>
          </cell>
        </row>
        <row r="165">
          <cell r="B165" t="str">
            <v>MLT</v>
          </cell>
        </row>
        <row r="166">
          <cell r="B166" t="str">
            <v>MMR</v>
          </cell>
          <cell r="BK166">
            <v>1670000000</v>
          </cell>
        </row>
        <row r="167">
          <cell r="B167" t="str">
            <v>MNA</v>
          </cell>
          <cell r="BK167">
            <v>49964342954</v>
          </cell>
        </row>
        <row r="168">
          <cell r="B168" t="str">
            <v>MNE</v>
          </cell>
          <cell r="BK168">
            <v>1224000000</v>
          </cell>
        </row>
        <row r="169">
          <cell r="B169" t="str">
            <v>MNG</v>
          </cell>
          <cell r="BK169">
            <v>526000000</v>
          </cell>
        </row>
        <row r="170">
          <cell r="B170" t="str">
            <v>MNP</v>
          </cell>
        </row>
        <row r="171">
          <cell r="B171" t="str">
            <v>MOZ</v>
          </cell>
          <cell r="BK171">
            <v>331000000</v>
          </cell>
        </row>
        <row r="172">
          <cell r="B172" t="str">
            <v>MRT</v>
          </cell>
          <cell r="BK172">
            <v>6000000</v>
          </cell>
        </row>
        <row r="173">
          <cell r="B173" t="str">
            <v>MUS</v>
          </cell>
          <cell r="BK173">
            <v>2161000000</v>
          </cell>
        </row>
        <row r="174">
          <cell r="B174" t="str">
            <v>MWI</v>
          </cell>
          <cell r="BK174">
            <v>55000000</v>
          </cell>
        </row>
        <row r="175">
          <cell r="B175" t="str">
            <v>MYS</v>
          </cell>
          <cell r="BK175">
            <v>21775000000</v>
          </cell>
        </row>
        <row r="176">
          <cell r="B176" t="str">
            <v>NAC</v>
          </cell>
          <cell r="BK176">
            <v>308764000000</v>
          </cell>
        </row>
        <row r="177">
          <cell r="B177" t="str">
            <v>NAM</v>
          </cell>
          <cell r="BK177">
            <v>488000000</v>
          </cell>
        </row>
        <row r="178">
          <cell r="B178" t="str">
            <v>NCL</v>
          </cell>
        </row>
        <row r="179">
          <cell r="B179" t="str">
            <v>NER</v>
          </cell>
          <cell r="BK179">
            <v>114000000</v>
          </cell>
        </row>
        <row r="180">
          <cell r="B180" t="str">
            <v>NGA</v>
          </cell>
          <cell r="BK180">
            <v>1977000000</v>
          </cell>
        </row>
        <row r="181">
          <cell r="B181" t="str">
            <v>NIC</v>
          </cell>
        </row>
        <row r="182">
          <cell r="B182" t="str">
            <v>NLD</v>
          </cell>
          <cell r="BK182">
            <v>23919099609</v>
          </cell>
        </row>
        <row r="183">
          <cell r="B183" t="str">
            <v>NOR</v>
          </cell>
          <cell r="BK183">
            <v>7280000000</v>
          </cell>
        </row>
        <row r="184">
          <cell r="B184" t="str">
            <v>NPL</v>
          </cell>
          <cell r="BK184">
            <v>740000000</v>
          </cell>
        </row>
        <row r="185">
          <cell r="B185" t="str">
            <v>NRU</v>
          </cell>
          <cell r="BK185">
            <v>1600000</v>
          </cell>
        </row>
        <row r="186">
          <cell r="B186" t="str">
            <v>NZL</v>
          </cell>
          <cell r="BK186">
            <v>10961000000</v>
          </cell>
        </row>
        <row r="187">
          <cell r="B187" t="str">
            <v>OED</v>
          </cell>
          <cell r="BK187">
            <v>984306000000</v>
          </cell>
        </row>
        <row r="188">
          <cell r="B188" t="str">
            <v>OMN</v>
          </cell>
          <cell r="BK188">
            <v>2874000000</v>
          </cell>
        </row>
        <row r="189">
          <cell r="B189" t="str">
            <v>OSS</v>
          </cell>
        </row>
        <row r="190">
          <cell r="B190" t="str">
            <v>PAK</v>
          </cell>
          <cell r="BK190">
            <v>845000000</v>
          </cell>
        </row>
        <row r="191">
          <cell r="B191" t="str">
            <v>PAN</v>
          </cell>
          <cell r="BK191">
            <v>7139000000</v>
          </cell>
        </row>
        <row r="192">
          <cell r="B192" t="str">
            <v>PER</v>
          </cell>
          <cell r="BK192">
            <v>4505000000</v>
          </cell>
        </row>
        <row r="193">
          <cell r="B193" t="str">
            <v>PHL</v>
          </cell>
          <cell r="BK193">
            <v>9715000000</v>
          </cell>
        </row>
        <row r="194">
          <cell r="B194" t="str">
            <v>PLW</v>
          </cell>
        </row>
        <row r="195">
          <cell r="B195" t="str">
            <v>PNG</v>
          </cell>
          <cell r="BK195">
            <v>4230000.0190000003</v>
          </cell>
        </row>
        <row r="196">
          <cell r="B196" t="str">
            <v>POL</v>
          </cell>
          <cell r="BK196">
            <v>15569000000</v>
          </cell>
        </row>
        <row r="197">
          <cell r="B197" t="str">
            <v>PRE</v>
          </cell>
          <cell r="BK197">
            <v>17270492334</v>
          </cell>
        </row>
        <row r="198">
          <cell r="B198" t="str">
            <v>PRI</v>
          </cell>
          <cell r="BK198">
            <v>3303000000</v>
          </cell>
        </row>
        <row r="199">
          <cell r="B199" t="str">
            <v>PRK</v>
          </cell>
        </row>
        <row r="200">
          <cell r="B200" t="str">
            <v>PRT</v>
          </cell>
          <cell r="BK200">
            <v>24366000000</v>
          </cell>
        </row>
        <row r="201">
          <cell r="B201" t="str">
            <v>PRY</v>
          </cell>
          <cell r="BK201">
            <v>393000000</v>
          </cell>
        </row>
        <row r="202">
          <cell r="B202" t="str">
            <v>PSE</v>
          </cell>
          <cell r="BK202">
            <v>245000000</v>
          </cell>
        </row>
        <row r="203">
          <cell r="B203" t="str">
            <v>PSS</v>
          </cell>
          <cell r="BK203">
            <v>2248465668</v>
          </cell>
        </row>
        <row r="204">
          <cell r="B204" t="str">
            <v>PST</v>
          </cell>
          <cell r="BK204">
            <v>1011620000000</v>
          </cell>
        </row>
        <row r="205">
          <cell r="B205" t="str">
            <v>PYF</v>
          </cell>
        </row>
        <row r="206">
          <cell r="B206" t="str">
            <v>QAT</v>
          </cell>
          <cell r="BK206">
            <v>15239000000</v>
          </cell>
        </row>
        <row r="207">
          <cell r="B207" t="str">
            <v>ROU</v>
          </cell>
          <cell r="BK207">
            <v>3879000000</v>
          </cell>
        </row>
        <row r="208">
          <cell r="B208" t="str">
            <v>RUS</v>
          </cell>
          <cell r="BK208">
            <v>18735000000</v>
          </cell>
        </row>
        <row r="209">
          <cell r="B209" t="str">
            <v>RWA</v>
          </cell>
          <cell r="BK209">
            <v>547000000</v>
          </cell>
        </row>
        <row r="210">
          <cell r="B210" t="str">
            <v>SAS</v>
          </cell>
          <cell r="BK210">
            <v>39918000000</v>
          </cell>
        </row>
        <row r="211">
          <cell r="B211" t="str">
            <v>SAU</v>
          </cell>
          <cell r="BK211">
            <v>16974000000</v>
          </cell>
        </row>
        <row r="212">
          <cell r="B212" t="str">
            <v>SDN</v>
          </cell>
          <cell r="BK212">
            <v>1043000000</v>
          </cell>
        </row>
        <row r="213">
          <cell r="B213" t="str">
            <v>SEN</v>
          </cell>
          <cell r="BK213">
            <v>557000000</v>
          </cell>
        </row>
        <row r="214">
          <cell r="B214" t="str">
            <v>SGP</v>
          </cell>
          <cell r="BK214">
            <v>20416000000</v>
          </cell>
        </row>
        <row r="215">
          <cell r="B215" t="str">
            <v>SLB</v>
          </cell>
          <cell r="BK215">
            <v>92000000</v>
          </cell>
        </row>
        <row r="216">
          <cell r="B216" t="str">
            <v>SLE</v>
          </cell>
          <cell r="BK216">
            <v>39000000</v>
          </cell>
        </row>
        <row r="217">
          <cell r="B217" t="str">
            <v>SLV</v>
          </cell>
          <cell r="BK217">
            <v>1370000000</v>
          </cell>
        </row>
        <row r="218">
          <cell r="B218" t="str">
            <v>SMR</v>
          </cell>
        </row>
        <row r="219">
          <cell r="B219" t="str">
            <v>SOM</v>
          </cell>
        </row>
        <row r="220">
          <cell r="B220" t="str">
            <v>SRB</v>
          </cell>
          <cell r="BK220">
            <v>1941000000</v>
          </cell>
        </row>
        <row r="221">
          <cell r="B221" t="str">
            <v>SSA</v>
          </cell>
          <cell r="BK221">
            <v>34873646198</v>
          </cell>
        </row>
        <row r="222">
          <cell r="B222" t="str">
            <v>SSD</v>
          </cell>
          <cell r="BK222">
            <v>12000000</v>
          </cell>
        </row>
        <row r="223">
          <cell r="B223" t="str">
            <v>SSF</v>
          </cell>
          <cell r="BK223">
            <v>35520914707</v>
          </cell>
        </row>
        <row r="224">
          <cell r="B224" t="str">
            <v>SST</v>
          </cell>
          <cell r="BK224">
            <v>51565534602</v>
          </cell>
        </row>
        <row r="225">
          <cell r="B225" t="str">
            <v>STP</v>
          </cell>
          <cell r="BK225">
            <v>71900000</v>
          </cell>
        </row>
        <row r="226">
          <cell r="B226" t="str">
            <v>SUR</v>
          </cell>
          <cell r="BK226">
            <v>73000000</v>
          </cell>
        </row>
        <row r="227">
          <cell r="B227" t="str">
            <v>SVK</v>
          </cell>
          <cell r="BK227">
            <v>3318000000</v>
          </cell>
        </row>
        <row r="228">
          <cell r="B228" t="str">
            <v>SVN</v>
          </cell>
          <cell r="BK228">
            <v>3377500000</v>
          </cell>
        </row>
        <row r="229">
          <cell r="B229" t="str">
            <v>SWE</v>
          </cell>
        </row>
        <row r="230">
          <cell r="B230" t="str">
            <v>SWZ</v>
          </cell>
          <cell r="BK230">
            <v>16399999.619999999</v>
          </cell>
        </row>
        <row r="231">
          <cell r="B231" t="str">
            <v>SXM</v>
          </cell>
          <cell r="BK231">
            <v>468000000</v>
          </cell>
        </row>
        <row r="232">
          <cell r="B232" t="str">
            <v>SYC</v>
          </cell>
          <cell r="BK232">
            <v>611000000</v>
          </cell>
        </row>
        <row r="233">
          <cell r="B233" t="str">
            <v>SYR</v>
          </cell>
        </row>
        <row r="234">
          <cell r="B234" t="str">
            <v>TCA</v>
          </cell>
        </row>
        <row r="235">
          <cell r="B235" t="str">
            <v>TCD</v>
          </cell>
        </row>
        <row r="236">
          <cell r="B236" t="str">
            <v>TEA</v>
          </cell>
        </row>
        <row r="237">
          <cell r="B237" t="str">
            <v>TEC</v>
          </cell>
          <cell r="BK237">
            <v>115984000000</v>
          </cell>
        </row>
        <row r="238">
          <cell r="B238" t="str">
            <v>TGO</v>
          </cell>
          <cell r="BK238">
            <v>269000000</v>
          </cell>
        </row>
        <row r="239">
          <cell r="B239" t="str">
            <v>THA</v>
          </cell>
          <cell r="BK239">
            <v>61383000000</v>
          </cell>
        </row>
        <row r="240">
          <cell r="B240" t="str">
            <v>TJK</v>
          </cell>
          <cell r="BK240">
            <v>170899993.90000001</v>
          </cell>
        </row>
        <row r="241">
          <cell r="B241" t="str">
            <v>TKM</v>
          </cell>
        </row>
        <row r="242">
          <cell r="B242" t="str">
            <v>TLA</v>
          </cell>
          <cell r="BK242">
            <v>85166901576</v>
          </cell>
        </row>
        <row r="243">
          <cell r="B243" t="str">
            <v>TLS</v>
          </cell>
          <cell r="BK243">
            <v>78000000</v>
          </cell>
        </row>
        <row r="244">
          <cell r="B244" t="str">
            <v>TMN</v>
          </cell>
          <cell r="BK244">
            <v>49728453994</v>
          </cell>
        </row>
        <row r="245">
          <cell r="B245" t="str">
            <v>TON</v>
          </cell>
          <cell r="BK245">
            <v>48099998.469999999</v>
          </cell>
        </row>
        <row r="246">
          <cell r="B246" t="str">
            <v>TSA</v>
          </cell>
        </row>
        <row r="247">
          <cell r="B247" t="str">
            <v>TSS</v>
          </cell>
          <cell r="BK247">
            <v>35520914707</v>
          </cell>
        </row>
        <row r="248">
          <cell r="B248" t="str">
            <v>TTO</v>
          </cell>
          <cell r="BK248">
            <v>541000000</v>
          </cell>
        </row>
        <row r="249">
          <cell r="B249" t="str">
            <v>TUN</v>
          </cell>
          <cell r="BK249">
            <v>2320000000</v>
          </cell>
        </row>
        <row r="250">
          <cell r="B250" t="str">
            <v>TUR</v>
          </cell>
          <cell r="BK250">
            <v>36791000000</v>
          </cell>
        </row>
        <row r="251">
          <cell r="B251" t="str">
            <v>TUV</v>
          </cell>
        </row>
        <row r="252">
          <cell r="B252" t="str">
            <v>TZA</v>
          </cell>
          <cell r="BK252">
            <v>2465000000</v>
          </cell>
        </row>
        <row r="253">
          <cell r="B253" t="str">
            <v>UGA</v>
          </cell>
          <cell r="BK253">
            <v>1522000000</v>
          </cell>
        </row>
        <row r="254">
          <cell r="B254" t="str">
            <v>UKR</v>
          </cell>
          <cell r="BK254">
            <v>2269000000</v>
          </cell>
        </row>
        <row r="255">
          <cell r="B255" t="str">
            <v>UMC</v>
          </cell>
        </row>
        <row r="256">
          <cell r="B256" t="str">
            <v>URY</v>
          </cell>
          <cell r="BK256">
            <v>2708000000</v>
          </cell>
        </row>
        <row r="257">
          <cell r="B257" t="str">
            <v>USA</v>
          </cell>
          <cell r="BK257">
            <v>241984000000</v>
          </cell>
        </row>
        <row r="258">
          <cell r="B258" t="str">
            <v>UZB</v>
          </cell>
          <cell r="BK258">
            <v>1314000000</v>
          </cell>
        </row>
        <row r="259">
          <cell r="B259" t="str">
            <v>VCT</v>
          </cell>
          <cell r="BK259">
            <v>231000000</v>
          </cell>
        </row>
        <row r="260">
          <cell r="B260" t="str">
            <v>VEN</v>
          </cell>
        </row>
        <row r="261">
          <cell r="B261" t="str">
            <v>VGB</v>
          </cell>
        </row>
        <row r="262">
          <cell r="B262" t="str">
            <v>VIR</v>
          </cell>
          <cell r="BK262">
            <v>993000000</v>
          </cell>
        </row>
        <row r="263">
          <cell r="B263" t="str">
            <v>VNM</v>
          </cell>
          <cell r="BK263">
            <v>10080000000</v>
          </cell>
        </row>
        <row r="264">
          <cell r="B264" t="str">
            <v>VUT</v>
          </cell>
          <cell r="BK264">
            <v>325000000</v>
          </cell>
        </row>
        <row r="265">
          <cell r="B265" t="str">
            <v>WLD</v>
          </cell>
          <cell r="BK265">
            <v>1829960000000</v>
          </cell>
        </row>
        <row r="266">
          <cell r="B266" t="str">
            <v>WSM</v>
          </cell>
          <cell r="BK266">
            <v>192300003.09999999</v>
          </cell>
        </row>
        <row r="267">
          <cell r="B267" t="str">
            <v>XKX</v>
          </cell>
        </row>
        <row r="268">
          <cell r="B268" t="str">
            <v>YEM</v>
          </cell>
        </row>
        <row r="269">
          <cell r="B269" t="str">
            <v>ZAF</v>
          </cell>
          <cell r="BK269">
            <v>9789000000</v>
          </cell>
        </row>
        <row r="270">
          <cell r="B270" t="str">
            <v>ZMB</v>
          </cell>
        </row>
        <row r="271">
          <cell r="B271" t="str">
            <v>ZWE</v>
          </cell>
          <cell r="BK271">
            <v>191000000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NV.AGR.TOTL.ZS_DS2_en_csv_v"/>
    </sheetNames>
    <sheetDataSet>
      <sheetData sheetId="0" refreshError="1">
        <row r="6">
          <cell r="B6" t="str">
            <v>ABW</v>
          </cell>
        </row>
        <row r="7">
          <cell r="B7" t="str">
            <v>AFE</v>
          </cell>
          <cell r="BL7">
            <v>12.7084302806037</v>
          </cell>
        </row>
        <row r="8">
          <cell r="B8" t="str">
            <v>AFG</v>
          </cell>
          <cell r="BL8">
            <v>25.773970739410501</v>
          </cell>
        </row>
        <row r="9">
          <cell r="B9" t="str">
            <v>AFW</v>
          </cell>
          <cell r="BL9">
            <v>21.284031411869901</v>
          </cell>
        </row>
        <row r="10">
          <cell r="B10" t="str">
            <v>AGO</v>
          </cell>
          <cell r="BL10">
            <v>7.8826247630720996</v>
          </cell>
        </row>
        <row r="11">
          <cell r="B11" t="str">
            <v>ALB</v>
          </cell>
          <cell r="BL11">
            <v>18.389347436737498</v>
          </cell>
        </row>
        <row r="12">
          <cell r="B12" t="str">
            <v>AND</v>
          </cell>
          <cell r="BL12">
            <v>0.52263324841577896</v>
          </cell>
        </row>
        <row r="13">
          <cell r="B13" t="str">
            <v>ARB</v>
          </cell>
          <cell r="BL13">
            <v>4.7433394868080399</v>
          </cell>
        </row>
        <row r="14">
          <cell r="B14" t="str">
            <v>ARE</v>
          </cell>
          <cell r="BL14">
            <v>0.74717752816713601</v>
          </cell>
        </row>
        <row r="15">
          <cell r="B15" t="str">
            <v>ARG</v>
          </cell>
          <cell r="BL15">
            <v>5.11101651115706</v>
          </cell>
        </row>
        <row r="16">
          <cell r="B16" t="str">
            <v>ARM</v>
          </cell>
          <cell r="BL16">
            <v>11.5256107379588</v>
          </cell>
        </row>
        <row r="17">
          <cell r="B17" t="str">
            <v>ASM</v>
          </cell>
        </row>
        <row r="18">
          <cell r="B18" t="str">
            <v>ATG</v>
          </cell>
          <cell r="BL18">
            <v>1.73340883252786</v>
          </cell>
        </row>
        <row r="19">
          <cell r="B19" t="str">
            <v>AUS</v>
          </cell>
          <cell r="BL19">
            <v>2.1168640056560699</v>
          </cell>
        </row>
        <row r="20">
          <cell r="B20" t="str">
            <v>AUT</v>
          </cell>
          <cell r="BL20">
            <v>1.0715827241667799</v>
          </cell>
        </row>
        <row r="21">
          <cell r="B21" t="str">
            <v>AZE</v>
          </cell>
          <cell r="BL21">
            <v>5.6952581438454999</v>
          </cell>
        </row>
        <row r="22">
          <cell r="B22" t="str">
            <v>BDI</v>
          </cell>
          <cell r="BL22">
            <v>28.8443900468367</v>
          </cell>
        </row>
        <row r="23">
          <cell r="B23" t="str">
            <v>BEL</v>
          </cell>
          <cell r="BL23">
            <v>0.66575512782419</v>
          </cell>
        </row>
        <row r="24">
          <cell r="B24" t="str">
            <v>BEN</v>
          </cell>
          <cell r="BL24">
            <v>26.875801625833699</v>
          </cell>
        </row>
        <row r="25">
          <cell r="B25" t="str">
            <v>BFA</v>
          </cell>
          <cell r="BL25">
            <v>18.376102905702599</v>
          </cell>
        </row>
        <row r="26">
          <cell r="B26" t="str">
            <v>BGD</v>
          </cell>
          <cell r="BL26">
            <v>11.9753231358984</v>
          </cell>
        </row>
        <row r="27">
          <cell r="B27" t="str">
            <v>BGR</v>
          </cell>
          <cell r="BL27">
            <v>3.2413816852813602</v>
          </cell>
        </row>
        <row r="28">
          <cell r="B28" t="str">
            <v>BHR</v>
          </cell>
          <cell r="BL28">
            <v>0.28121226773105501</v>
          </cell>
        </row>
        <row r="29">
          <cell r="B29" t="str">
            <v>BHS</v>
          </cell>
          <cell r="BL29">
            <v>0.53968831483839697</v>
          </cell>
        </row>
        <row r="30">
          <cell r="B30" t="str">
            <v>BIH</v>
          </cell>
          <cell r="BL30">
            <v>5.60309221594256</v>
          </cell>
        </row>
        <row r="31">
          <cell r="B31" t="str">
            <v>BLR</v>
          </cell>
          <cell r="BL31">
            <v>6.7946688279927399</v>
          </cell>
        </row>
        <row r="32">
          <cell r="B32" t="str">
            <v>BLZ</v>
          </cell>
          <cell r="BL32">
            <v>8.9393380568209402</v>
          </cell>
        </row>
        <row r="33">
          <cell r="B33" t="str">
            <v>BMU</v>
          </cell>
          <cell r="BL33">
            <v>0.22096150517312299</v>
          </cell>
        </row>
        <row r="34">
          <cell r="B34" t="str">
            <v>BOL</v>
          </cell>
          <cell r="BL34">
            <v>12.221757582489101</v>
          </cell>
        </row>
        <row r="35">
          <cell r="B35" t="str">
            <v>BRA</v>
          </cell>
          <cell r="BL35">
            <v>4.2050140951174599</v>
          </cell>
        </row>
        <row r="36">
          <cell r="B36" t="str">
            <v>BRB</v>
          </cell>
          <cell r="BL36">
            <v>1.3052955252256799</v>
          </cell>
        </row>
        <row r="37">
          <cell r="B37" t="str">
            <v>BRN</v>
          </cell>
          <cell r="BL37">
            <v>0.98605513011851498</v>
          </cell>
        </row>
        <row r="38">
          <cell r="B38" t="str">
            <v>BTN</v>
          </cell>
          <cell r="BL38">
            <v>15.784149136121</v>
          </cell>
        </row>
        <row r="39">
          <cell r="B39" t="str">
            <v>BWA</v>
          </cell>
          <cell r="BL39">
            <v>2.0886547867047298</v>
          </cell>
        </row>
        <row r="40">
          <cell r="B40" t="str">
            <v>CAF</v>
          </cell>
          <cell r="BL40">
            <v>28.341832464943799</v>
          </cell>
        </row>
        <row r="41">
          <cell r="B41" t="str">
            <v>CAN</v>
          </cell>
        </row>
        <row r="42">
          <cell r="B42" t="str">
            <v>CEB</v>
          </cell>
          <cell r="BL42">
            <v>2.6878905637559898</v>
          </cell>
        </row>
        <row r="43">
          <cell r="B43" t="str">
            <v>CHE</v>
          </cell>
          <cell r="BL43">
            <v>0.63051050855248003</v>
          </cell>
        </row>
        <row r="44">
          <cell r="B44" t="str">
            <v>CHI</v>
          </cell>
        </row>
        <row r="45">
          <cell r="B45" t="str">
            <v>CHL</v>
          </cell>
          <cell r="BL45">
            <v>3.9839672335147398</v>
          </cell>
        </row>
        <row r="46">
          <cell r="B46" t="str">
            <v>CHN</v>
          </cell>
          <cell r="BL46">
            <v>7.1436902775817996</v>
          </cell>
        </row>
        <row r="47">
          <cell r="B47" t="str">
            <v>CIV</v>
          </cell>
          <cell r="BL47">
            <v>20.671221079934</v>
          </cell>
        </row>
        <row r="48">
          <cell r="B48" t="str">
            <v>CMR</v>
          </cell>
          <cell r="BL48">
            <v>16.802283564440099</v>
          </cell>
        </row>
        <row r="49">
          <cell r="B49" t="str">
            <v>COD</v>
          </cell>
          <cell r="BL49">
            <v>19.434988706687999</v>
          </cell>
        </row>
        <row r="50">
          <cell r="B50" t="str">
            <v>COG</v>
          </cell>
          <cell r="BL50">
            <v>7.6253804865844597</v>
          </cell>
        </row>
        <row r="51">
          <cell r="B51" t="str">
            <v>COL</v>
          </cell>
          <cell r="BL51">
            <v>6.41072082168313</v>
          </cell>
        </row>
        <row r="52">
          <cell r="B52" t="str">
            <v>COM</v>
          </cell>
          <cell r="BL52">
            <v>35.620097987878097</v>
          </cell>
        </row>
        <row r="53">
          <cell r="B53" t="str">
            <v>CPV</v>
          </cell>
          <cell r="BL53">
            <v>4.6329060379078797</v>
          </cell>
        </row>
        <row r="54">
          <cell r="B54" t="str">
            <v>CRI</v>
          </cell>
          <cell r="BL54">
            <v>4.2020511630246498</v>
          </cell>
        </row>
        <row r="55">
          <cell r="B55" t="str">
            <v>CSS</v>
          </cell>
          <cell r="BL55">
            <v>4.1526922290516604</v>
          </cell>
        </row>
        <row r="56">
          <cell r="B56" t="str">
            <v>CUB</v>
          </cell>
          <cell r="BL56">
            <v>3.5676992690567402</v>
          </cell>
        </row>
        <row r="57">
          <cell r="B57" t="str">
            <v>CUW</v>
          </cell>
          <cell r="BL57">
            <v>0.16876592666023599</v>
          </cell>
        </row>
        <row r="58">
          <cell r="B58" t="str">
            <v>CYM</v>
          </cell>
          <cell r="BL58">
            <v>0.41420543024258799</v>
          </cell>
        </row>
        <row r="59">
          <cell r="B59" t="str">
            <v>CYP</v>
          </cell>
          <cell r="BL59">
            <v>1.80860524588047</v>
          </cell>
        </row>
        <row r="60">
          <cell r="B60" t="str">
            <v>CZE</v>
          </cell>
          <cell r="BL60">
            <v>1.8612180131487801</v>
          </cell>
        </row>
        <row r="61">
          <cell r="B61" t="str">
            <v>DEU</v>
          </cell>
          <cell r="BL61">
            <v>0.77898858450775199</v>
          </cell>
        </row>
        <row r="62">
          <cell r="B62" t="str">
            <v>DJI</v>
          </cell>
          <cell r="BL62">
            <v>1.51935122196429</v>
          </cell>
        </row>
        <row r="63">
          <cell r="B63" t="str">
            <v>DMA</v>
          </cell>
          <cell r="BL63">
            <v>11.983163249856201</v>
          </cell>
        </row>
        <row r="64">
          <cell r="B64" t="str">
            <v>DNK</v>
          </cell>
          <cell r="BL64">
            <v>1.2220281022500099</v>
          </cell>
        </row>
        <row r="65">
          <cell r="B65" t="str">
            <v>DOM</v>
          </cell>
          <cell r="BL65">
            <v>5.2272889262158202</v>
          </cell>
        </row>
        <row r="66">
          <cell r="B66" t="str">
            <v>DZA</v>
          </cell>
          <cell r="BL66">
            <v>12.3362121115896</v>
          </cell>
        </row>
        <row r="67">
          <cell r="B67" t="str">
            <v>EAP</v>
          </cell>
          <cell r="BL67">
            <v>7.77730721354673</v>
          </cell>
        </row>
        <row r="68">
          <cell r="B68" t="str">
            <v>EAR</v>
          </cell>
          <cell r="BL68">
            <v>10.689846112404499</v>
          </cell>
        </row>
        <row r="69">
          <cell r="B69" t="str">
            <v>EAS</v>
          </cell>
          <cell r="BL69">
            <v>5.4431321323470003</v>
          </cell>
        </row>
        <row r="70">
          <cell r="B70" t="str">
            <v>ECA</v>
          </cell>
          <cell r="BL70">
            <v>5.3865365295821102</v>
          </cell>
        </row>
        <row r="71">
          <cell r="B71" t="str">
            <v>ECS</v>
          </cell>
          <cell r="BL71">
            <v>1.98058988633997</v>
          </cell>
        </row>
        <row r="72">
          <cell r="B72" t="str">
            <v>ECU</v>
          </cell>
          <cell r="BL72">
            <v>8.8005311428869195</v>
          </cell>
        </row>
        <row r="73">
          <cell r="B73" t="str">
            <v>EGY</v>
          </cell>
          <cell r="BL73">
            <v>11.0489758951318</v>
          </cell>
        </row>
        <row r="74">
          <cell r="B74" t="str">
            <v>EMU</v>
          </cell>
          <cell r="BL74">
            <v>1.48777443421625</v>
          </cell>
        </row>
        <row r="75">
          <cell r="B75" t="str">
            <v>ERI</v>
          </cell>
        </row>
        <row r="76">
          <cell r="B76" t="str">
            <v>ESP</v>
          </cell>
          <cell r="BL76">
            <v>2.5946358613761902</v>
          </cell>
        </row>
        <row r="77">
          <cell r="B77" t="str">
            <v>EST</v>
          </cell>
          <cell r="BL77">
            <v>2.5111737977642701</v>
          </cell>
        </row>
        <row r="78">
          <cell r="B78" t="str">
            <v>ETH</v>
          </cell>
          <cell r="BL78">
            <v>33.633329059433599</v>
          </cell>
        </row>
        <row r="79">
          <cell r="B79" t="str">
            <v>EUU</v>
          </cell>
          <cell r="BL79">
            <v>1.5906772110423599</v>
          </cell>
        </row>
        <row r="80">
          <cell r="B80" t="str">
            <v>FCS</v>
          </cell>
          <cell r="BL80">
            <v>17.149544079725999</v>
          </cell>
        </row>
        <row r="81">
          <cell r="B81" t="str">
            <v>FIN</v>
          </cell>
          <cell r="BL81">
            <v>2.34936544202258</v>
          </cell>
        </row>
        <row r="82">
          <cell r="B82" t="str">
            <v>FJI</v>
          </cell>
          <cell r="BL82">
            <v>11.849117809924</v>
          </cell>
        </row>
        <row r="83">
          <cell r="B83" t="str">
            <v>FRA</v>
          </cell>
          <cell r="BL83">
            <v>1.52245926892254</v>
          </cell>
        </row>
        <row r="84">
          <cell r="B84" t="str">
            <v>FRO</v>
          </cell>
          <cell r="BL84">
            <v>17.027503073225301</v>
          </cell>
        </row>
        <row r="85">
          <cell r="B85" t="str">
            <v>FSM</v>
          </cell>
          <cell r="BL85">
            <v>22.512933644046399</v>
          </cell>
        </row>
        <row r="86">
          <cell r="B86" t="str">
            <v>GAB</v>
          </cell>
          <cell r="BL86">
            <v>5.5544308701413003</v>
          </cell>
        </row>
        <row r="87">
          <cell r="B87" t="str">
            <v>GBR</v>
          </cell>
          <cell r="BL87">
            <v>0.61198528078294401</v>
          </cell>
        </row>
        <row r="88">
          <cell r="B88" t="str">
            <v>GEO</v>
          </cell>
          <cell r="BL88">
            <v>6.5045891872234698</v>
          </cell>
        </row>
        <row r="89">
          <cell r="B89" t="str">
            <v>GHA</v>
          </cell>
          <cell r="BL89">
            <v>17.323229997398801</v>
          </cell>
        </row>
        <row r="90">
          <cell r="B90" t="str">
            <v>GIB</v>
          </cell>
        </row>
        <row r="91">
          <cell r="B91" t="str">
            <v>GIN</v>
          </cell>
          <cell r="BL91">
            <v>26.427276700183299</v>
          </cell>
        </row>
        <row r="92">
          <cell r="B92" t="str">
            <v>GMB</v>
          </cell>
          <cell r="BL92">
            <v>20.004045872555501</v>
          </cell>
        </row>
        <row r="93">
          <cell r="B93" t="str">
            <v>GNB</v>
          </cell>
          <cell r="BL93">
            <v>30.3965794546532</v>
          </cell>
        </row>
        <row r="94">
          <cell r="B94" t="str">
            <v>GNQ</v>
          </cell>
          <cell r="BL94">
            <v>2.43787850840374</v>
          </cell>
        </row>
        <row r="95">
          <cell r="B95" t="str">
            <v>GRC</v>
          </cell>
          <cell r="BL95">
            <v>3.77962501702793</v>
          </cell>
        </row>
        <row r="96">
          <cell r="B96" t="str">
            <v>GRD</v>
          </cell>
          <cell r="BL96">
            <v>4.6795120268830797</v>
          </cell>
        </row>
        <row r="97">
          <cell r="B97" t="str">
            <v>GRL</v>
          </cell>
          <cell r="BL97">
            <v>18.178904779073001</v>
          </cell>
        </row>
        <row r="98">
          <cell r="B98" t="str">
            <v>GTM</v>
          </cell>
          <cell r="BL98">
            <v>9.4342141738807292</v>
          </cell>
        </row>
        <row r="99">
          <cell r="B99" t="str">
            <v>GUM</v>
          </cell>
        </row>
        <row r="100">
          <cell r="B100" t="str">
            <v>GUY</v>
          </cell>
          <cell r="BL100">
            <v>17.595336734249301</v>
          </cell>
        </row>
        <row r="101">
          <cell r="B101" t="str">
            <v>HIC</v>
          </cell>
          <cell r="BL101">
            <v>1.2106820121412201</v>
          </cell>
        </row>
        <row r="102">
          <cell r="B102" t="str">
            <v>HKG</v>
          </cell>
          <cell r="BL102">
            <v>7.2306274898122705E-2</v>
          </cell>
        </row>
        <row r="103">
          <cell r="B103" t="str">
            <v>HND</v>
          </cell>
          <cell r="BL103">
            <v>10.7536504478567</v>
          </cell>
        </row>
        <row r="104">
          <cell r="B104" t="str">
            <v>HPC</v>
          </cell>
          <cell r="BL104">
            <v>22.087920659180899</v>
          </cell>
        </row>
        <row r="105">
          <cell r="B105" t="str">
            <v>HRV</v>
          </cell>
          <cell r="BL105">
            <v>2.86876409373393</v>
          </cell>
        </row>
        <row r="106">
          <cell r="B106" t="str">
            <v>HTI</v>
          </cell>
          <cell r="BL106">
            <v>19.4861983599491</v>
          </cell>
        </row>
        <row r="107">
          <cell r="B107" t="str">
            <v>HUN</v>
          </cell>
          <cell r="BL107">
            <v>3.34248182381838</v>
          </cell>
        </row>
        <row r="108">
          <cell r="B108" t="str">
            <v>IBD</v>
          </cell>
          <cell r="BL108">
            <v>7.7142964506898197</v>
          </cell>
        </row>
        <row r="109">
          <cell r="B109" t="str">
            <v>IBT</v>
          </cell>
          <cell r="BL109">
            <v>8.5659448848147104</v>
          </cell>
        </row>
        <row r="110">
          <cell r="B110" t="str">
            <v>IDA</v>
          </cell>
          <cell r="BL110">
            <v>19.995395836214101</v>
          </cell>
        </row>
        <row r="111">
          <cell r="B111" t="str">
            <v>IDB</v>
          </cell>
          <cell r="BL111">
            <v>20.696313710918702</v>
          </cell>
        </row>
        <row r="112">
          <cell r="B112" t="str">
            <v>IDN</v>
          </cell>
          <cell r="BL112">
            <v>12.7126026577522</v>
          </cell>
        </row>
        <row r="113">
          <cell r="B113" t="str">
            <v>IDX</v>
          </cell>
          <cell r="BL113">
            <v>19.444555179688201</v>
          </cell>
        </row>
        <row r="114">
          <cell r="B114" t="str">
            <v>IMN</v>
          </cell>
          <cell r="BL114">
            <v>0.31667066547429501</v>
          </cell>
        </row>
        <row r="115">
          <cell r="B115" t="str">
            <v>IND</v>
          </cell>
          <cell r="BL115">
            <v>16.729204706558001</v>
          </cell>
        </row>
        <row r="116">
          <cell r="B116" t="str">
            <v>INX</v>
          </cell>
        </row>
        <row r="117">
          <cell r="B117" t="str">
            <v>IRL</v>
          </cell>
          <cell r="BL117">
            <v>0.90289814077455499</v>
          </cell>
        </row>
        <row r="118">
          <cell r="B118" t="str">
            <v>IRN</v>
          </cell>
          <cell r="BL118">
            <v>13.871221407557901</v>
          </cell>
        </row>
        <row r="119">
          <cell r="B119" t="str">
            <v>IRQ</v>
          </cell>
          <cell r="BL119">
            <v>3.7700082530619898</v>
          </cell>
        </row>
        <row r="120">
          <cell r="B120" t="str">
            <v>ISL</v>
          </cell>
          <cell r="BL120">
            <v>4.3756563979129304</v>
          </cell>
        </row>
        <row r="121">
          <cell r="B121" t="str">
            <v>ISR</v>
          </cell>
          <cell r="BL121">
            <v>1.1323306510742901</v>
          </cell>
        </row>
        <row r="122">
          <cell r="B122" t="str">
            <v>ITA</v>
          </cell>
          <cell r="BL122">
            <v>1.90731132855232</v>
          </cell>
        </row>
        <row r="123">
          <cell r="B123" t="str">
            <v>JAM</v>
          </cell>
          <cell r="BL123">
            <v>7.0196021385184899</v>
          </cell>
        </row>
        <row r="124">
          <cell r="B124" t="str">
            <v>JOR</v>
          </cell>
          <cell r="BL124">
            <v>4.9126437446810103</v>
          </cell>
        </row>
        <row r="125">
          <cell r="B125" t="str">
            <v>JPN</v>
          </cell>
          <cell r="BL125">
            <v>1.0329079491315201</v>
          </cell>
        </row>
        <row r="126">
          <cell r="B126" t="str">
            <v>KAZ</v>
          </cell>
          <cell r="BL126">
            <v>4.4663359581275097</v>
          </cell>
        </row>
        <row r="127">
          <cell r="B127" t="str">
            <v>KEN</v>
          </cell>
          <cell r="BL127">
            <v>20.8611638110686</v>
          </cell>
        </row>
        <row r="128">
          <cell r="B128" t="str">
            <v>KGZ</v>
          </cell>
          <cell r="BL128">
            <v>11.665108228408601</v>
          </cell>
        </row>
        <row r="129">
          <cell r="B129" t="str">
            <v>KHM</v>
          </cell>
          <cell r="BL129">
            <v>20.711870688426099</v>
          </cell>
        </row>
        <row r="130">
          <cell r="B130" t="str">
            <v>KIR</v>
          </cell>
          <cell r="BL130">
            <v>31.166940146898</v>
          </cell>
        </row>
        <row r="131">
          <cell r="B131" t="str">
            <v>KNA</v>
          </cell>
          <cell r="BL131">
            <v>0.97005879045909804</v>
          </cell>
        </row>
        <row r="132">
          <cell r="B132" t="str">
            <v>KOR</v>
          </cell>
          <cell r="BL132">
            <v>1.6679309789913499</v>
          </cell>
        </row>
        <row r="133">
          <cell r="B133" t="str">
            <v>KWT</v>
          </cell>
          <cell r="BL133">
            <v>0.38457981162383698</v>
          </cell>
        </row>
        <row r="134">
          <cell r="B134" t="str">
            <v>LAC</v>
          </cell>
          <cell r="BL134">
            <v>4.8038366912128803</v>
          </cell>
        </row>
        <row r="135">
          <cell r="B135" t="str">
            <v>LAO</v>
          </cell>
          <cell r="BL135">
            <v>16.050339057034101</v>
          </cell>
        </row>
        <row r="136">
          <cell r="B136" t="str">
            <v>LBN</v>
          </cell>
          <cell r="BL136">
            <v>3.1690998514984998</v>
          </cell>
        </row>
        <row r="137">
          <cell r="B137" t="str">
            <v>LBR</v>
          </cell>
          <cell r="BL137">
            <v>36.437151322457403</v>
          </cell>
        </row>
        <row r="138">
          <cell r="B138" t="str">
            <v>LBY</v>
          </cell>
          <cell r="BL138">
            <v>4.0887897516922997</v>
          </cell>
        </row>
        <row r="139">
          <cell r="B139" t="str">
            <v>LCA</v>
          </cell>
          <cell r="BL139">
            <v>2.1007234835159498</v>
          </cell>
        </row>
        <row r="140">
          <cell r="B140" t="str">
            <v>LCN</v>
          </cell>
          <cell r="BL140">
            <v>5.4212909126095399</v>
          </cell>
        </row>
        <row r="141">
          <cell r="B141" t="str">
            <v>LDC</v>
          </cell>
          <cell r="BL141">
            <v>18.835748416633098</v>
          </cell>
        </row>
        <row r="142">
          <cell r="B142" t="str">
            <v>LIC</v>
          </cell>
          <cell r="BL142">
            <v>24.987940394679999</v>
          </cell>
        </row>
        <row r="143">
          <cell r="B143" t="str">
            <v>LIE</v>
          </cell>
          <cell r="BL143">
            <v>0.13933681936312101</v>
          </cell>
        </row>
        <row r="144">
          <cell r="B144" t="str">
            <v>LKA</v>
          </cell>
          <cell r="BL144">
            <v>7.5788705994159802</v>
          </cell>
        </row>
        <row r="145">
          <cell r="B145" t="str">
            <v>LMC</v>
          </cell>
          <cell r="BL145">
            <v>15.036850088653001</v>
          </cell>
        </row>
        <row r="146">
          <cell r="B146" t="str">
            <v>LMY</v>
          </cell>
          <cell r="BL146">
            <v>8.6742350854103005</v>
          </cell>
        </row>
        <row r="147">
          <cell r="B147" t="str">
            <v>LSO</v>
          </cell>
          <cell r="BL147">
            <v>4.3386561443384801</v>
          </cell>
        </row>
        <row r="148">
          <cell r="B148" t="str">
            <v>LTE</v>
          </cell>
          <cell r="BL148">
            <v>6.0930758114309604</v>
          </cell>
        </row>
        <row r="149">
          <cell r="B149" t="str">
            <v>LTU</v>
          </cell>
          <cell r="BL149">
            <v>3.1064859566756899</v>
          </cell>
        </row>
        <row r="150">
          <cell r="B150" t="str">
            <v>LUX</v>
          </cell>
          <cell r="BL150">
            <v>0.21874304173027401</v>
          </cell>
        </row>
        <row r="151">
          <cell r="B151" t="str">
            <v>LVA</v>
          </cell>
          <cell r="BL151">
            <v>3.9951679796622299</v>
          </cell>
        </row>
        <row r="152">
          <cell r="B152" t="str">
            <v>MAC</v>
          </cell>
        </row>
        <row r="153">
          <cell r="B153" t="str">
            <v>MAF</v>
          </cell>
        </row>
        <row r="154">
          <cell r="B154" t="str">
            <v>MAR</v>
          </cell>
          <cell r="BL154">
            <v>12.145929150264701</v>
          </cell>
        </row>
        <row r="155">
          <cell r="B155" t="str">
            <v>MCO</v>
          </cell>
        </row>
        <row r="156">
          <cell r="B156" t="str">
            <v>MDA</v>
          </cell>
          <cell r="BL156">
            <v>10.1711187074227</v>
          </cell>
        </row>
        <row r="157">
          <cell r="B157" t="str">
            <v>MDG</v>
          </cell>
          <cell r="BL157">
            <v>22.815124858235201</v>
          </cell>
        </row>
        <row r="158">
          <cell r="B158" t="str">
            <v>MDV</v>
          </cell>
          <cell r="BL158">
            <v>4.60699986258878</v>
          </cell>
        </row>
        <row r="159">
          <cell r="B159" t="str">
            <v>MEA</v>
          </cell>
          <cell r="BL159">
            <v>4.8710816579170002</v>
          </cell>
        </row>
        <row r="160">
          <cell r="B160" t="str">
            <v>MEX</v>
          </cell>
          <cell r="BL160">
            <v>3.3943129765772801</v>
          </cell>
        </row>
        <row r="161">
          <cell r="B161" t="str">
            <v>MHL</v>
          </cell>
          <cell r="BL161">
            <v>20.150779538482499</v>
          </cell>
        </row>
        <row r="162">
          <cell r="B162" t="str">
            <v>MIC</v>
          </cell>
          <cell r="BL162">
            <v>8.4261355336368293</v>
          </cell>
        </row>
        <row r="163">
          <cell r="B163" t="str">
            <v>MKD</v>
          </cell>
          <cell r="BL163">
            <v>8.13229139447626</v>
          </cell>
        </row>
        <row r="164">
          <cell r="B164" t="str">
            <v>MLI</v>
          </cell>
          <cell r="BL164">
            <v>37.307797318090799</v>
          </cell>
        </row>
        <row r="165">
          <cell r="B165" t="str">
            <v>MLT</v>
          </cell>
          <cell r="BL165">
            <v>0.47568325233029801</v>
          </cell>
        </row>
        <row r="166">
          <cell r="B166" t="str">
            <v>MMR</v>
          </cell>
          <cell r="BL166">
            <v>21.354050769455799</v>
          </cell>
        </row>
        <row r="167">
          <cell r="B167" t="str">
            <v>MNA</v>
          </cell>
          <cell r="BL167">
            <v>10.1041236741732</v>
          </cell>
        </row>
        <row r="168">
          <cell r="B168" t="str">
            <v>MNE</v>
          </cell>
          <cell r="BL168">
            <v>6.3938419259579096</v>
          </cell>
        </row>
        <row r="169">
          <cell r="B169" t="str">
            <v>MNG</v>
          </cell>
          <cell r="BL169">
            <v>11.558382861257201</v>
          </cell>
        </row>
        <row r="170">
          <cell r="B170" t="str">
            <v>MNP</v>
          </cell>
        </row>
        <row r="171">
          <cell r="B171" t="str">
            <v>MOZ</v>
          </cell>
          <cell r="BL171">
            <v>24.211433334701699</v>
          </cell>
        </row>
        <row r="172">
          <cell r="B172" t="str">
            <v>MRT</v>
          </cell>
          <cell r="BL172">
            <v>21.6769475143352</v>
          </cell>
        </row>
        <row r="173">
          <cell r="B173" t="str">
            <v>MUS</v>
          </cell>
          <cell r="BL173">
            <v>2.8979195350162801</v>
          </cell>
        </row>
        <row r="174">
          <cell r="B174" t="str">
            <v>MWI</v>
          </cell>
          <cell r="BL174">
            <v>23.002540313068899</v>
          </cell>
        </row>
        <row r="175">
          <cell r="B175" t="str">
            <v>MYS</v>
          </cell>
          <cell r="BL175">
            <v>7.2397623575184404</v>
          </cell>
        </row>
        <row r="176">
          <cell r="B176" t="str">
            <v>NAC</v>
          </cell>
          <cell r="BL176">
            <v>0.91306310559014703</v>
          </cell>
        </row>
        <row r="177">
          <cell r="B177" t="str">
            <v>NAM</v>
          </cell>
          <cell r="BL177">
            <v>7.0832565980882602</v>
          </cell>
        </row>
        <row r="178">
          <cell r="B178" t="str">
            <v>NCL</v>
          </cell>
          <cell r="BL178">
            <v>1.79324055666004</v>
          </cell>
        </row>
        <row r="179">
          <cell r="B179" t="str">
            <v>NER</v>
          </cell>
          <cell r="BL179">
            <v>36.9148824391823</v>
          </cell>
        </row>
        <row r="180">
          <cell r="B180" t="str">
            <v>NGA</v>
          </cell>
          <cell r="BL180">
            <v>21.906295930281001</v>
          </cell>
        </row>
        <row r="181">
          <cell r="B181" t="str">
            <v>NIC</v>
          </cell>
          <cell r="BL181">
            <v>15.2482371495271</v>
          </cell>
        </row>
        <row r="182">
          <cell r="B182" t="str">
            <v>NLD</v>
          </cell>
          <cell r="BL182">
            <v>1.63580569580164</v>
          </cell>
        </row>
        <row r="183">
          <cell r="B183" t="str">
            <v>NOR</v>
          </cell>
          <cell r="BL183">
            <v>1.8441222129803301</v>
          </cell>
        </row>
        <row r="184">
          <cell r="B184" t="str">
            <v>NPL</v>
          </cell>
          <cell r="BL184">
            <v>21.583372760108801</v>
          </cell>
        </row>
        <row r="185">
          <cell r="B185" t="str">
            <v>NRU</v>
          </cell>
        </row>
        <row r="186">
          <cell r="B186" t="str">
            <v>NZL</v>
          </cell>
          <cell r="BL186">
            <v>5.6533535823093102</v>
          </cell>
        </row>
        <row r="187">
          <cell r="B187" t="str">
            <v>OED</v>
          </cell>
          <cell r="BL187">
            <v>1.35352884739496</v>
          </cell>
        </row>
        <row r="188">
          <cell r="B188" t="str">
            <v>OMN</v>
          </cell>
          <cell r="BL188">
            <v>1.99471933938581</v>
          </cell>
        </row>
        <row r="189">
          <cell r="B189" t="str">
            <v>OSS</v>
          </cell>
          <cell r="BL189">
            <v>2.1175845496708199</v>
          </cell>
        </row>
        <row r="190">
          <cell r="B190" t="str">
            <v>PAK</v>
          </cell>
          <cell r="BL190">
            <v>20.677871322288699</v>
          </cell>
        </row>
        <row r="191">
          <cell r="B191" t="str">
            <v>PAN</v>
          </cell>
          <cell r="BL191">
            <v>2.1869214401522901</v>
          </cell>
        </row>
        <row r="192">
          <cell r="B192" t="str">
            <v>PER</v>
          </cell>
          <cell r="BL192">
            <v>6.8530310347723802</v>
          </cell>
        </row>
        <row r="193">
          <cell r="B193" t="str">
            <v>PHL</v>
          </cell>
          <cell r="BL193">
            <v>8.8203237473052507</v>
          </cell>
        </row>
        <row r="194">
          <cell r="B194" t="str">
            <v>PLW</v>
          </cell>
          <cell r="BL194">
            <v>3.4646243617797201</v>
          </cell>
        </row>
        <row r="195">
          <cell r="B195" t="str">
            <v>PNG</v>
          </cell>
          <cell r="BL195">
            <v>16.976143352460401</v>
          </cell>
        </row>
        <row r="196">
          <cell r="B196" t="str">
            <v>POL</v>
          </cell>
          <cell r="BL196">
            <v>2.31672000554684</v>
          </cell>
        </row>
        <row r="197">
          <cell r="B197" t="str">
            <v>PRE</v>
          </cell>
          <cell r="BL197">
            <v>17.972690481612702</v>
          </cell>
        </row>
        <row r="198">
          <cell r="B198" t="str">
            <v>PRI</v>
          </cell>
          <cell r="BL198">
            <v>0.68589119150242195</v>
          </cell>
        </row>
        <row r="199">
          <cell r="B199" t="str">
            <v>PRK</v>
          </cell>
        </row>
        <row r="200">
          <cell r="B200" t="str">
            <v>PRT</v>
          </cell>
          <cell r="BL200">
            <v>2.0885485418003298</v>
          </cell>
        </row>
        <row r="201">
          <cell r="B201" t="str">
            <v>PRY</v>
          </cell>
          <cell r="BL201">
            <v>9.9950112421457806</v>
          </cell>
        </row>
        <row r="202">
          <cell r="B202" t="str">
            <v>PSE</v>
          </cell>
          <cell r="BL202">
            <v>7.0540169842705804</v>
          </cell>
        </row>
        <row r="203">
          <cell r="B203" t="str">
            <v>PSS</v>
          </cell>
        </row>
        <row r="204">
          <cell r="B204" t="str">
            <v>PST</v>
          </cell>
          <cell r="BL204">
            <v>1.1856546198487601</v>
          </cell>
        </row>
        <row r="205">
          <cell r="B205" t="str">
            <v>PYF</v>
          </cell>
        </row>
        <row r="206">
          <cell r="B206" t="str">
            <v>QAT</v>
          </cell>
          <cell r="BL206">
            <v>0.230041116366306</v>
          </cell>
        </row>
        <row r="207">
          <cell r="B207" t="str">
            <v>ROU</v>
          </cell>
          <cell r="BL207">
            <v>4.123626546923</v>
          </cell>
        </row>
        <row r="208">
          <cell r="B208" t="str">
            <v>RUS</v>
          </cell>
          <cell r="BL208">
            <v>3.53030291392166</v>
          </cell>
        </row>
        <row r="209">
          <cell r="B209" t="str">
            <v>RWA</v>
          </cell>
          <cell r="BL209">
            <v>23.545797022278801</v>
          </cell>
        </row>
        <row r="210">
          <cell r="B210" t="str">
            <v>SAS</v>
          </cell>
          <cell r="BL210">
            <v>16.4812526429094</v>
          </cell>
        </row>
        <row r="211">
          <cell r="B211" t="str">
            <v>SAU</v>
          </cell>
          <cell r="BL211">
            <v>2.1968555880473302</v>
          </cell>
        </row>
        <row r="212">
          <cell r="B212" t="str">
            <v>SDN</v>
          </cell>
          <cell r="BL212">
            <v>20.164015348444298</v>
          </cell>
        </row>
        <row r="213">
          <cell r="B213" t="str">
            <v>SEN</v>
          </cell>
          <cell r="BL213">
            <v>14.899573080831299</v>
          </cell>
        </row>
        <row r="214">
          <cell r="B214" t="str">
            <v>SGP</v>
          </cell>
          <cell r="BL214">
            <v>3.2290818845577801E-2</v>
          </cell>
        </row>
        <row r="215">
          <cell r="B215" t="str">
            <v>SLB</v>
          </cell>
        </row>
        <row r="216">
          <cell r="B216" t="str">
            <v>SLE</v>
          </cell>
          <cell r="BL216">
            <v>58.1544724473477</v>
          </cell>
        </row>
        <row r="217">
          <cell r="B217" t="str">
            <v>SLV</v>
          </cell>
          <cell r="BL217">
            <v>4.8678163013548899</v>
          </cell>
        </row>
        <row r="218">
          <cell r="B218" t="str">
            <v>SMR</v>
          </cell>
          <cell r="BL218">
            <v>1.52797446966611E-2</v>
          </cell>
        </row>
        <row r="219">
          <cell r="B219" t="str">
            <v>SOM</v>
          </cell>
        </row>
        <row r="220">
          <cell r="B220" t="str">
            <v>SRB</v>
          </cell>
          <cell r="BL220">
            <v>5.9544163448377896</v>
          </cell>
        </row>
        <row r="221">
          <cell r="B221" t="str">
            <v>SSA</v>
          </cell>
          <cell r="BL221">
            <v>16.5265307384336</v>
          </cell>
        </row>
        <row r="222">
          <cell r="B222" t="str">
            <v>SSD</v>
          </cell>
          <cell r="BL222">
            <v>10.2201185288727</v>
          </cell>
        </row>
        <row r="223">
          <cell r="B223" t="str">
            <v>SSF</v>
          </cell>
          <cell r="BL223">
            <v>16.513490138782799</v>
          </cell>
        </row>
        <row r="224">
          <cell r="B224" t="str">
            <v>SST</v>
          </cell>
          <cell r="BL224">
            <v>2.7089190258502001</v>
          </cell>
        </row>
        <row r="225">
          <cell r="B225" t="str">
            <v>STP</v>
          </cell>
          <cell r="BL225">
            <v>12.2898119898564</v>
          </cell>
        </row>
        <row r="226">
          <cell r="B226" t="str">
            <v>SUR</v>
          </cell>
          <cell r="BL226">
            <v>8.6649938061811103</v>
          </cell>
        </row>
        <row r="227">
          <cell r="B227" t="str">
            <v>SVK</v>
          </cell>
          <cell r="BL227">
            <v>1.6674607112729301</v>
          </cell>
        </row>
        <row r="228">
          <cell r="B228" t="str">
            <v>SVN</v>
          </cell>
          <cell r="BL228">
            <v>1.9568088364693399</v>
          </cell>
        </row>
        <row r="229">
          <cell r="B229" t="str">
            <v>SWE</v>
          </cell>
          <cell r="BL229">
            <v>1.39212483159621</v>
          </cell>
        </row>
        <row r="230">
          <cell r="B230" t="str">
            <v>SWZ</v>
          </cell>
          <cell r="BL230">
            <v>8.5982213976999908</v>
          </cell>
        </row>
        <row r="231">
          <cell r="B231" t="str">
            <v>SXM</v>
          </cell>
        </row>
        <row r="232">
          <cell r="B232" t="str">
            <v>SYC</v>
          </cell>
          <cell r="BL232">
            <v>2.6473226374221501</v>
          </cell>
        </row>
        <row r="233">
          <cell r="B233" t="str">
            <v>SYR</v>
          </cell>
        </row>
        <row r="234">
          <cell r="B234" t="str">
            <v>TCA</v>
          </cell>
          <cell r="BL234">
            <v>0.36035960798887601</v>
          </cell>
        </row>
        <row r="235">
          <cell r="B235" t="str">
            <v>TCD</v>
          </cell>
          <cell r="BL235">
            <v>42.594449124090801</v>
          </cell>
        </row>
        <row r="236">
          <cell r="B236" t="str">
            <v>TEA</v>
          </cell>
          <cell r="BL236">
            <v>7.7633732400296598</v>
          </cell>
        </row>
        <row r="237">
          <cell r="B237" t="str">
            <v>TEC</v>
          </cell>
          <cell r="BL237">
            <v>4.8321296253050203</v>
          </cell>
        </row>
        <row r="238">
          <cell r="B238" t="str">
            <v>TGO</v>
          </cell>
          <cell r="BL238">
            <v>19.7552067611722</v>
          </cell>
        </row>
        <row r="239">
          <cell r="B239" t="str">
            <v>THA</v>
          </cell>
          <cell r="BL239">
            <v>8.1258797219650898</v>
          </cell>
        </row>
        <row r="240">
          <cell r="B240" t="str">
            <v>TJK</v>
          </cell>
          <cell r="BL240">
            <v>20.867073358800099</v>
          </cell>
        </row>
        <row r="241">
          <cell r="B241" t="str">
            <v>TKM</v>
          </cell>
          <cell r="BL241">
            <v>10.791485060956401</v>
          </cell>
        </row>
        <row r="242">
          <cell r="B242" t="str">
            <v>TLA</v>
          </cell>
          <cell r="BL242">
            <v>5.5885043304049997</v>
          </cell>
        </row>
        <row r="243">
          <cell r="B243" t="str">
            <v>TLS</v>
          </cell>
          <cell r="BL243">
            <v>13.9725948868314</v>
          </cell>
        </row>
        <row r="244">
          <cell r="B244" t="str">
            <v>TMN</v>
          </cell>
          <cell r="BL244">
            <v>10.142134383878901</v>
          </cell>
        </row>
        <row r="245">
          <cell r="B245" t="str">
            <v>TON</v>
          </cell>
          <cell r="BL245">
            <v>19.621856583300399</v>
          </cell>
        </row>
        <row r="246">
          <cell r="B246" t="str">
            <v>TSA</v>
          </cell>
          <cell r="BL246">
            <v>16.4812526429094</v>
          </cell>
        </row>
        <row r="247">
          <cell r="B247" t="str">
            <v>TSS</v>
          </cell>
          <cell r="BL247">
            <v>16.513490138782799</v>
          </cell>
        </row>
        <row r="248">
          <cell r="B248" t="str">
            <v>TTO</v>
          </cell>
          <cell r="BL248">
            <v>0.99844341344009802</v>
          </cell>
        </row>
        <row r="249">
          <cell r="B249" t="str">
            <v>TUN</v>
          </cell>
          <cell r="BL249">
            <v>9.6423187119427194</v>
          </cell>
        </row>
        <row r="250">
          <cell r="B250" t="str">
            <v>TUR</v>
          </cell>
          <cell r="BL250">
            <v>6.4007749284690796</v>
          </cell>
        </row>
        <row r="251">
          <cell r="B251" t="str">
            <v>TUV</v>
          </cell>
        </row>
        <row r="252">
          <cell r="B252" t="str">
            <v>TZA</v>
          </cell>
          <cell r="BL252">
            <v>26.546415165034801</v>
          </cell>
        </row>
        <row r="253">
          <cell r="B253" t="str">
            <v>UGA</v>
          </cell>
          <cell r="BL253">
            <v>22.945508806922501</v>
          </cell>
        </row>
        <row r="254">
          <cell r="B254" t="str">
            <v>UKR</v>
          </cell>
          <cell r="BL254">
            <v>8.9651810143724298</v>
          </cell>
        </row>
        <row r="255">
          <cell r="B255" t="str">
            <v>UMC</v>
          </cell>
          <cell r="BL255">
            <v>6.2308125680389699</v>
          </cell>
        </row>
        <row r="256">
          <cell r="B256" t="str">
            <v>URY</v>
          </cell>
          <cell r="BL256">
            <v>6.4526702032424899</v>
          </cell>
        </row>
        <row r="257">
          <cell r="B257" t="str">
            <v>USA</v>
          </cell>
          <cell r="BL257">
            <v>0.85368615564561701</v>
          </cell>
        </row>
        <row r="258">
          <cell r="B258" t="str">
            <v>UZB</v>
          </cell>
          <cell r="BL258">
            <v>24.614478303231198</v>
          </cell>
        </row>
        <row r="259">
          <cell r="B259" t="str">
            <v>VCT</v>
          </cell>
          <cell r="BL259">
            <v>7.0057710857975799</v>
          </cell>
        </row>
        <row r="260">
          <cell r="B260" t="str">
            <v>VEN</v>
          </cell>
        </row>
        <row r="261">
          <cell r="B261" t="str">
            <v>VGB</v>
          </cell>
        </row>
        <row r="262">
          <cell r="B262" t="str">
            <v>VIR</v>
          </cell>
        </row>
        <row r="263">
          <cell r="B263" t="str">
            <v>VNM</v>
          </cell>
        </row>
        <row r="264">
          <cell r="B264" t="str">
            <v>VUT</v>
          </cell>
        </row>
        <row r="265">
          <cell r="B265" t="str">
            <v>WLD</v>
          </cell>
          <cell r="BL265">
            <v>4.0072946544539603</v>
          </cell>
        </row>
        <row r="266">
          <cell r="B266" t="str">
            <v>WSM</v>
          </cell>
          <cell r="BL266">
            <v>9.7287015525197198</v>
          </cell>
        </row>
        <row r="267">
          <cell r="B267" t="str">
            <v>XKX</v>
          </cell>
          <cell r="BL267">
            <v>7.2386699190439199</v>
          </cell>
        </row>
        <row r="268">
          <cell r="B268" t="str">
            <v>YEM</v>
          </cell>
          <cell r="BL268">
            <v>5.00096223312035</v>
          </cell>
        </row>
        <row r="269">
          <cell r="B269" t="str">
            <v>ZAF</v>
          </cell>
          <cell r="BL269">
            <v>1.96430245840516</v>
          </cell>
        </row>
        <row r="270">
          <cell r="B270" t="str">
            <v>ZMB</v>
          </cell>
          <cell r="BL270">
            <v>2.8607749368079598</v>
          </cell>
        </row>
        <row r="271">
          <cell r="B271" t="str">
            <v>ZWE</v>
          </cell>
          <cell r="BL271">
            <v>10.1436570902064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SP.RUR.TOTL_DS2_en_csv_v2_4"/>
    </sheetNames>
    <sheetDataSet>
      <sheetData sheetId="0" refreshError="1">
        <row r="6">
          <cell r="B6" t="str">
            <v>ABW</v>
          </cell>
          <cell r="BM6">
            <v>60112</v>
          </cell>
        </row>
        <row r="7">
          <cell r="B7" t="str">
            <v>AFE</v>
          </cell>
          <cell r="BM7">
            <v>428130824</v>
          </cell>
        </row>
        <row r="8">
          <cell r="B8" t="str">
            <v>AFG</v>
          </cell>
          <cell r="BM8">
            <v>28796851</v>
          </cell>
        </row>
        <row r="9">
          <cell r="B9" t="str">
            <v>AFW</v>
          </cell>
          <cell r="BM9">
            <v>239272321</v>
          </cell>
        </row>
        <row r="10">
          <cell r="B10" t="str">
            <v>AGO</v>
          </cell>
          <cell r="BM10">
            <v>10903384</v>
          </cell>
        </row>
        <row r="11">
          <cell r="B11" t="str">
            <v>ALB</v>
          </cell>
          <cell r="BM11">
            <v>1075204</v>
          </cell>
        </row>
        <row r="12">
          <cell r="B12" t="str">
            <v>AND</v>
          </cell>
          <cell r="BM12">
            <v>9337</v>
          </cell>
        </row>
        <row r="13">
          <cell r="B13" t="str">
            <v>ARB</v>
          </cell>
          <cell r="BM13">
            <v>176735820</v>
          </cell>
        </row>
        <row r="14">
          <cell r="B14" t="str">
            <v>ARE</v>
          </cell>
          <cell r="BM14">
            <v>1281005</v>
          </cell>
        </row>
        <row r="15">
          <cell r="B15" t="str">
            <v>ARG</v>
          </cell>
          <cell r="BM15">
            <v>3579773</v>
          </cell>
        </row>
        <row r="16">
          <cell r="B16" t="str">
            <v>ARM</v>
          </cell>
          <cell r="BM16">
            <v>1087122</v>
          </cell>
        </row>
        <row r="17">
          <cell r="B17" t="str">
            <v>ASM</v>
          </cell>
          <cell r="BM17">
            <v>7091</v>
          </cell>
        </row>
        <row r="18">
          <cell r="B18" t="str">
            <v>ATG</v>
          </cell>
          <cell r="BM18">
            <v>74001</v>
          </cell>
        </row>
        <row r="19">
          <cell r="B19" t="str">
            <v>AUS</v>
          </cell>
          <cell r="BM19">
            <v>3535137</v>
          </cell>
        </row>
        <row r="20">
          <cell r="B20" t="str">
            <v>AUT</v>
          </cell>
          <cell r="BM20">
            <v>3678385</v>
          </cell>
        </row>
        <row r="21">
          <cell r="B21" t="str">
            <v>AZE</v>
          </cell>
          <cell r="BM21">
            <v>4400904</v>
          </cell>
        </row>
        <row r="22">
          <cell r="B22" t="str">
            <v>BDI</v>
          </cell>
          <cell r="BM22">
            <v>10260793</v>
          </cell>
        </row>
        <row r="23">
          <cell r="B23" t="str">
            <v>BEL</v>
          </cell>
          <cell r="BM23">
            <v>221765</v>
          </cell>
        </row>
        <row r="24">
          <cell r="B24" t="str">
            <v>BEN</v>
          </cell>
          <cell r="BM24">
            <v>6253752</v>
          </cell>
        </row>
        <row r="25">
          <cell r="B25" t="str">
            <v>BFA</v>
          </cell>
          <cell r="BM25">
            <v>14505412</v>
          </cell>
        </row>
        <row r="26">
          <cell r="B26" t="str">
            <v>BGD</v>
          </cell>
          <cell r="BM26">
            <v>101815917</v>
          </cell>
        </row>
        <row r="27">
          <cell r="B27" t="str">
            <v>BGR</v>
          </cell>
          <cell r="BM27">
            <v>1685936</v>
          </cell>
        </row>
        <row r="28">
          <cell r="B28" t="str">
            <v>BHR</v>
          </cell>
          <cell r="BM28">
            <v>178564</v>
          </cell>
        </row>
        <row r="29">
          <cell r="B29" t="str">
            <v>BHS</v>
          </cell>
          <cell r="BM29">
            <v>65889</v>
          </cell>
        </row>
        <row r="30">
          <cell r="B30" t="str">
            <v>BIH</v>
          </cell>
          <cell r="BM30">
            <v>1672559</v>
          </cell>
        </row>
        <row r="31">
          <cell r="B31" t="str">
            <v>BLR</v>
          </cell>
          <cell r="BM31">
            <v>1924485</v>
          </cell>
        </row>
        <row r="32">
          <cell r="B32" t="str">
            <v>BLZ</v>
          </cell>
          <cell r="BM32">
            <v>214616</v>
          </cell>
        </row>
        <row r="33">
          <cell r="B33" t="str">
            <v>BMU</v>
          </cell>
          <cell r="BM33">
            <v>0</v>
          </cell>
        </row>
        <row r="34">
          <cell r="B34" t="str">
            <v>BOL</v>
          </cell>
          <cell r="BM34">
            <v>3487551</v>
          </cell>
        </row>
        <row r="35">
          <cell r="B35" t="str">
            <v>BRA</v>
          </cell>
          <cell r="BM35">
            <v>27477555</v>
          </cell>
        </row>
        <row r="36">
          <cell r="B36" t="str">
            <v>BRB</v>
          </cell>
          <cell r="BM36">
            <v>197737</v>
          </cell>
        </row>
        <row r="37">
          <cell r="B37" t="str">
            <v>BRN</v>
          </cell>
          <cell r="BM37">
            <v>95153</v>
          </cell>
        </row>
        <row r="38">
          <cell r="B38" t="str">
            <v>BTN</v>
          </cell>
          <cell r="BM38">
            <v>445097</v>
          </cell>
        </row>
        <row r="39">
          <cell r="B39" t="str">
            <v>BWA</v>
          </cell>
          <cell r="BM39">
            <v>684864</v>
          </cell>
        </row>
        <row r="40">
          <cell r="B40" t="str">
            <v>CAF</v>
          </cell>
          <cell r="BM40">
            <v>2791700</v>
          </cell>
        </row>
        <row r="41">
          <cell r="B41" t="str">
            <v>CAN</v>
          </cell>
          <cell r="BM41">
            <v>7013300</v>
          </cell>
        </row>
        <row r="42">
          <cell r="B42" t="str">
            <v>CEB</v>
          </cell>
          <cell r="BM42">
            <v>38251199</v>
          </cell>
        </row>
        <row r="43">
          <cell r="B43" t="str">
            <v>CHE</v>
          </cell>
          <cell r="BM43">
            <v>2252847</v>
          </cell>
        </row>
        <row r="44">
          <cell r="B44" t="str">
            <v>CHI</v>
          </cell>
          <cell r="BM44">
            <v>120027</v>
          </cell>
        </row>
        <row r="45">
          <cell r="B45" t="str">
            <v>CHL</v>
          </cell>
          <cell r="BM45">
            <v>2346132</v>
          </cell>
        </row>
        <row r="46">
          <cell r="B46" t="str">
            <v>CHN</v>
          </cell>
          <cell r="BM46">
            <v>544289492</v>
          </cell>
        </row>
        <row r="47">
          <cell r="B47" t="str">
            <v>CIV</v>
          </cell>
          <cell r="BM47">
            <v>12739124</v>
          </cell>
        </row>
        <row r="48">
          <cell r="B48" t="str">
            <v>CMR</v>
          </cell>
          <cell r="BM48">
            <v>11266065</v>
          </cell>
        </row>
        <row r="49">
          <cell r="B49" t="str">
            <v>COD</v>
          </cell>
          <cell r="BM49">
            <v>48687370</v>
          </cell>
        </row>
        <row r="50">
          <cell r="B50" t="str">
            <v>COG</v>
          </cell>
          <cell r="BM50">
            <v>1775225</v>
          </cell>
        </row>
        <row r="51">
          <cell r="B51" t="str">
            <v>COL</v>
          </cell>
          <cell r="BM51">
            <v>9451496</v>
          </cell>
        </row>
        <row r="52">
          <cell r="B52" t="str">
            <v>COM</v>
          </cell>
          <cell r="BM52">
            <v>614108</v>
          </cell>
        </row>
        <row r="53">
          <cell r="B53" t="str">
            <v>CPV</v>
          </cell>
          <cell r="BM53">
            <v>185411</v>
          </cell>
        </row>
        <row r="54">
          <cell r="B54" t="str">
            <v>CRI</v>
          </cell>
          <cell r="BM54">
            <v>979547</v>
          </cell>
        </row>
        <row r="55">
          <cell r="B55" t="str">
            <v>CSS</v>
          </cell>
          <cell r="BM55">
            <v>3605311</v>
          </cell>
        </row>
        <row r="56">
          <cell r="B56" t="str">
            <v>CUB</v>
          </cell>
          <cell r="BM56">
            <v>2583148</v>
          </cell>
        </row>
        <row r="57">
          <cell r="B57" t="str">
            <v>CUW</v>
          </cell>
          <cell r="BM57">
            <v>16948</v>
          </cell>
        </row>
        <row r="58">
          <cell r="B58" t="str">
            <v>CYM</v>
          </cell>
          <cell r="BM58">
            <v>0</v>
          </cell>
        </row>
        <row r="59">
          <cell r="B59" t="str">
            <v>CYP</v>
          </cell>
          <cell r="BM59">
            <v>400590</v>
          </cell>
        </row>
        <row r="60">
          <cell r="B60" t="str">
            <v>CZE</v>
          </cell>
          <cell r="BM60">
            <v>2774917</v>
          </cell>
        </row>
        <row r="61">
          <cell r="B61" t="str">
            <v>DEU</v>
          </cell>
          <cell r="BM61">
            <v>18750282</v>
          </cell>
        </row>
        <row r="62">
          <cell r="B62" t="str">
            <v>DJI</v>
          </cell>
          <cell r="BM62">
            <v>216748</v>
          </cell>
        </row>
        <row r="63">
          <cell r="B63" t="str">
            <v>DMA</v>
          </cell>
          <cell r="BM63">
            <v>20813</v>
          </cell>
        </row>
        <row r="64">
          <cell r="B64" t="str">
            <v>DNK</v>
          </cell>
          <cell r="BM64">
            <v>693004</v>
          </cell>
        </row>
        <row r="65">
          <cell r="B65" t="str">
            <v>DOM</v>
          </cell>
          <cell r="BM65">
            <v>1894044</v>
          </cell>
        </row>
        <row r="66">
          <cell r="B66" t="str">
            <v>DZA</v>
          </cell>
          <cell r="BM66">
            <v>11518353</v>
          </cell>
        </row>
        <row r="67">
          <cell r="B67" t="str">
            <v>EAP</v>
          </cell>
          <cell r="BM67">
            <v>898500041</v>
          </cell>
        </row>
        <row r="68">
          <cell r="B68" t="str">
            <v>EAR</v>
          </cell>
          <cell r="BM68">
            <v>1800695994</v>
          </cell>
        </row>
        <row r="69">
          <cell r="B69" t="str">
            <v>EAS</v>
          </cell>
          <cell r="BM69">
            <v>927981611</v>
          </cell>
        </row>
        <row r="70">
          <cell r="B70" t="str">
            <v>ECA</v>
          </cell>
          <cell r="BM70">
            <v>127704338</v>
          </cell>
        </row>
        <row r="71">
          <cell r="B71" t="str">
            <v>ECS</v>
          </cell>
          <cell r="BM71">
            <v>252271755</v>
          </cell>
        </row>
        <row r="72">
          <cell r="B72" t="str">
            <v>ECU</v>
          </cell>
          <cell r="BM72">
            <v>6322214</v>
          </cell>
        </row>
        <row r="73">
          <cell r="B73" t="str">
            <v>EGY</v>
          </cell>
          <cell r="BM73">
            <v>58552675</v>
          </cell>
        </row>
        <row r="74">
          <cell r="B74" t="str">
            <v>EMU</v>
          </cell>
          <cell r="BM74">
            <v>77236174</v>
          </cell>
        </row>
        <row r="75">
          <cell r="B75" t="str">
            <v>ERI</v>
          </cell>
        </row>
        <row r="76">
          <cell r="B76" t="str">
            <v>ESP</v>
          </cell>
          <cell r="BM76">
            <v>9089040</v>
          </cell>
        </row>
        <row r="77">
          <cell r="B77" t="str">
            <v>EST</v>
          </cell>
          <cell r="BM77">
            <v>409094</v>
          </cell>
        </row>
        <row r="78">
          <cell r="B78" t="str">
            <v>ETH</v>
          </cell>
          <cell r="BM78">
            <v>90022234</v>
          </cell>
        </row>
        <row r="79">
          <cell r="B79" t="str">
            <v>EUU</v>
          </cell>
          <cell r="BM79">
            <v>112053072</v>
          </cell>
        </row>
        <row r="80">
          <cell r="B80" t="str">
            <v>FCS</v>
          </cell>
          <cell r="BM80">
            <v>540264327</v>
          </cell>
        </row>
        <row r="81">
          <cell r="B81" t="str">
            <v>FIN</v>
          </cell>
          <cell r="BM81">
            <v>800844</v>
          </cell>
        </row>
        <row r="82">
          <cell r="B82" t="str">
            <v>FJI</v>
          </cell>
          <cell r="BM82">
            <v>383257</v>
          </cell>
        </row>
        <row r="83">
          <cell r="B83" t="str">
            <v>FRA</v>
          </cell>
          <cell r="BM83">
            <v>12819027</v>
          </cell>
        </row>
        <row r="84">
          <cell r="B84" t="str">
            <v>FRO</v>
          </cell>
          <cell r="BM84">
            <v>28147</v>
          </cell>
        </row>
        <row r="85">
          <cell r="B85" t="str">
            <v>FSM</v>
          </cell>
          <cell r="BM85">
            <v>88643</v>
          </cell>
        </row>
        <row r="86">
          <cell r="B86" t="str">
            <v>GAB</v>
          </cell>
          <cell r="BM86">
            <v>220525</v>
          </cell>
        </row>
        <row r="87">
          <cell r="B87" t="str">
            <v>GBR</v>
          </cell>
          <cell r="BM87">
            <v>10798029</v>
          </cell>
        </row>
        <row r="88">
          <cell r="B88" t="str">
            <v>GEO</v>
          </cell>
          <cell r="BM88">
            <v>1509450</v>
          </cell>
        </row>
        <row r="89">
          <cell r="B89" t="str">
            <v>GHA</v>
          </cell>
          <cell r="BM89">
            <v>13252922</v>
          </cell>
        </row>
        <row r="90">
          <cell r="B90" t="str">
            <v>GIB</v>
          </cell>
          <cell r="BM90">
            <v>0</v>
          </cell>
        </row>
        <row r="91">
          <cell r="B91" t="str">
            <v>GIN</v>
          </cell>
          <cell r="BM91">
            <v>8290075</v>
          </cell>
        </row>
        <row r="92">
          <cell r="B92" t="str">
            <v>GMB</v>
          </cell>
          <cell r="BM92">
            <v>904267</v>
          </cell>
        </row>
        <row r="93">
          <cell r="B93" t="str">
            <v>GNB</v>
          </cell>
          <cell r="BM93">
            <v>1098222</v>
          </cell>
        </row>
        <row r="94">
          <cell r="B94" t="str">
            <v>GNQ</v>
          </cell>
          <cell r="BM94">
            <v>377403</v>
          </cell>
        </row>
        <row r="95">
          <cell r="B95" t="str">
            <v>GRC</v>
          </cell>
          <cell r="BM95">
            <v>2170608</v>
          </cell>
        </row>
        <row r="96">
          <cell r="B96" t="str">
            <v>GRD</v>
          </cell>
          <cell r="BM96">
            <v>71408</v>
          </cell>
        </row>
        <row r="97">
          <cell r="B97" t="str">
            <v>GRL</v>
          </cell>
          <cell r="BM97">
            <v>7169</v>
          </cell>
        </row>
        <row r="98">
          <cell r="B98" t="str">
            <v>GTM</v>
          </cell>
          <cell r="BM98">
            <v>8119648</v>
          </cell>
        </row>
        <row r="99">
          <cell r="B99" t="str">
            <v>GUM</v>
          </cell>
          <cell r="BM99">
            <v>8544</v>
          </cell>
        </row>
        <row r="100">
          <cell r="B100" t="str">
            <v>GUY</v>
          </cell>
          <cell r="BM100">
            <v>575871</v>
          </cell>
        </row>
        <row r="101">
          <cell r="B101" t="str">
            <v>HIC</v>
          </cell>
          <cell r="BM101">
            <v>232140094</v>
          </cell>
        </row>
        <row r="102">
          <cell r="B102" t="str">
            <v>HKG</v>
          </cell>
          <cell r="BM102">
            <v>0</v>
          </cell>
        </row>
        <row r="103">
          <cell r="B103" t="str">
            <v>HND</v>
          </cell>
          <cell r="BM103">
            <v>4124378</v>
          </cell>
        </row>
        <row r="104">
          <cell r="B104" t="str">
            <v>HPC</v>
          </cell>
          <cell r="BM104">
            <v>519096920</v>
          </cell>
        </row>
        <row r="105">
          <cell r="B105" t="str">
            <v>HRV</v>
          </cell>
          <cell r="BM105">
            <v>1718119</v>
          </cell>
        </row>
        <row r="106">
          <cell r="B106" t="str">
            <v>HTI</v>
          </cell>
          <cell r="BM106">
            <v>4893055</v>
          </cell>
        </row>
        <row r="107">
          <cell r="B107" t="str">
            <v>HUN</v>
          </cell>
          <cell r="BM107">
            <v>2735697</v>
          </cell>
        </row>
        <row r="108">
          <cell r="B108" t="str">
            <v>IBD</v>
          </cell>
          <cell r="BM108">
            <v>2128918894</v>
          </cell>
        </row>
        <row r="109">
          <cell r="B109" t="str">
            <v>IBT</v>
          </cell>
          <cell r="BM109">
            <v>3187334894</v>
          </cell>
        </row>
        <row r="110">
          <cell r="B110" t="str">
            <v>IDA</v>
          </cell>
          <cell r="BM110">
            <v>1058416000</v>
          </cell>
        </row>
        <row r="111">
          <cell r="B111" t="str">
            <v>IDB</v>
          </cell>
          <cell r="BM111">
            <v>326155615</v>
          </cell>
        </row>
        <row r="112">
          <cell r="B112" t="str">
            <v>IDN</v>
          </cell>
          <cell r="BM112">
            <v>118597107</v>
          </cell>
        </row>
        <row r="113">
          <cell r="B113" t="str">
            <v>IDX</v>
          </cell>
          <cell r="BM113">
            <v>732260385</v>
          </cell>
        </row>
        <row r="114">
          <cell r="B114" t="str">
            <v>IMN</v>
          </cell>
          <cell r="BM114">
            <v>40052</v>
          </cell>
        </row>
        <row r="115">
          <cell r="B115" t="str">
            <v>IND</v>
          </cell>
          <cell r="BM115">
            <v>898024053</v>
          </cell>
        </row>
        <row r="116">
          <cell r="B116" t="str">
            <v>INX</v>
          </cell>
        </row>
        <row r="117">
          <cell r="B117" t="str">
            <v>IRL</v>
          </cell>
          <cell r="BM117">
            <v>1812143</v>
          </cell>
        </row>
        <row r="118">
          <cell r="B118" t="str">
            <v>IRN</v>
          </cell>
          <cell r="BM118">
            <v>20264140</v>
          </cell>
        </row>
        <row r="119">
          <cell r="B119" t="str">
            <v>IRQ</v>
          </cell>
          <cell r="BM119">
            <v>11707564</v>
          </cell>
        </row>
        <row r="120">
          <cell r="B120" t="str">
            <v>ISL</v>
          </cell>
          <cell r="BM120">
            <v>22362</v>
          </cell>
        </row>
        <row r="121">
          <cell r="B121" t="str">
            <v>ISR</v>
          </cell>
          <cell r="BM121">
            <v>683115</v>
          </cell>
        </row>
        <row r="122">
          <cell r="B122" t="str">
            <v>ITA</v>
          </cell>
          <cell r="BM122">
            <v>17217178</v>
          </cell>
        </row>
        <row r="123">
          <cell r="B123" t="str">
            <v>JAM</v>
          </cell>
          <cell r="BM123">
            <v>1293702</v>
          </cell>
        </row>
        <row r="124">
          <cell r="B124" t="str">
            <v>JOR</v>
          </cell>
          <cell r="BM124">
            <v>875633</v>
          </cell>
        </row>
        <row r="125">
          <cell r="B125" t="str">
            <v>JPN</v>
          </cell>
          <cell r="BM125">
            <v>10376129</v>
          </cell>
        </row>
        <row r="126">
          <cell r="B126" t="str">
            <v>KAZ</v>
          </cell>
          <cell r="BM126">
            <v>7939086</v>
          </cell>
        </row>
        <row r="127">
          <cell r="B127" t="str">
            <v>KEN</v>
          </cell>
          <cell r="BM127">
            <v>38718025</v>
          </cell>
        </row>
        <row r="128">
          <cell r="B128" t="str">
            <v>KGZ</v>
          </cell>
          <cell r="BM128">
            <v>4154812</v>
          </cell>
        </row>
        <row r="129">
          <cell r="B129" t="str">
            <v>KHM</v>
          </cell>
          <cell r="BM129">
            <v>12667630</v>
          </cell>
        </row>
        <row r="130">
          <cell r="B130" t="str">
            <v>KIR</v>
          </cell>
          <cell r="BM130">
            <v>53041</v>
          </cell>
        </row>
        <row r="131">
          <cell r="B131" t="str">
            <v>KNA</v>
          </cell>
          <cell r="BM131">
            <v>36786</v>
          </cell>
        </row>
        <row r="132">
          <cell r="B132" t="str">
            <v>KOR</v>
          </cell>
          <cell r="BM132">
            <v>9634283</v>
          </cell>
        </row>
        <row r="133">
          <cell r="B133" t="str">
            <v>KWT</v>
          </cell>
          <cell r="BM133">
            <v>0</v>
          </cell>
        </row>
        <row r="134">
          <cell r="B134" t="str">
            <v>LAC</v>
          </cell>
          <cell r="BM134">
            <v>114623530</v>
          </cell>
        </row>
        <row r="135">
          <cell r="B135" t="str">
            <v>LAO</v>
          </cell>
          <cell r="BM135">
            <v>4635257</v>
          </cell>
        </row>
        <row r="136">
          <cell r="B136" t="str">
            <v>LBN</v>
          </cell>
          <cell r="BM136">
            <v>755918</v>
          </cell>
        </row>
        <row r="137">
          <cell r="B137" t="str">
            <v>LBR</v>
          </cell>
          <cell r="BM137">
            <v>2423184</v>
          </cell>
        </row>
        <row r="138">
          <cell r="B138" t="str">
            <v>LBY</v>
          </cell>
          <cell r="BM138">
            <v>1326777</v>
          </cell>
        </row>
        <row r="139">
          <cell r="B139" t="str">
            <v>LCA</v>
          </cell>
          <cell r="BM139">
            <v>149031</v>
          </cell>
        </row>
        <row r="140">
          <cell r="B140" t="str">
            <v>LCN</v>
          </cell>
          <cell r="BM140">
            <v>123160540</v>
          </cell>
        </row>
        <row r="141">
          <cell r="B141" t="str">
            <v>LDC</v>
          </cell>
          <cell r="BM141">
            <v>690905065</v>
          </cell>
        </row>
        <row r="142">
          <cell r="B142" t="str">
            <v>LIC</v>
          </cell>
          <cell r="BM142">
            <v>452830338</v>
          </cell>
        </row>
        <row r="143">
          <cell r="B143" t="str">
            <v>LIE</v>
          </cell>
          <cell r="BM143">
            <v>32639</v>
          </cell>
        </row>
        <row r="144">
          <cell r="B144" t="str">
            <v>LKA</v>
          </cell>
          <cell r="BM144">
            <v>17817298</v>
          </cell>
        </row>
        <row r="145">
          <cell r="B145" t="str">
            <v>LMC</v>
          </cell>
          <cell r="BM145">
            <v>1907373021</v>
          </cell>
        </row>
        <row r="146">
          <cell r="B146" t="str">
            <v>LMY</v>
          </cell>
          <cell r="BM146">
            <v>3167053441</v>
          </cell>
        </row>
        <row r="147">
          <cell r="B147" t="str">
            <v>LSO</v>
          </cell>
          <cell r="BM147">
            <v>1520399</v>
          </cell>
        </row>
        <row r="148">
          <cell r="B148" t="str">
            <v>LTE</v>
          </cell>
          <cell r="BM148">
            <v>831714613</v>
          </cell>
        </row>
        <row r="149">
          <cell r="B149" t="str">
            <v>LTU</v>
          </cell>
          <cell r="BM149">
            <v>893078</v>
          </cell>
        </row>
        <row r="150">
          <cell r="B150" t="str">
            <v>LUX</v>
          </cell>
          <cell r="BM150">
            <v>53882</v>
          </cell>
        </row>
        <row r="151">
          <cell r="B151" t="str">
            <v>LVA</v>
          </cell>
          <cell r="BM151">
            <v>602157</v>
          </cell>
        </row>
        <row r="152">
          <cell r="B152" t="str">
            <v>MAC</v>
          </cell>
          <cell r="BM152">
            <v>0</v>
          </cell>
        </row>
        <row r="153">
          <cell r="B153" t="str">
            <v>MAF</v>
          </cell>
        </row>
        <row r="154">
          <cell r="B154" t="str">
            <v>MAR</v>
          </cell>
          <cell r="BM154">
            <v>13460542</v>
          </cell>
        </row>
        <row r="155">
          <cell r="B155" t="str">
            <v>MCO</v>
          </cell>
          <cell r="BM155">
            <v>0</v>
          </cell>
        </row>
        <row r="156">
          <cell r="B156" t="str">
            <v>MDA</v>
          </cell>
          <cell r="BM156">
            <v>1497639</v>
          </cell>
        </row>
        <row r="157">
          <cell r="B157" t="str">
            <v>MDG</v>
          </cell>
          <cell r="BM157">
            <v>17020562</v>
          </cell>
        </row>
        <row r="158">
          <cell r="B158" t="str">
            <v>MDV</v>
          </cell>
          <cell r="BM158">
            <v>320709</v>
          </cell>
        </row>
        <row r="159">
          <cell r="B159" t="str">
            <v>MEA</v>
          </cell>
          <cell r="BM159">
            <v>158067895</v>
          </cell>
        </row>
        <row r="160">
          <cell r="B160" t="str">
            <v>MEX</v>
          </cell>
          <cell r="BM160">
            <v>24844052</v>
          </cell>
        </row>
        <row r="161">
          <cell r="B161" t="str">
            <v>MHL</v>
          </cell>
          <cell r="BM161">
            <v>13145</v>
          </cell>
        </row>
        <row r="162">
          <cell r="B162" t="str">
            <v>MIC</v>
          </cell>
          <cell r="BM162">
            <v>2714223103</v>
          </cell>
        </row>
        <row r="163">
          <cell r="B163" t="str">
            <v>MKD</v>
          </cell>
          <cell r="BM163">
            <v>860473</v>
          </cell>
        </row>
        <row r="164">
          <cell r="B164" t="str">
            <v>MLI</v>
          </cell>
          <cell r="BM164">
            <v>11358895</v>
          </cell>
        </row>
        <row r="165">
          <cell r="B165" t="str">
            <v>MLT</v>
          </cell>
          <cell r="BM165">
            <v>27086</v>
          </cell>
        </row>
        <row r="166">
          <cell r="B166" t="str">
            <v>MMR</v>
          </cell>
          <cell r="BM166">
            <v>37466040</v>
          </cell>
        </row>
        <row r="167">
          <cell r="B167" t="str">
            <v>MNA</v>
          </cell>
          <cell r="BM167">
            <v>149704949</v>
          </cell>
        </row>
        <row r="168">
          <cell r="B168" t="str">
            <v>MNE</v>
          </cell>
          <cell r="BM168">
            <v>201999</v>
          </cell>
        </row>
        <row r="169">
          <cell r="B169" t="str">
            <v>MNG</v>
          </cell>
          <cell r="BM169">
            <v>1027515</v>
          </cell>
        </row>
        <row r="170">
          <cell r="B170" t="str">
            <v>MNP</v>
          </cell>
          <cell r="BM170">
            <v>4721</v>
          </cell>
        </row>
        <row r="171">
          <cell r="B171" t="str">
            <v>MOZ</v>
          </cell>
          <cell r="BM171">
            <v>19667795</v>
          </cell>
        </row>
        <row r="172">
          <cell r="B172" t="str">
            <v>MRT</v>
          </cell>
          <cell r="BM172">
            <v>2077143</v>
          </cell>
        </row>
        <row r="173">
          <cell r="B173" t="str">
            <v>MUS</v>
          </cell>
          <cell r="BM173">
            <v>749824</v>
          </cell>
        </row>
        <row r="174">
          <cell r="B174" t="str">
            <v>MWI</v>
          </cell>
          <cell r="BM174">
            <v>15796178</v>
          </cell>
        </row>
        <row r="175">
          <cell r="B175" t="str">
            <v>MYS</v>
          </cell>
          <cell r="BM175">
            <v>7392394</v>
          </cell>
        </row>
        <row r="176">
          <cell r="B176" t="str">
            <v>NAC</v>
          </cell>
          <cell r="BM176">
            <v>64482327</v>
          </cell>
        </row>
        <row r="177">
          <cell r="B177" t="str">
            <v>NAM</v>
          </cell>
          <cell r="BM177">
            <v>1218801</v>
          </cell>
        </row>
        <row r="178">
          <cell r="B178" t="str">
            <v>NCL</v>
          </cell>
          <cell r="BM178">
            <v>77460</v>
          </cell>
        </row>
        <row r="179">
          <cell r="B179" t="str">
            <v>NER</v>
          </cell>
          <cell r="BM179">
            <v>20182041</v>
          </cell>
        </row>
        <row r="180">
          <cell r="B180" t="str">
            <v>NGA</v>
          </cell>
          <cell r="BM180">
            <v>99033580</v>
          </cell>
        </row>
        <row r="181">
          <cell r="B181" t="str">
            <v>NIC</v>
          </cell>
          <cell r="BM181">
            <v>2715272</v>
          </cell>
        </row>
        <row r="182">
          <cell r="B182" t="str">
            <v>NLD</v>
          </cell>
          <cell r="BM182">
            <v>1354158</v>
          </cell>
        </row>
        <row r="183">
          <cell r="B183" t="str">
            <v>NOR</v>
          </cell>
          <cell r="BM183">
            <v>915909</v>
          </cell>
        </row>
        <row r="184">
          <cell r="B184" t="str">
            <v>NPL</v>
          </cell>
          <cell r="BM184">
            <v>23141618</v>
          </cell>
        </row>
        <row r="185">
          <cell r="B185" t="str">
            <v>NRU</v>
          </cell>
          <cell r="BM185">
            <v>0</v>
          </cell>
        </row>
        <row r="186">
          <cell r="B186" t="str">
            <v>NZL</v>
          </cell>
          <cell r="BM186">
            <v>677048</v>
          </cell>
        </row>
        <row r="187">
          <cell r="B187" t="str">
            <v>OED</v>
          </cell>
          <cell r="BM187">
            <v>260551474</v>
          </cell>
        </row>
        <row r="188">
          <cell r="B188" t="str">
            <v>OMN</v>
          </cell>
          <cell r="BM188">
            <v>700833</v>
          </cell>
        </row>
        <row r="189">
          <cell r="B189" t="str">
            <v>OSS</v>
          </cell>
          <cell r="BM189">
            <v>11797369</v>
          </cell>
        </row>
        <row r="190">
          <cell r="B190" t="str">
            <v>PAK</v>
          </cell>
          <cell r="BM190">
            <v>138797696</v>
          </cell>
        </row>
        <row r="191">
          <cell r="B191" t="str">
            <v>PAN</v>
          </cell>
          <cell r="BM191">
            <v>1362863</v>
          </cell>
        </row>
        <row r="192">
          <cell r="B192" t="str">
            <v>PER</v>
          </cell>
          <cell r="BM192">
            <v>7155880</v>
          </cell>
        </row>
        <row r="193">
          <cell r="B193" t="str">
            <v>PHL</v>
          </cell>
          <cell r="BM193">
            <v>57630884</v>
          </cell>
        </row>
        <row r="194">
          <cell r="B194" t="str">
            <v>PLW</v>
          </cell>
          <cell r="BM194">
            <v>3440</v>
          </cell>
        </row>
        <row r="195">
          <cell r="B195" t="str">
            <v>PNG</v>
          </cell>
          <cell r="BM195">
            <v>7753046</v>
          </cell>
        </row>
        <row r="196">
          <cell r="B196" t="str">
            <v>POL</v>
          </cell>
          <cell r="BM196">
            <v>15143331</v>
          </cell>
        </row>
        <row r="197">
          <cell r="B197" t="str">
            <v>PRE</v>
          </cell>
          <cell r="BM197">
            <v>559853221</v>
          </cell>
        </row>
        <row r="198">
          <cell r="B198" t="str">
            <v>PRI</v>
          </cell>
          <cell r="BM198">
            <v>210642</v>
          </cell>
        </row>
        <row r="199">
          <cell r="B199" t="str">
            <v>PRK</v>
          </cell>
          <cell r="BM199">
            <v>9697732</v>
          </cell>
        </row>
        <row r="200">
          <cell r="B200" t="str">
            <v>PRT</v>
          </cell>
          <cell r="BM200">
            <v>3469087</v>
          </cell>
        </row>
        <row r="201">
          <cell r="B201" t="str">
            <v>PRY</v>
          </cell>
          <cell r="BM201">
            <v>2697309</v>
          </cell>
        </row>
        <row r="202">
          <cell r="B202" t="str">
            <v>PSE</v>
          </cell>
          <cell r="BM202">
            <v>1118249</v>
          </cell>
        </row>
        <row r="203">
          <cell r="B203" t="str">
            <v>PSS</v>
          </cell>
          <cell r="BM203">
            <v>1536142</v>
          </cell>
        </row>
        <row r="204">
          <cell r="B204" t="str">
            <v>PST</v>
          </cell>
          <cell r="BM204">
            <v>204876746</v>
          </cell>
        </row>
        <row r="205">
          <cell r="B205" t="str">
            <v>PYF</v>
          </cell>
          <cell r="BM205">
            <v>106814</v>
          </cell>
        </row>
        <row r="206">
          <cell r="B206" t="str">
            <v>QAT</v>
          </cell>
          <cell r="BM206">
            <v>22040</v>
          </cell>
        </row>
        <row r="207">
          <cell r="B207" t="str">
            <v>ROU</v>
          </cell>
          <cell r="BM207">
            <v>8821100</v>
          </cell>
        </row>
        <row r="208">
          <cell r="B208" t="str">
            <v>RUS</v>
          </cell>
          <cell r="BM208">
            <v>36372705</v>
          </cell>
        </row>
        <row r="209">
          <cell r="B209" t="str">
            <v>RWA</v>
          </cell>
          <cell r="BM209">
            <v>10694380</v>
          </cell>
        </row>
        <row r="210">
          <cell r="B210" t="str">
            <v>SAS</v>
          </cell>
          <cell r="BM210">
            <v>1209159239</v>
          </cell>
        </row>
        <row r="211">
          <cell r="B211" t="str">
            <v>SAU</v>
          </cell>
          <cell r="BM211">
            <v>5470303</v>
          </cell>
        </row>
        <row r="212">
          <cell r="B212" t="str">
            <v>SDN</v>
          </cell>
          <cell r="BM212">
            <v>28391086</v>
          </cell>
        </row>
        <row r="213">
          <cell r="B213" t="str">
            <v>SEN</v>
          </cell>
          <cell r="BM213">
            <v>8686416</v>
          </cell>
        </row>
        <row r="214">
          <cell r="B214" t="str">
            <v>SGP</v>
          </cell>
          <cell r="BM214">
            <v>0</v>
          </cell>
        </row>
        <row r="215">
          <cell r="B215" t="str">
            <v>SLB</v>
          </cell>
          <cell r="BM215">
            <v>517425</v>
          </cell>
        </row>
        <row r="216">
          <cell r="B216" t="str">
            <v>SLE</v>
          </cell>
          <cell r="BM216">
            <v>4553024</v>
          </cell>
        </row>
        <row r="217">
          <cell r="B217" t="str">
            <v>SLV</v>
          </cell>
          <cell r="BM217">
            <v>1722476</v>
          </cell>
        </row>
        <row r="218">
          <cell r="B218" t="str">
            <v>SMR</v>
          </cell>
          <cell r="BM218">
            <v>849</v>
          </cell>
        </row>
        <row r="219">
          <cell r="B219" t="str">
            <v>SOM</v>
          </cell>
          <cell r="BM219">
            <v>8559929</v>
          </cell>
        </row>
        <row r="220">
          <cell r="B220" t="str">
            <v>SRB</v>
          </cell>
          <cell r="BM220">
            <v>3004845</v>
          </cell>
        </row>
        <row r="221">
          <cell r="B221" t="str">
            <v>SSA</v>
          </cell>
          <cell r="BM221">
            <v>667361344</v>
          </cell>
        </row>
        <row r="222">
          <cell r="B222" t="str">
            <v>SSD</v>
          </cell>
          <cell r="BM222">
            <v>8932708</v>
          </cell>
        </row>
        <row r="223">
          <cell r="B223" t="str">
            <v>SSF</v>
          </cell>
          <cell r="BM223">
            <v>667403145</v>
          </cell>
        </row>
        <row r="224">
          <cell r="B224" t="str">
            <v>SST</v>
          </cell>
          <cell r="BM224">
            <v>16938822</v>
          </cell>
        </row>
        <row r="225">
          <cell r="B225" t="str">
            <v>STP</v>
          </cell>
          <cell r="BM225">
            <v>56206</v>
          </cell>
        </row>
        <row r="226">
          <cell r="B226" t="str">
            <v>SUR</v>
          </cell>
          <cell r="BM226">
            <v>198581</v>
          </cell>
        </row>
        <row r="227">
          <cell r="B227" t="str">
            <v>SVK</v>
          </cell>
          <cell r="BM227">
            <v>2524162</v>
          </cell>
        </row>
        <row r="228">
          <cell r="B228" t="str">
            <v>SVN</v>
          </cell>
          <cell r="BM228">
            <v>943608</v>
          </cell>
        </row>
        <row r="229">
          <cell r="B229" t="str">
            <v>SWE</v>
          </cell>
          <cell r="BM229">
            <v>1244794</v>
          </cell>
        </row>
        <row r="230">
          <cell r="B230" t="str">
            <v>SWZ</v>
          </cell>
          <cell r="BM230">
            <v>879741</v>
          </cell>
        </row>
        <row r="231">
          <cell r="B231" t="str">
            <v>SXM</v>
          </cell>
          <cell r="BM231">
            <v>0</v>
          </cell>
        </row>
        <row r="232">
          <cell r="B232" t="str">
            <v>SYC</v>
          </cell>
          <cell r="BM232">
            <v>41801</v>
          </cell>
        </row>
        <row r="233">
          <cell r="B233" t="str">
            <v>SYR</v>
          </cell>
          <cell r="BM233">
            <v>7792168</v>
          </cell>
        </row>
        <row r="234">
          <cell r="B234" t="str">
            <v>TCA</v>
          </cell>
          <cell r="BM234">
            <v>2476</v>
          </cell>
        </row>
        <row r="235">
          <cell r="B235" t="str">
            <v>TCD</v>
          </cell>
          <cell r="BM235">
            <v>12562497</v>
          </cell>
        </row>
        <row r="236">
          <cell r="B236" t="str">
            <v>TEA</v>
          </cell>
          <cell r="BM236">
            <v>888795218</v>
          </cell>
        </row>
        <row r="237">
          <cell r="B237" t="str">
            <v>TEC</v>
          </cell>
          <cell r="BM237">
            <v>153386888</v>
          </cell>
        </row>
        <row r="238">
          <cell r="B238" t="str">
            <v>TGO</v>
          </cell>
          <cell r="BM238">
            <v>4735438</v>
          </cell>
        </row>
        <row r="239">
          <cell r="B239" t="str">
            <v>THA</v>
          </cell>
          <cell r="BM239">
            <v>33901849</v>
          </cell>
        </row>
        <row r="240">
          <cell r="B240" t="str">
            <v>TJK</v>
          </cell>
          <cell r="BM240">
            <v>6914218</v>
          </cell>
        </row>
        <row r="241">
          <cell r="B241" t="str">
            <v>TKM</v>
          </cell>
          <cell r="BM241">
            <v>2863849</v>
          </cell>
        </row>
        <row r="242">
          <cell r="B242" t="str">
            <v>TLA</v>
          </cell>
          <cell r="BM242">
            <v>120003704</v>
          </cell>
        </row>
        <row r="243">
          <cell r="B243" t="str">
            <v>TLS</v>
          </cell>
          <cell r="BM243">
            <v>905506</v>
          </cell>
        </row>
        <row r="244">
          <cell r="B244" t="str">
            <v>TMN</v>
          </cell>
          <cell r="BM244">
            <v>148586700</v>
          </cell>
        </row>
        <row r="245">
          <cell r="B245" t="str">
            <v>TON</v>
          </cell>
          <cell r="BM245">
            <v>81282</v>
          </cell>
        </row>
        <row r="246">
          <cell r="B246" t="str">
            <v>TSA</v>
          </cell>
          <cell r="BM246">
            <v>1209159239</v>
          </cell>
        </row>
        <row r="247">
          <cell r="B247" t="str">
            <v>TSS</v>
          </cell>
          <cell r="BM247">
            <v>667403145</v>
          </cell>
        </row>
        <row r="248">
          <cell r="B248" t="str">
            <v>TTO</v>
          </cell>
          <cell r="BM248">
            <v>654766</v>
          </cell>
        </row>
        <row r="249">
          <cell r="B249" t="str">
            <v>TUN</v>
          </cell>
          <cell r="BM249">
            <v>3596642</v>
          </cell>
        </row>
        <row r="250">
          <cell r="B250" t="str">
            <v>TUR</v>
          </cell>
          <cell r="BM250">
            <v>20152820</v>
          </cell>
        </row>
        <row r="251">
          <cell r="B251" t="str">
            <v>TUV</v>
          </cell>
          <cell r="BM251">
            <v>4243</v>
          </cell>
        </row>
        <row r="252">
          <cell r="B252" t="str">
            <v>TZA</v>
          </cell>
          <cell r="BM252">
            <v>38691642</v>
          </cell>
        </row>
        <row r="253">
          <cell r="B253" t="str">
            <v>UGA</v>
          </cell>
          <cell r="BM253">
            <v>34326791</v>
          </cell>
        </row>
        <row r="254">
          <cell r="B254" t="str">
            <v>UKR</v>
          </cell>
          <cell r="BM254">
            <v>13412612</v>
          </cell>
        </row>
        <row r="255">
          <cell r="B255" t="str">
            <v>UMC</v>
          </cell>
          <cell r="BM255">
            <v>806850082</v>
          </cell>
        </row>
        <row r="256">
          <cell r="B256" t="str">
            <v>URY</v>
          </cell>
          <cell r="BM256">
            <v>155797</v>
          </cell>
        </row>
        <row r="257">
          <cell r="B257" t="str">
            <v>USA</v>
          </cell>
          <cell r="BM257">
            <v>57469027</v>
          </cell>
        </row>
        <row r="258">
          <cell r="B258" t="str">
            <v>UZB</v>
          </cell>
          <cell r="BM258">
            <v>16973620</v>
          </cell>
        </row>
        <row r="259">
          <cell r="B259" t="str">
            <v>VCT</v>
          </cell>
          <cell r="BM259">
            <v>52110</v>
          </cell>
        </row>
        <row r="260">
          <cell r="B260" t="str">
            <v>VEN</v>
          </cell>
          <cell r="BM260">
            <v>3332977</v>
          </cell>
        </row>
        <row r="261">
          <cell r="B261" t="str">
            <v>VGB</v>
          </cell>
          <cell r="BM261">
            <v>15568</v>
          </cell>
        </row>
        <row r="262">
          <cell r="B262" t="str">
            <v>VIR</v>
          </cell>
          <cell r="BM262">
            <v>4316</v>
          </cell>
        </row>
        <row r="263">
          <cell r="B263" t="str">
            <v>VNM</v>
          </cell>
          <cell r="BM263">
            <v>60992356</v>
          </cell>
        </row>
        <row r="264">
          <cell r="B264" t="str">
            <v>VUT</v>
          </cell>
          <cell r="BM264">
            <v>228750</v>
          </cell>
        </row>
        <row r="265">
          <cell r="B265" t="str">
            <v>WLD</v>
          </cell>
          <cell r="BM265">
            <v>3402526512</v>
          </cell>
        </row>
        <row r="266">
          <cell r="B266" t="str">
            <v>WSM</v>
          </cell>
          <cell r="BM266">
            <v>162916</v>
          </cell>
        </row>
        <row r="267">
          <cell r="B267" t="str">
            <v>XKX</v>
          </cell>
        </row>
        <row r="268">
          <cell r="B268" t="str">
            <v>YEM</v>
          </cell>
          <cell r="BM268">
            <v>18519540</v>
          </cell>
        </row>
        <row r="269">
          <cell r="B269" t="str">
            <v>ZAF</v>
          </cell>
          <cell r="BM269">
            <v>19361915</v>
          </cell>
        </row>
        <row r="270">
          <cell r="B270" t="str">
            <v>ZMB</v>
          </cell>
          <cell r="BM270">
            <v>10179380</v>
          </cell>
        </row>
        <row r="271">
          <cell r="B271" t="str">
            <v>ZWE</v>
          </cell>
          <cell r="BM271">
            <v>10070822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AG.PRD.FOOD.XD_DS2_en_csv_v"/>
    </sheetNames>
    <sheetDataSet>
      <sheetData sheetId="0" refreshError="1">
        <row r="6">
          <cell r="B6" t="str">
            <v>ABW</v>
          </cell>
        </row>
        <row r="7">
          <cell r="B7" t="str">
            <v>AFE</v>
          </cell>
        </row>
        <row r="8">
          <cell r="B8" t="str">
            <v>AFG</v>
          </cell>
          <cell r="BM8">
            <v>118.04</v>
          </cell>
        </row>
        <row r="9">
          <cell r="B9" t="str">
            <v>AFW</v>
          </cell>
        </row>
        <row r="10">
          <cell r="B10" t="str">
            <v>AGO</v>
          </cell>
          <cell r="BM10">
            <v>108.08</v>
          </cell>
        </row>
        <row r="11">
          <cell r="B11" t="str">
            <v>ALB</v>
          </cell>
          <cell r="BM11">
            <v>105.66</v>
          </cell>
        </row>
        <row r="12">
          <cell r="B12" t="str">
            <v>AND</v>
          </cell>
        </row>
        <row r="13">
          <cell r="B13" t="str">
            <v>ARB</v>
          </cell>
        </row>
        <row r="14">
          <cell r="B14" t="str">
            <v>ARE</v>
          </cell>
          <cell r="BM14">
            <v>108.27</v>
          </cell>
        </row>
        <row r="15">
          <cell r="B15" t="str">
            <v>ARG</v>
          </cell>
          <cell r="BM15">
            <v>109.82</v>
          </cell>
        </row>
        <row r="16">
          <cell r="B16" t="str">
            <v>ARM</v>
          </cell>
          <cell r="BM16">
            <v>85.78</v>
          </cell>
        </row>
        <row r="17">
          <cell r="B17" t="str">
            <v>ASM</v>
          </cell>
        </row>
        <row r="18">
          <cell r="B18" t="str">
            <v>ATG</v>
          </cell>
          <cell r="BM18">
            <v>88.3</v>
          </cell>
        </row>
        <row r="19">
          <cell r="B19" t="str">
            <v>AUS</v>
          </cell>
          <cell r="BM19">
            <v>89</v>
          </cell>
        </row>
        <row r="20">
          <cell r="B20" t="str">
            <v>AUT</v>
          </cell>
          <cell r="BM20">
            <v>101.68</v>
          </cell>
        </row>
        <row r="21">
          <cell r="B21" t="str">
            <v>AZE</v>
          </cell>
          <cell r="BM21">
            <v>122.09</v>
          </cell>
        </row>
        <row r="22">
          <cell r="B22" t="str">
            <v>BDI</v>
          </cell>
          <cell r="BM22">
            <v>143.53</v>
          </cell>
        </row>
        <row r="23">
          <cell r="B23" t="str">
            <v>BEL</v>
          </cell>
          <cell r="BM23">
            <v>101.49</v>
          </cell>
        </row>
        <row r="24">
          <cell r="B24" t="str">
            <v>BEN</v>
          </cell>
          <cell r="BM24">
            <v>115.73</v>
          </cell>
        </row>
        <row r="25">
          <cell r="B25" t="str">
            <v>BFA</v>
          </cell>
          <cell r="BM25">
            <v>108.14</v>
          </cell>
        </row>
        <row r="26">
          <cell r="B26" t="str">
            <v>BGD</v>
          </cell>
          <cell r="BM26">
            <v>112.19</v>
          </cell>
        </row>
        <row r="27">
          <cell r="B27" t="str">
            <v>BGR</v>
          </cell>
          <cell r="BM27">
            <v>90.3</v>
          </cell>
        </row>
        <row r="28">
          <cell r="B28" t="str">
            <v>BHR</v>
          </cell>
          <cell r="BM28">
            <v>131.22</v>
          </cell>
        </row>
        <row r="29">
          <cell r="B29" t="str">
            <v>BHS</v>
          </cell>
          <cell r="BM29">
            <v>100.62</v>
          </cell>
        </row>
        <row r="30">
          <cell r="B30" t="str">
            <v>BIH</v>
          </cell>
          <cell r="BM30">
            <v>114.83</v>
          </cell>
        </row>
        <row r="31">
          <cell r="B31" t="str">
            <v>BLR</v>
          </cell>
          <cell r="BM31">
            <v>106.21</v>
          </cell>
        </row>
        <row r="32">
          <cell r="B32" t="str">
            <v>BLZ</v>
          </cell>
          <cell r="BM32">
            <v>94.93</v>
          </cell>
        </row>
        <row r="33">
          <cell r="B33" t="str">
            <v>BMU</v>
          </cell>
        </row>
        <row r="34">
          <cell r="B34" t="str">
            <v>BOL</v>
          </cell>
          <cell r="BM34">
            <v>109.63</v>
          </cell>
        </row>
        <row r="35">
          <cell r="B35" t="str">
            <v>BRA</v>
          </cell>
          <cell r="BM35">
            <v>111.85</v>
          </cell>
        </row>
        <row r="36">
          <cell r="B36" t="str">
            <v>BRB</v>
          </cell>
          <cell r="BM36">
            <v>101.28</v>
          </cell>
        </row>
        <row r="37">
          <cell r="B37" t="str">
            <v>BRN</v>
          </cell>
          <cell r="BM37">
            <v>105.88</v>
          </cell>
        </row>
        <row r="38">
          <cell r="B38" t="str">
            <v>BTN</v>
          </cell>
          <cell r="BM38">
            <v>102.57</v>
          </cell>
        </row>
        <row r="39">
          <cell r="B39" t="str">
            <v>BWA</v>
          </cell>
          <cell r="BM39">
            <v>102.44</v>
          </cell>
        </row>
        <row r="40">
          <cell r="B40" t="str">
            <v>CAF</v>
          </cell>
          <cell r="BM40">
            <v>105.26</v>
          </cell>
        </row>
        <row r="41">
          <cell r="B41" t="str">
            <v>CAN</v>
          </cell>
          <cell r="BM41">
            <v>113.66</v>
          </cell>
        </row>
        <row r="42">
          <cell r="B42" t="str">
            <v>CEB</v>
          </cell>
        </row>
        <row r="43">
          <cell r="B43" t="str">
            <v>CHE</v>
          </cell>
          <cell r="BM43">
            <v>98.27</v>
          </cell>
        </row>
        <row r="44">
          <cell r="B44" t="str">
            <v>CHI</v>
          </cell>
        </row>
        <row r="45">
          <cell r="B45" t="str">
            <v>CHL</v>
          </cell>
          <cell r="BM45">
            <v>107.97</v>
          </cell>
        </row>
        <row r="46">
          <cell r="B46" t="str">
            <v>CHN</v>
          </cell>
          <cell r="BM46">
            <v>102.96</v>
          </cell>
        </row>
        <row r="47">
          <cell r="B47" t="str">
            <v>CIV</v>
          </cell>
          <cell r="BM47">
            <v>118.41</v>
          </cell>
        </row>
        <row r="48">
          <cell r="B48" t="str">
            <v>CMR</v>
          </cell>
          <cell r="BM48">
            <v>103.11</v>
          </cell>
        </row>
        <row r="49">
          <cell r="B49" t="str">
            <v>COD</v>
          </cell>
          <cell r="BM49">
            <v>110.46</v>
          </cell>
        </row>
        <row r="50">
          <cell r="B50" t="str">
            <v>COG</v>
          </cell>
          <cell r="BM50">
            <v>101.48</v>
          </cell>
        </row>
        <row r="51">
          <cell r="B51" t="str">
            <v>COL</v>
          </cell>
          <cell r="BM51">
            <v>103.02</v>
          </cell>
        </row>
        <row r="52">
          <cell r="B52" t="str">
            <v>COM</v>
          </cell>
          <cell r="BM52">
            <v>104.59</v>
          </cell>
        </row>
        <row r="53">
          <cell r="B53" t="str">
            <v>CPV</v>
          </cell>
          <cell r="BM53">
            <v>80.510000000000005</v>
          </cell>
        </row>
        <row r="54">
          <cell r="B54" t="str">
            <v>CRI</v>
          </cell>
          <cell r="BM54">
            <v>98.33</v>
          </cell>
        </row>
        <row r="55">
          <cell r="B55" t="str">
            <v>CSS</v>
          </cell>
        </row>
        <row r="56">
          <cell r="B56" t="str">
            <v>CUB</v>
          </cell>
          <cell r="BM56">
            <v>73.7</v>
          </cell>
        </row>
        <row r="57">
          <cell r="B57" t="str">
            <v>CUW</v>
          </cell>
        </row>
        <row r="58">
          <cell r="B58" t="str">
            <v>CYM</v>
          </cell>
        </row>
        <row r="59">
          <cell r="B59" t="str">
            <v>CYP</v>
          </cell>
          <cell r="BM59">
            <v>106.23</v>
          </cell>
        </row>
        <row r="60">
          <cell r="B60" t="str">
            <v>CZE</v>
          </cell>
          <cell r="BM60">
            <v>97.33</v>
          </cell>
        </row>
        <row r="61">
          <cell r="B61" t="str">
            <v>DEU</v>
          </cell>
          <cell r="BM61">
            <v>94.74</v>
          </cell>
        </row>
        <row r="62">
          <cell r="B62" t="str">
            <v>DJI</v>
          </cell>
          <cell r="BM62">
            <v>122.46</v>
          </cell>
        </row>
        <row r="63">
          <cell r="B63" t="str">
            <v>DMA</v>
          </cell>
          <cell r="BM63">
            <v>99.96</v>
          </cell>
        </row>
        <row r="64">
          <cell r="B64" t="str">
            <v>DNK</v>
          </cell>
          <cell r="BM64">
            <v>102.6</v>
          </cell>
        </row>
        <row r="65">
          <cell r="B65" t="str">
            <v>DOM</v>
          </cell>
          <cell r="BM65">
            <v>117.31</v>
          </cell>
        </row>
        <row r="66">
          <cell r="B66" t="str">
            <v>DZA</v>
          </cell>
          <cell r="BM66">
            <v>112.5</v>
          </cell>
        </row>
        <row r="67">
          <cell r="B67" t="str">
            <v>EAP</v>
          </cell>
        </row>
        <row r="68">
          <cell r="B68" t="str">
            <v>EAR</v>
          </cell>
        </row>
        <row r="69">
          <cell r="B69" t="str">
            <v>EAS</v>
          </cell>
        </row>
        <row r="70">
          <cell r="B70" t="str">
            <v>ECA</v>
          </cell>
        </row>
        <row r="71">
          <cell r="B71" t="str">
            <v>ECS</v>
          </cell>
        </row>
        <row r="72">
          <cell r="B72" t="str">
            <v>ECU</v>
          </cell>
          <cell r="BM72">
            <v>96.86</v>
          </cell>
        </row>
        <row r="73">
          <cell r="B73" t="str">
            <v>EGY</v>
          </cell>
          <cell r="BM73">
            <v>99.59</v>
          </cell>
        </row>
        <row r="74">
          <cell r="B74" t="str">
            <v>EMU</v>
          </cell>
        </row>
        <row r="75">
          <cell r="B75" t="str">
            <v>ERI</v>
          </cell>
          <cell r="BM75">
            <v>103.01</v>
          </cell>
        </row>
        <row r="76">
          <cell r="B76" t="str">
            <v>ESP</v>
          </cell>
          <cell r="BM76">
            <v>117.59</v>
          </cell>
        </row>
        <row r="77">
          <cell r="B77" t="str">
            <v>EST</v>
          </cell>
          <cell r="BM77">
            <v>107.75</v>
          </cell>
        </row>
        <row r="78">
          <cell r="B78" t="str">
            <v>ETH</v>
          </cell>
          <cell r="BM78">
            <v>119.21</v>
          </cell>
        </row>
        <row r="79">
          <cell r="B79" t="str">
            <v>EUU</v>
          </cell>
        </row>
        <row r="80">
          <cell r="B80" t="str">
            <v>FCS</v>
          </cell>
        </row>
        <row r="81">
          <cell r="B81" t="str">
            <v>FIN</v>
          </cell>
          <cell r="BM81">
            <v>98.55</v>
          </cell>
        </row>
        <row r="82">
          <cell r="B82" t="str">
            <v>FJI</v>
          </cell>
          <cell r="BM82">
            <v>114.8</v>
          </cell>
        </row>
        <row r="83">
          <cell r="B83" t="str">
            <v>FRA</v>
          </cell>
          <cell r="BM83">
            <v>92.19</v>
          </cell>
        </row>
        <row r="84">
          <cell r="B84" t="str">
            <v>FRO</v>
          </cell>
          <cell r="BM84">
            <v>90.38</v>
          </cell>
        </row>
        <row r="85">
          <cell r="B85" t="str">
            <v>FSM</v>
          </cell>
          <cell r="BM85">
            <v>99.73</v>
          </cell>
        </row>
        <row r="86">
          <cell r="B86" t="str">
            <v>GAB</v>
          </cell>
          <cell r="BM86">
            <v>103.24</v>
          </cell>
        </row>
        <row r="87">
          <cell r="B87" t="str">
            <v>GBR</v>
          </cell>
          <cell r="BM87">
            <v>96.84</v>
          </cell>
        </row>
        <row r="88">
          <cell r="B88" t="str">
            <v>GEO</v>
          </cell>
          <cell r="BM88">
            <v>115.93</v>
          </cell>
        </row>
        <row r="89">
          <cell r="B89" t="str">
            <v>GHA</v>
          </cell>
          <cell r="BM89">
            <v>115.64</v>
          </cell>
        </row>
        <row r="90">
          <cell r="B90" t="str">
            <v>GIB</v>
          </cell>
        </row>
        <row r="91">
          <cell r="B91" t="str">
            <v>GIN</v>
          </cell>
          <cell r="BM91">
            <v>135.81</v>
          </cell>
        </row>
        <row r="92">
          <cell r="B92" t="str">
            <v>GMB</v>
          </cell>
          <cell r="BM92">
            <v>101.23</v>
          </cell>
        </row>
        <row r="93">
          <cell r="B93" t="str">
            <v>GNB</v>
          </cell>
          <cell r="BM93">
            <v>105.1</v>
          </cell>
        </row>
        <row r="94">
          <cell r="B94" t="str">
            <v>GNQ</v>
          </cell>
          <cell r="BM94">
            <v>101.37</v>
          </cell>
        </row>
        <row r="95">
          <cell r="B95" t="str">
            <v>GRC</v>
          </cell>
          <cell r="BM95">
            <v>99.26</v>
          </cell>
        </row>
        <row r="96">
          <cell r="B96" t="str">
            <v>GRD</v>
          </cell>
          <cell r="BM96">
            <v>91.56</v>
          </cell>
        </row>
        <row r="97">
          <cell r="B97" t="str">
            <v>GRL</v>
          </cell>
        </row>
        <row r="98">
          <cell r="B98" t="str">
            <v>GTM</v>
          </cell>
          <cell r="BM98">
            <v>106.62</v>
          </cell>
        </row>
        <row r="99">
          <cell r="B99" t="str">
            <v>GUM</v>
          </cell>
        </row>
        <row r="100">
          <cell r="B100" t="str">
            <v>GUY</v>
          </cell>
          <cell r="BM100">
            <v>113.75</v>
          </cell>
        </row>
        <row r="101">
          <cell r="B101" t="str">
            <v>HIC</v>
          </cell>
        </row>
        <row r="102">
          <cell r="B102" t="str">
            <v>HKG</v>
          </cell>
          <cell r="BM102">
            <v>220.88</v>
          </cell>
        </row>
        <row r="103">
          <cell r="B103" t="str">
            <v>HND</v>
          </cell>
          <cell r="BM103">
            <v>103.58</v>
          </cell>
        </row>
        <row r="104">
          <cell r="B104" t="str">
            <v>HPC</v>
          </cell>
        </row>
        <row r="105">
          <cell r="B105" t="str">
            <v>HRV</v>
          </cell>
          <cell r="BM105">
            <v>86.34</v>
          </cell>
        </row>
        <row r="106">
          <cell r="B106" t="str">
            <v>HTI</v>
          </cell>
          <cell r="BM106">
            <v>78.2</v>
          </cell>
        </row>
        <row r="107">
          <cell r="B107" t="str">
            <v>HUN</v>
          </cell>
          <cell r="BM107">
            <v>93.67</v>
          </cell>
        </row>
        <row r="108">
          <cell r="B108" t="str">
            <v>IBD</v>
          </cell>
        </row>
        <row r="109">
          <cell r="B109" t="str">
            <v>IBT</v>
          </cell>
        </row>
        <row r="110">
          <cell r="B110" t="str">
            <v>IDA</v>
          </cell>
        </row>
        <row r="111">
          <cell r="B111" t="str">
            <v>IDB</v>
          </cell>
        </row>
        <row r="112">
          <cell r="B112" t="str">
            <v>IDN</v>
          </cell>
          <cell r="BM112">
            <v>114.52</v>
          </cell>
        </row>
        <row r="113">
          <cell r="B113" t="str">
            <v>IDX</v>
          </cell>
        </row>
        <row r="114">
          <cell r="B114" t="str">
            <v>IMN</v>
          </cell>
        </row>
        <row r="115">
          <cell r="B115" t="str">
            <v>IND</v>
          </cell>
          <cell r="BM115">
            <v>116.38</v>
          </cell>
        </row>
        <row r="116">
          <cell r="B116" t="str">
            <v>INX</v>
          </cell>
        </row>
        <row r="117">
          <cell r="B117" t="str">
            <v>IRL</v>
          </cell>
          <cell r="BM117">
            <v>115.91</v>
          </cell>
        </row>
        <row r="118">
          <cell r="B118" t="str">
            <v>IRN</v>
          </cell>
          <cell r="BM118">
            <v>99.41</v>
          </cell>
        </row>
        <row r="119">
          <cell r="B119" t="str">
            <v>IRQ</v>
          </cell>
          <cell r="BM119">
            <v>149.4</v>
          </cell>
        </row>
        <row r="120">
          <cell r="B120" t="str">
            <v>ISL</v>
          </cell>
          <cell r="BM120">
            <v>103.44</v>
          </cell>
        </row>
        <row r="121">
          <cell r="B121" t="str">
            <v>ISR</v>
          </cell>
          <cell r="BM121">
            <v>101.87</v>
          </cell>
        </row>
        <row r="122">
          <cell r="B122" t="str">
            <v>ITA</v>
          </cell>
          <cell r="BM122">
            <v>99.93</v>
          </cell>
        </row>
        <row r="123">
          <cell r="B123" t="str">
            <v>JAM</v>
          </cell>
          <cell r="BM123">
            <v>100.81</v>
          </cell>
        </row>
        <row r="124">
          <cell r="B124" t="str">
            <v>JOR</v>
          </cell>
          <cell r="BM124">
            <v>99.04</v>
          </cell>
        </row>
        <row r="125">
          <cell r="B125" t="str">
            <v>JPN</v>
          </cell>
          <cell r="BM125">
            <v>99.22</v>
          </cell>
        </row>
        <row r="126">
          <cell r="B126" t="str">
            <v>KAZ</v>
          </cell>
          <cell r="BM126">
            <v>116.77</v>
          </cell>
        </row>
        <row r="127">
          <cell r="B127" t="str">
            <v>KEN</v>
          </cell>
          <cell r="BM127">
            <v>108.87</v>
          </cell>
        </row>
        <row r="128">
          <cell r="B128" t="str">
            <v>KGZ</v>
          </cell>
          <cell r="BM128">
            <v>110.21</v>
          </cell>
        </row>
        <row r="129">
          <cell r="B129" t="str">
            <v>KHM</v>
          </cell>
          <cell r="BM129">
            <v>107.27</v>
          </cell>
        </row>
        <row r="130">
          <cell r="B130" t="str">
            <v>KIR</v>
          </cell>
          <cell r="BM130">
            <v>94.42</v>
          </cell>
        </row>
        <row r="131">
          <cell r="B131" t="str">
            <v>KNA</v>
          </cell>
          <cell r="BM131">
            <v>91.08</v>
          </cell>
        </row>
        <row r="132">
          <cell r="B132" t="str">
            <v>KOR</v>
          </cell>
          <cell r="BM132">
            <v>98.38</v>
          </cell>
        </row>
        <row r="133">
          <cell r="B133" t="str">
            <v>KWT</v>
          </cell>
          <cell r="BM133">
            <v>118.39</v>
          </cell>
        </row>
        <row r="134">
          <cell r="B134" t="str">
            <v>LAC</v>
          </cell>
        </row>
        <row r="135">
          <cell r="B135" t="str">
            <v>LAO</v>
          </cell>
          <cell r="BM135">
            <v>103.85</v>
          </cell>
        </row>
        <row r="136">
          <cell r="B136" t="str">
            <v>LBN</v>
          </cell>
          <cell r="BM136">
            <v>100.2</v>
          </cell>
        </row>
        <row r="137">
          <cell r="B137" t="str">
            <v>LBR</v>
          </cell>
          <cell r="BM137">
            <v>100.62</v>
          </cell>
        </row>
        <row r="138">
          <cell r="B138" t="str">
            <v>LBY</v>
          </cell>
          <cell r="BM138">
            <v>104.59</v>
          </cell>
        </row>
        <row r="139">
          <cell r="B139" t="str">
            <v>LCA</v>
          </cell>
          <cell r="BM139">
            <v>86.39</v>
          </cell>
        </row>
        <row r="140">
          <cell r="B140" t="str">
            <v>LCN</v>
          </cell>
        </row>
        <row r="141">
          <cell r="B141" t="str">
            <v>LDC</v>
          </cell>
        </row>
        <row r="142">
          <cell r="B142" t="str">
            <v>LIC</v>
          </cell>
        </row>
        <row r="143">
          <cell r="B143" t="str">
            <v>LIE</v>
          </cell>
        </row>
        <row r="144">
          <cell r="B144" t="str">
            <v>LKA</v>
          </cell>
          <cell r="BM144">
            <v>126.18</v>
          </cell>
        </row>
        <row r="145">
          <cell r="B145" t="str">
            <v>LMC</v>
          </cell>
        </row>
        <row r="146">
          <cell r="B146" t="str">
            <v>LMY</v>
          </cell>
        </row>
        <row r="147">
          <cell r="B147" t="str">
            <v>LSO</v>
          </cell>
          <cell r="BM147">
            <v>98.58</v>
          </cell>
        </row>
        <row r="148">
          <cell r="B148" t="str">
            <v>LTE</v>
          </cell>
        </row>
        <row r="149">
          <cell r="B149" t="str">
            <v>LTU</v>
          </cell>
          <cell r="BM149">
            <v>107.56</v>
          </cell>
        </row>
        <row r="150">
          <cell r="B150" t="str">
            <v>LUX</v>
          </cell>
          <cell r="BM150">
            <v>113.78</v>
          </cell>
        </row>
        <row r="151">
          <cell r="B151" t="str">
            <v>LVA</v>
          </cell>
          <cell r="BM151">
            <v>110.98</v>
          </cell>
        </row>
        <row r="152">
          <cell r="B152" t="str">
            <v>MAC</v>
          </cell>
          <cell r="BM152">
            <v>89.39</v>
          </cell>
        </row>
        <row r="153">
          <cell r="B153" t="str">
            <v>MAF</v>
          </cell>
        </row>
        <row r="154">
          <cell r="B154" t="str">
            <v>MAR</v>
          </cell>
          <cell r="BM154">
            <v>100.61</v>
          </cell>
        </row>
        <row r="155">
          <cell r="B155" t="str">
            <v>MCO</v>
          </cell>
        </row>
        <row r="156">
          <cell r="B156" t="str">
            <v>MDA</v>
          </cell>
          <cell r="BM156">
            <v>81.83</v>
          </cell>
        </row>
        <row r="157">
          <cell r="B157" t="str">
            <v>MDG</v>
          </cell>
          <cell r="BM157">
            <v>102.41</v>
          </cell>
        </row>
        <row r="158">
          <cell r="B158" t="str">
            <v>MDV</v>
          </cell>
          <cell r="BM158">
            <v>105.49</v>
          </cell>
        </row>
        <row r="159">
          <cell r="B159" t="str">
            <v>MEA</v>
          </cell>
        </row>
        <row r="160">
          <cell r="B160" t="str">
            <v>MEX</v>
          </cell>
          <cell r="BM160">
            <v>112.83</v>
          </cell>
        </row>
        <row r="161">
          <cell r="B161" t="str">
            <v>MHL</v>
          </cell>
          <cell r="BM161">
            <v>96.09</v>
          </cell>
        </row>
        <row r="162">
          <cell r="B162" t="str">
            <v>MIC</v>
          </cell>
        </row>
        <row r="163">
          <cell r="B163" t="str">
            <v>MKD</v>
          </cell>
          <cell r="BM163">
            <v>102.17</v>
          </cell>
        </row>
        <row r="164">
          <cell r="B164" t="str">
            <v>MLI</v>
          </cell>
          <cell r="BM164">
            <v>134.57</v>
          </cell>
        </row>
        <row r="165">
          <cell r="B165" t="str">
            <v>MLT</v>
          </cell>
          <cell r="BM165">
            <v>74.27</v>
          </cell>
        </row>
        <row r="166">
          <cell r="B166" t="str">
            <v>MMR</v>
          </cell>
          <cell r="BM166">
            <v>103.02</v>
          </cell>
        </row>
        <row r="167">
          <cell r="B167" t="str">
            <v>MNA</v>
          </cell>
        </row>
        <row r="168">
          <cell r="B168" t="str">
            <v>MNE</v>
          </cell>
          <cell r="BM168">
            <v>102.58</v>
          </cell>
        </row>
        <row r="169">
          <cell r="B169" t="str">
            <v>MNG</v>
          </cell>
          <cell r="BM169">
            <v>173.71</v>
          </cell>
        </row>
        <row r="170">
          <cell r="B170" t="str">
            <v>MNP</v>
          </cell>
        </row>
        <row r="171">
          <cell r="B171" t="str">
            <v>MOZ</v>
          </cell>
          <cell r="BM171">
            <v>130.86000000000001</v>
          </cell>
        </row>
        <row r="172">
          <cell r="B172" t="str">
            <v>MRT</v>
          </cell>
          <cell r="BM172">
            <v>110.49</v>
          </cell>
        </row>
        <row r="173">
          <cell r="B173" t="str">
            <v>MUS</v>
          </cell>
          <cell r="BM173">
            <v>80.78</v>
          </cell>
        </row>
        <row r="174">
          <cell r="B174" t="str">
            <v>MWI</v>
          </cell>
          <cell r="BM174">
            <v>132.97</v>
          </cell>
        </row>
        <row r="175">
          <cell r="B175" t="str">
            <v>MYS</v>
          </cell>
          <cell r="BM175">
            <v>97.57</v>
          </cell>
        </row>
        <row r="176">
          <cell r="B176" t="str">
            <v>NAC</v>
          </cell>
        </row>
        <row r="177">
          <cell r="B177" t="str">
            <v>NAM</v>
          </cell>
          <cell r="BM177">
            <v>103.21</v>
          </cell>
        </row>
        <row r="178">
          <cell r="B178" t="str">
            <v>NCL</v>
          </cell>
          <cell r="BM178">
            <v>100.36</v>
          </cell>
        </row>
        <row r="179">
          <cell r="B179" t="str">
            <v>NER</v>
          </cell>
          <cell r="BM179">
            <v>129.1</v>
          </cell>
        </row>
        <row r="180">
          <cell r="B180" t="str">
            <v>NGA</v>
          </cell>
          <cell r="BM180">
            <v>106.31</v>
          </cell>
        </row>
        <row r="181">
          <cell r="B181" t="str">
            <v>NIC</v>
          </cell>
          <cell r="BM181">
            <v>131.55000000000001</v>
          </cell>
        </row>
        <row r="182">
          <cell r="B182" t="str">
            <v>NLD</v>
          </cell>
          <cell r="BM182">
            <v>102.13</v>
          </cell>
        </row>
        <row r="183">
          <cell r="B183" t="str">
            <v>NOR</v>
          </cell>
          <cell r="BM183">
            <v>100.31</v>
          </cell>
        </row>
        <row r="184">
          <cell r="B184" t="str">
            <v>NPL</v>
          </cell>
          <cell r="BM184">
            <v>114.67</v>
          </cell>
        </row>
        <row r="185">
          <cell r="B185" t="str">
            <v>NRU</v>
          </cell>
          <cell r="BM185">
            <v>101.25</v>
          </cell>
        </row>
        <row r="186">
          <cell r="B186" t="str">
            <v>NZL</v>
          </cell>
          <cell r="BM186">
            <v>102.91</v>
          </cell>
        </row>
        <row r="187">
          <cell r="B187" t="str">
            <v>OED</v>
          </cell>
        </row>
        <row r="188">
          <cell r="B188" t="str">
            <v>OMN</v>
          </cell>
          <cell r="BM188">
            <v>152.75</v>
          </cell>
        </row>
        <row r="189">
          <cell r="B189" t="str">
            <v>OSS</v>
          </cell>
        </row>
        <row r="190">
          <cell r="B190" t="str">
            <v>PAK</v>
          </cell>
          <cell r="BM190">
            <v>118.48</v>
          </cell>
        </row>
        <row r="191">
          <cell r="B191" t="str">
            <v>PAN</v>
          </cell>
          <cell r="BM191">
            <v>106.5</v>
          </cell>
        </row>
        <row r="192">
          <cell r="B192" t="str">
            <v>PER</v>
          </cell>
          <cell r="BM192">
            <v>118.54</v>
          </cell>
        </row>
        <row r="193">
          <cell r="B193" t="str">
            <v>PHL</v>
          </cell>
          <cell r="BM193">
            <v>100.66</v>
          </cell>
        </row>
        <row r="194">
          <cell r="B194" t="str">
            <v>PLW</v>
          </cell>
        </row>
        <row r="195">
          <cell r="B195" t="str">
            <v>PNG</v>
          </cell>
          <cell r="BM195">
            <v>101.7</v>
          </cell>
        </row>
        <row r="196">
          <cell r="B196" t="str">
            <v>POL</v>
          </cell>
          <cell r="BM196">
            <v>110.87</v>
          </cell>
        </row>
        <row r="197">
          <cell r="B197" t="str">
            <v>PRE</v>
          </cell>
        </row>
        <row r="198">
          <cell r="B198" t="str">
            <v>PRI</v>
          </cell>
          <cell r="BM198">
            <v>93.22</v>
          </cell>
        </row>
        <row r="199">
          <cell r="B199" t="str">
            <v>PRK</v>
          </cell>
          <cell r="BM199">
            <v>94.46</v>
          </cell>
        </row>
        <row r="200">
          <cell r="B200" t="str">
            <v>PRT</v>
          </cell>
          <cell r="BM200">
            <v>107.09</v>
          </cell>
        </row>
        <row r="201">
          <cell r="B201" t="str">
            <v>PRY</v>
          </cell>
          <cell r="BM201">
            <v>116.8</v>
          </cell>
        </row>
        <row r="202">
          <cell r="B202" t="str">
            <v>PSE</v>
          </cell>
          <cell r="BM202">
            <v>107.64</v>
          </cell>
        </row>
        <row r="203">
          <cell r="B203" t="str">
            <v>PSS</v>
          </cell>
        </row>
        <row r="204">
          <cell r="B204" t="str">
            <v>PST</v>
          </cell>
        </row>
        <row r="205">
          <cell r="B205" t="str">
            <v>PYF</v>
          </cell>
          <cell r="BM205">
            <v>102.96</v>
          </cell>
        </row>
        <row r="206">
          <cell r="B206" t="str">
            <v>QAT</v>
          </cell>
          <cell r="BM206">
            <v>146.28</v>
          </cell>
        </row>
        <row r="207">
          <cell r="B207" t="str">
            <v>ROU</v>
          </cell>
          <cell r="BM207">
            <v>90.99</v>
          </cell>
        </row>
        <row r="208">
          <cell r="B208" t="str">
            <v>RUS</v>
          </cell>
          <cell r="BM208">
            <v>111.93</v>
          </cell>
        </row>
        <row r="209">
          <cell r="B209" t="str">
            <v>RWA</v>
          </cell>
          <cell r="BM209">
            <v>111.81</v>
          </cell>
        </row>
        <row r="210">
          <cell r="B210" t="str">
            <v>SAS</v>
          </cell>
        </row>
        <row r="211">
          <cell r="B211" t="str">
            <v>SAU</v>
          </cell>
          <cell r="BM211">
            <v>151.13999999999999</v>
          </cell>
        </row>
        <row r="212">
          <cell r="B212" t="str">
            <v>SDN</v>
          </cell>
          <cell r="BM212">
            <v>114.82</v>
          </cell>
        </row>
        <row r="213">
          <cell r="B213" t="str">
            <v>SEN</v>
          </cell>
          <cell r="BM213">
            <v>181.51</v>
          </cell>
        </row>
        <row r="214">
          <cell r="B214" t="str">
            <v>SGP</v>
          </cell>
          <cell r="BM214">
            <v>160.27000000000001</v>
          </cell>
        </row>
        <row r="215">
          <cell r="B215" t="str">
            <v>SLB</v>
          </cell>
          <cell r="BM215">
            <v>105.85</v>
          </cell>
        </row>
        <row r="216">
          <cell r="B216" t="str">
            <v>SLE</v>
          </cell>
          <cell r="BM216">
            <v>108.42</v>
          </cell>
        </row>
        <row r="217">
          <cell r="B217" t="str">
            <v>SLV</v>
          </cell>
          <cell r="BM217">
            <v>104.45</v>
          </cell>
        </row>
        <row r="218">
          <cell r="B218" t="str">
            <v>SMR</v>
          </cell>
        </row>
        <row r="219">
          <cell r="B219" t="str">
            <v>SOM</v>
          </cell>
          <cell r="BM219">
            <v>99.55</v>
          </cell>
        </row>
        <row r="220">
          <cell r="B220" t="str">
            <v>SRB</v>
          </cell>
          <cell r="BM220">
            <v>110.9</v>
          </cell>
        </row>
        <row r="221">
          <cell r="B221" t="str">
            <v>SSA</v>
          </cell>
        </row>
        <row r="222">
          <cell r="B222" t="str">
            <v>SSD</v>
          </cell>
          <cell r="BM222">
            <v>102.53</v>
          </cell>
        </row>
        <row r="223">
          <cell r="B223" t="str">
            <v>SSF</v>
          </cell>
        </row>
        <row r="224">
          <cell r="B224" t="str">
            <v>SST</v>
          </cell>
        </row>
        <row r="225">
          <cell r="B225" t="str">
            <v>STP</v>
          </cell>
          <cell r="BM225">
            <v>103.51</v>
          </cell>
        </row>
        <row r="226">
          <cell r="B226" t="str">
            <v>SUR</v>
          </cell>
          <cell r="BM226">
            <v>99.78</v>
          </cell>
        </row>
        <row r="227">
          <cell r="B227" t="str">
            <v>SVK</v>
          </cell>
          <cell r="BM227">
            <v>101.26</v>
          </cell>
        </row>
        <row r="228">
          <cell r="B228" t="str">
            <v>SVN</v>
          </cell>
          <cell r="BM228">
            <v>104.9</v>
          </cell>
        </row>
        <row r="229">
          <cell r="B229" t="str">
            <v>SWE</v>
          </cell>
          <cell r="BM229">
            <v>101.23</v>
          </cell>
        </row>
        <row r="230">
          <cell r="B230" t="str">
            <v>SWZ</v>
          </cell>
          <cell r="BM230">
            <v>102.88</v>
          </cell>
        </row>
        <row r="231">
          <cell r="B231" t="str">
            <v>SXM</v>
          </cell>
        </row>
        <row r="232">
          <cell r="B232" t="str">
            <v>SYC</v>
          </cell>
          <cell r="BM232">
            <v>98.43</v>
          </cell>
        </row>
        <row r="233">
          <cell r="B233" t="str">
            <v>SYR</v>
          </cell>
          <cell r="BM233">
            <v>123.2</v>
          </cell>
        </row>
        <row r="234">
          <cell r="B234" t="str">
            <v>TCA</v>
          </cell>
        </row>
        <row r="235">
          <cell r="B235" t="str">
            <v>TCD</v>
          </cell>
          <cell r="BM235">
            <v>120.7</v>
          </cell>
        </row>
        <row r="236">
          <cell r="B236" t="str">
            <v>TEA</v>
          </cell>
        </row>
        <row r="237">
          <cell r="B237" t="str">
            <v>TEC</v>
          </cell>
        </row>
        <row r="238">
          <cell r="B238" t="str">
            <v>TGO</v>
          </cell>
          <cell r="BM238">
            <v>111.04</v>
          </cell>
        </row>
        <row r="239">
          <cell r="B239" t="str">
            <v>THA</v>
          </cell>
          <cell r="BM239">
            <v>94.25</v>
          </cell>
        </row>
        <row r="240">
          <cell r="B240" t="str">
            <v>TJK</v>
          </cell>
          <cell r="BM240">
            <v>135.55000000000001</v>
          </cell>
        </row>
        <row r="241">
          <cell r="B241" t="str">
            <v>TKM</v>
          </cell>
          <cell r="BM241">
            <v>96.59</v>
          </cell>
        </row>
        <row r="242">
          <cell r="B242" t="str">
            <v>TLA</v>
          </cell>
        </row>
        <row r="243">
          <cell r="B243" t="str">
            <v>TLS</v>
          </cell>
          <cell r="BM243">
            <v>97.34</v>
          </cell>
        </row>
        <row r="244">
          <cell r="B244" t="str">
            <v>TMN</v>
          </cell>
        </row>
        <row r="245">
          <cell r="B245" t="str">
            <v>TON</v>
          </cell>
          <cell r="BM245">
            <v>94.13</v>
          </cell>
        </row>
        <row r="246">
          <cell r="B246" t="str">
            <v>TSA</v>
          </cell>
        </row>
        <row r="247">
          <cell r="B247" t="str">
            <v>TSS</v>
          </cell>
        </row>
        <row r="248">
          <cell r="B248" t="str">
            <v>TTO</v>
          </cell>
          <cell r="BM248">
            <v>103.87</v>
          </cell>
        </row>
        <row r="249">
          <cell r="B249" t="str">
            <v>TUN</v>
          </cell>
          <cell r="BM249">
            <v>122.48</v>
          </cell>
        </row>
        <row r="250">
          <cell r="B250" t="str">
            <v>TUR</v>
          </cell>
          <cell r="BM250">
            <v>115.6</v>
          </cell>
        </row>
        <row r="251">
          <cell r="B251" t="str">
            <v>TUV</v>
          </cell>
          <cell r="BM251">
            <v>101.84</v>
          </cell>
        </row>
        <row r="252">
          <cell r="B252" t="str">
            <v>TZA</v>
          </cell>
          <cell r="BM252">
            <v>116.24</v>
          </cell>
        </row>
        <row r="253">
          <cell r="B253" t="str">
            <v>UGA</v>
          </cell>
          <cell r="BM253">
            <v>116.23</v>
          </cell>
        </row>
        <row r="254">
          <cell r="B254" t="str">
            <v>UKR</v>
          </cell>
          <cell r="BM254">
            <v>99.34</v>
          </cell>
        </row>
        <row r="255">
          <cell r="B255" t="str">
            <v>UMC</v>
          </cell>
        </row>
        <row r="256">
          <cell r="B256" t="str">
            <v>URY</v>
          </cell>
          <cell r="BM256">
            <v>91.98</v>
          </cell>
        </row>
        <row r="257">
          <cell r="B257" t="str">
            <v>USA</v>
          </cell>
          <cell r="BM257">
            <v>104.45</v>
          </cell>
        </row>
        <row r="258">
          <cell r="B258" t="str">
            <v>UZB</v>
          </cell>
          <cell r="BM258">
            <v>106.28</v>
          </cell>
        </row>
        <row r="259">
          <cell r="B259" t="str">
            <v>VCT</v>
          </cell>
          <cell r="BM259">
            <v>105.72</v>
          </cell>
        </row>
        <row r="260">
          <cell r="B260" t="str">
            <v>VEN</v>
          </cell>
          <cell r="BM260">
            <v>85.13</v>
          </cell>
        </row>
        <row r="261">
          <cell r="B261" t="str">
            <v>VGB</v>
          </cell>
        </row>
        <row r="262">
          <cell r="B262" t="str">
            <v>VIR</v>
          </cell>
        </row>
        <row r="263">
          <cell r="B263" t="str">
            <v>VNM</v>
          </cell>
          <cell r="BM263">
            <v>106.04</v>
          </cell>
        </row>
        <row r="264">
          <cell r="B264" t="str">
            <v>VUT</v>
          </cell>
          <cell r="BM264">
            <v>89.79</v>
          </cell>
        </row>
        <row r="265">
          <cell r="B265" t="str">
            <v>WLD</v>
          </cell>
        </row>
        <row r="266">
          <cell r="B266" t="str">
            <v>WSM</v>
          </cell>
          <cell r="BM266">
            <v>94.47</v>
          </cell>
        </row>
        <row r="267">
          <cell r="B267" t="str">
            <v>XKX</v>
          </cell>
        </row>
        <row r="268">
          <cell r="B268" t="str">
            <v>YEM</v>
          </cell>
          <cell r="BM268">
            <v>104.61</v>
          </cell>
        </row>
        <row r="269">
          <cell r="B269" t="str">
            <v>ZAF</v>
          </cell>
          <cell r="BM269">
            <v>111</v>
          </cell>
        </row>
        <row r="270">
          <cell r="B270" t="str">
            <v>ZMB</v>
          </cell>
          <cell r="BM270">
            <v>122.43</v>
          </cell>
        </row>
        <row r="271">
          <cell r="B271" t="str">
            <v>ZWE</v>
          </cell>
          <cell r="BM271">
            <v>110.59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_NE.IMP.GNFS.ZS_DS2_en_csv_v"/>
    </sheetNames>
    <sheetDataSet>
      <sheetData sheetId="0">
        <row r="6">
          <cell r="B6" t="str">
            <v>ABW</v>
          </cell>
          <cell r="BK6">
            <v>74.633635729239401</v>
          </cell>
        </row>
        <row r="7">
          <cell r="B7" t="str">
            <v>AFE</v>
          </cell>
          <cell r="BK7">
            <v>28.492649646855099</v>
          </cell>
        </row>
        <row r="8">
          <cell r="B8" t="str">
            <v>AFG</v>
          </cell>
        </row>
        <row r="9">
          <cell r="B9" t="str">
            <v>AFW</v>
          </cell>
          <cell r="BK9">
            <v>24.693036956846498</v>
          </cell>
        </row>
        <row r="10">
          <cell r="B10" t="str">
            <v>AGO</v>
          </cell>
          <cell r="BK10">
            <v>25.541723496357999</v>
          </cell>
        </row>
        <row r="11">
          <cell r="B11" t="str">
            <v>ALB</v>
          </cell>
          <cell r="BK11">
            <v>45.236190919583002</v>
          </cell>
        </row>
        <row r="12">
          <cell r="B12" t="str">
            <v>AND</v>
          </cell>
        </row>
        <row r="13">
          <cell r="B13" t="str">
            <v>ARB</v>
          </cell>
          <cell r="BK13">
            <v>38.0092637090398</v>
          </cell>
        </row>
        <row r="14">
          <cell r="B14" t="str">
            <v>ARE</v>
          </cell>
          <cell r="BK14">
            <v>66.680650743091604</v>
          </cell>
        </row>
        <row r="15">
          <cell r="B15" t="str">
            <v>ARG</v>
          </cell>
          <cell r="BK15">
            <v>16.3258502050892</v>
          </cell>
        </row>
        <row r="16">
          <cell r="B16" t="str">
            <v>ARM</v>
          </cell>
          <cell r="BK16">
            <v>53.0802129926047</v>
          </cell>
        </row>
        <row r="17">
          <cell r="B17" t="str">
            <v>ASM</v>
          </cell>
          <cell r="BK17">
            <v>103.599374021909</v>
          </cell>
        </row>
        <row r="18">
          <cell r="B18" t="str">
            <v>ATG</v>
          </cell>
          <cell r="BK18">
            <v>70.539297286701</v>
          </cell>
        </row>
        <row r="19">
          <cell r="B19" t="str">
            <v>AUS</v>
          </cell>
          <cell r="BK19">
            <v>21.5125131175846</v>
          </cell>
        </row>
        <row r="20">
          <cell r="B20" t="str">
            <v>AUT</v>
          </cell>
          <cell r="BK20">
            <v>52.441022411814302</v>
          </cell>
        </row>
        <row r="21">
          <cell r="B21" t="str">
            <v>AZE</v>
          </cell>
          <cell r="BK21">
            <v>37.580282674923801</v>
          </cell>
        </row>
        <row r="22">
          <cell r="B22" t="str">
            <v>BDI</v>
          </cell>
          <cell r="BK22">
            <v>20.914048150470499</v>
          </cell>
        </row>
        <row r="23">
          <cell r="B23" t="str">
            <v>BEL</v>
          </cell>
          <cell r="BK23">
            <v>83.266031532409698</v>
          </cell>
        </row>
        <row r="24">
          <cell r="B24" t="str">
            <v>BEN</v>
          </cell>
          <cell r="BK24">
            <v>34.520963871436301</v>
          </cell>
        </row>
        <row r="25">
          <cell r="B25" t="str">
            <v>BFA</v>
          </cell>
          <cell r="BK25">
            <v>32.516719481726902</v>
          </cell>
        </row>
        <row r="26">
          <cell r="B26" t="str">
            <v>BGD</v>
          </cell>
          <cell r="BK26">
            <v>19.839843779749199</v>
          </cell>
        </row>
        <row r="27">
          <cell r="B27" t="str">
            <v>BGR</v>
          </cell>
          <cell r="BK27">
            <v>63.155915001457203</v>
          </cell>
        </row>
        <row r="28">
          <cell r="B28" t="str">
            <v>BHR</v>
          </cell>
          <cell r="BK28">
            <v>71.553532635117193</v>
          </cell>
        </row>
        <row r="29">
          <cell r="B29" t="str">
            <v>BHS</v>
          </cell>
          <cell r="BK29">
            <v>39.806205804418397</v>
          </cell>
        </row>
        <row r="30">
          <cell r="B30" t="str">
            <v>BIH</v>
          </cell>
          <cell r="BK30">
            <v>57.287542199684601</v>
          </cell>
        </row>
        <row r="31">
          <cell r="B31" t="str">
            <v>BLR</v>
          </cell>
          <cell r="BK31">
            <v>68.938690987633194</v>
          </cell>
        </row>
        <row r="32">
          <cell r="B32" t="str">
            <v>BLZ</v>
          </cell>
          <cell r="BK32">
            <v>57.508344491399498</v>
          </cell>
        </row>
        <row r="33">
          <cell r="B33" t="str">
            <v>BMU</v>
          </cell>
          <cell r="BK33">
            <v>26.0761139981486</v>
          </cell>
        </row>
        <row r="34">
          <cell r="B34" t="str">
            <v>BOL</v>
          </cell>
          <cell r="BK34">
            <v>31.121169553100799</v>
          </cell>
        </row>
        <row r="35">
          <cell r="B35" t="str">
            <v>BRA</v>
          </cell>
          <cell r="BK35">
            <v>14.241203878622001</v>
          </cell>
        </row>
        <row r="36">
          <cell r="B36" t="str">
            <v>BRB</v>
          </cell>
          <cell r="BK36">
            <v>39.938922654957899</v>
          </cell>
        </row>
        <row r="37">
          <cell r="B37" t="str">
            <v>BRN</v>
          </cell>
          <cell r="BK37">
            <v>41.964043494891001</v>
          </cell>
        </row>
        <row r="38">
          <cell r="B38" t="str">
            <v>BTN</v>
          </cell>
          <cell r="BK38">
            <v>53.369305611803298</v>
          </cell>
        </row>
        <row r="39">
          <cell r="B39" t="str">
            <v>BWA</v>
          </cell>
          <cell r="BK39">
            <v>43.527644930917397</v>
          </cell>
        </row>
        <row r="40">
          <cell r="B40" t="str">
            <v>CAF</v>
          </cell>
          <cell r="BK40">
            <v>33.720170001661799</v>
          </cell>
        </row>
        <row r="41">
          <cell r="B41" t="str">
            <v>CAN</v>
          </cell>
          <cell r="BK41">
            <v>34.167534414708399</v>
          </cell>
        </row>
        <row r="42">
          <cell r="B42" t="str">
            <v>CEB</v>
          </cell>
          <cell r="BK42">
            <v>61.829007919001299</v>
          </cell>
        </row>
        <row r="43">
          <cell r="B43" t="str">
            <v>CHE</v>
          </cell>
          <cell r="BK43">
            <v>53.820979875051997</v>
          </cell>
        </row>
        <row r="44">
          <cell r="B44" t="str">
            <v>CHI</v>
          </cell>
        </row>
        <row r="45">
          <cell r="B45" t="str">
            <v>CHL</v>
          </cell>
          <cell r="BK45">
            <v>29.648005893694801</v>
          </cell>
        </row>
        <row r="46">
          <cell r="B46" t="str">
            <v>CHN</v>
          </cell>
          <cell r="BK46">
            <v>18.453680565723399</v>
          </cell>
        </row>
        <row r="47">
          <cell r="B47" t="str">
            <v>CIV</v>
          </cell>
          <cell r="BK47">
            <v>23.426803689101199</v>
          </cell>
        </row>
        <row r="48">
          <cell r="B48" t="str">
            <v>CMR</v>
          </cell>
          <cell r="BK48">
            <v>21.851349408009899</v>
          </cell>
        </row>
        <row r="49">
          <cell r="B49" t="str">
            <v>COD</v>
          </cell>
          <cell r="BK49">
            <v>37.365984369307803</v>
          </cell>
        </row>
        <row r="50">
          <cell r="B50" t="str">
            <v>COG</v>
          </cell>
          <cell r="BK50">
            <v>49.006193372719899</v>
          </cell>
        </row>
        <row r="51">
          <cell r="B51" t="str">
            <v>COL</v>
          </cell>
          <cell r="BK51">
            <v>20.635033119354201</v>
          </cell>
        </row>
        <row r="52">
          <cell r="B52" t="str">
            <v>COM</v>
          </cell>
          <cell r="BK52">
            <v>30.087130352256999</v>
          </cell>
        </row>
        <row r="53">
          <cell r="B53" t="str">
            <v>CPV</v>
          </cell>
          <cell r="BK53">
            <v>67.998422800026404</v>
          </cell>
        </row>
        <row r="54">
          <cell r="B54" t="str">
            <v>CRI</v>
          </cell>
          <cell r="BK54">
            <v>33.206831240482401</v>
          </cell>
        </row>
        <row r="55">
          <cell r="B55" t="str">
            <v>CSS</v>
          </cell>
        </row>
        <row r="56">
          <cell r="B56" t="str">
            <v>CUB</v>
          </cell>
          <cell r="BK56">
            <v>12.560719640179901</v>
          </cell>
        </row>
        <row r="57">
          <cell r="B57" t="str">
            <v>CUW</v>
          </cell>
        </row>
        <row r="58">
          <cell r="B58" t="str">
            <v>CYM</v>
          </cell>
          <cell r="BK58">
            <v>45.529273094847497</v>
          </cell>
        </row>
        <row r="59">
          <cell r="B59" t="str">
            <v>CYP</v>
          </cell>
          <cell r="BK59">
            <v>73.773375139814306</v>
          </cell>
        </row>
        <row r="60">
          <cell r="B60" t="str">
            <v>CZE</v>
          </cell>
          <cell r="BK60">
            <v>71.019332990120503</v>
          </cell>
        </row>
        <row r="61">
          <cell r="B61" t="str">
            <v>DEU</v>
          </cell>
          <cell r="BK61">
            <v>41.133360650383302</v>
          </cell>
        </row>
        <row r="62">
          <cell r="B62" t="str">
            <v>DJI</v>
          </cell>
          <cell r="BK62">
            <v>143.77881164830299</v>
          </cell>
        </row>
        <row r="63">
          <cell r="B63" t="str">
            <v>DMA</v>
          </cell>
          <cell r="BK63">
            <v>77.767244372045795</v>
          </cell>
        </row>
        <row r="64">
          <cell r="B64" t="str">
            <v>DNK</v>
          </cell>
          <cell r="BK64">
            <v>50.415191942282902</v>
          </cell>
        </row>
        <row r="65">
          <cell r="B65" t="str">
            <v>DOM</v>
          </cell>
          <cell r="BK65">
            <v>28.504535082217799</v>
          </cell>
        </row>
        <row r="66">
          <cell r="B66" t="str">
            <v>DZA</v>
          </cell>
          <cell r="BK66">
            <v>32.204340946665198</v>
          </cell>
        </row>
        <row r="67">
          <cell r="B67" t="str">
            <v>EAP</v>
          </cell>
          <cell r="BK67">
            <v>22.6624817144791</v>
          </cell>
        </row>
        <row r="68">
          <cell r="B68" t="str">
            <v>EAR</v>
          </cell>
          <cell r="BK68">
            <v>27.937548900267</v>
          </cell>
        </row>
        <row r="69">
          <cell r="B69" t="str">
            <v>EAS</v>
          </cell>
          <cell r="BK69">
            <v>27.589124281342201</v>
          </cell>
        </row>
        <row r="70">
          <cell r="B70" t="str">
            <v>ECA</v>
          </cell>
          <cell r="BK70">
            <v>29.409521536652299</v>
          </cell>
        </row>
        <row r="71">
          <cell r="B71" t="str">
            <v>ECS</v>
          </cell>
          <cell r="BK71">
            <v>41.345018129464201</v>
          </cell>
        </row>
        <row r="72">
          <cell r="B72" t="str">
            <v>ECU</v>
          </cell>
          <cell r="BK72">
            <v>23.757446960268702</v>
          </cell>
        </row>
        <row r="73">
          <cell r="B73" t="str">
            <v>EGY</v>
          </cell>
          <cell r="BK73">
            <v>29.366295578491901</v>
          </cell>
        </row>
        <row r="74">
          <cell r="B74" t="str">
            <v>EMU</v>
          </cell>
          <cell r="BK74">
            <v>44.003701528926698</v>
          </cell>
        </row>
        <row r="75">
          <cell r="B75" t="str">
            <v>ERI</v>
          </cell>
        </row>
        <row r="76">
          <cell r="B76" t="str">
            <v>ESP</v>
          </cell>
          <cell r="BK76">
            <v>32.445549960565401</v>
          </cell>
        </row>
        <row r="77">
          <cell r="B77" t="str">
            <v>EST</v>
          </cell>
          <cell r="BK77">
            <v>71.871360536091601</v>
          </cell>
        </row>
        <row r="78">
          <cell r="B78" t="str">
            <v>ETH</v>
          </cell>
          <cell r="BK78">
            <v>22.826699077005301</v>
          </cell>
        </row>
        <row r="79">
          <cell r="B79" t="str">
            <v>EUU</v>
          </cell>
          <cell r="BK79">
            <v>45.329144529775697</v>
          </cell>
        </row>
        <row r="80">
          <cell r="B80" t="str">
            <v>FCS</v>
          </cell>
          <cell r="BK80">
            <v>27.658167286869499</v>
          </cell>
        </row>
        <row r="81">
          <cell r="B81" t="str">
            <v>FIN</v>
          </cell>
          <cell r="BK81">
            <v>39.722360237805603</v>
          </cell>
        </row>
        <row r="82">
          <cell r="B82" t="str">
            <v>FJI</v>
          </cell>
          <cell r="BK82">
            <v>55.523715109346398</v>
          </cell>
        </row>
        <row r="83">
          <cell r="B83" t="str">
            <v>FRA</v>
          </cell>
          <cell r="BK83">
            <v>32.724285386657499</v>
          </cell>
        </row>
        <row r="84">
          <cell r="B84" t="str">
            <v>FRO</v>
          </cell>
          <cell r="BK84">
            <v>54.201255919804403</v>
          </cell>
        </row>
        <row r="85">
          <cell r="B85" t="str">
            <v>FSM</v>
          </cell>
          <cell r="BK85">
            <v>65.376731355006797</v>
          </cell>
        </row>
        <row r="86">
          <cell r="B86" t="str">
            <v>GAB</v>
          </cell>
          <cell r="BK86">
            <v>22.737521206296201</v>
          </cell>
        </row>
        <row r="87">
          <cell r="B87" t="str">
            <v>GBR</v>
          </cell>
          <cell r="BK87">
            <v>31.8078256790441</v>
          </cell>
        </row>
        <row r="88">
          <cell r="B88" t="str">
            <v>GEO</v>
          </cell>
          <cell r="BK88">
            <v>61.197011618990402</v>
          </cell>
        </row>
        <row r="89">
          <cell r="B89" t="str">
            <v>GHA</v>
          </cell>
          <cell r="BK89">
            <v>34.503622462809801</v>
          </cell>
        </row>
        <row r="90">
          <cell r="B90" t="str">
            <v>GIB</v>
          </cell>
        </row>
        <row r="91">
          <cell r="B91" t="str">
            <v>GIN</v>
          </cell>
          <cell r="BK91">
            <v>48.777016010834899</v>
          </cell>
        </row>
        <row r="92">
          <cell r="B92" t="str">
            <v>GMB</v>
          </cell>
          <cell r="BK92">
            <v>41.382682553200603</v>
          </cell>
        </row>
        <row r="93">
          <cell r="B93" t="str">
            <v>GNB</v>
          </cell>
          <cell r="BK93">
            <v>30.7420205283575</v>
          </cell>
        </row>
        <row r="94">
          <cell r="B94" t="str">
            <v>GNQ</v>
          </cell>
          <cell r="BK94">
            <v>44.031146679407499</v>
          </cell>
        </row>
        <row r="95">
          <cell r="B95" t="str">
            <v>GRC</v>
          </cell>
          <cell r="BK95">
            <v>41.157120456381897</v>
          </cell>
        </row>
        <row r="96">
          <cell r="B96" t="str">
            <v>GRD</v>
          </cell>
        </row>
        <row r="97">
          <cell r="B97" t="str">
            <v>GRL</v>
          </cell>
          <cell r="BK97">
            <v>45.322111722057798</v>
          </cell>
        </row>
        <row r="98">
          <cell r="B98" t="str">
            <v>GTM</v>
          </cell>
          <cell r="BK98">
            <v>28.889460626593301</v>
          </cell>
        </row>
        <row r="99">
          <cell r="B99" t="str">
            <v>GUM</v>
          </cell>
          <cell r="BK99">
            <v>53.6633663366337</v>
          </cell>
        </row>
        <row r="100">
          <cell r="B100" t="str">
            <v>GUY</v>
          </cell>
        </row>
        <row r="101">
          <cell r="B101" t="str">
            <v>HIC</v>
          </cell>
          <cell r="BK101">
            <v>30.931296098925401</v>
          </cell>
        </row>
        <row r="102">
          <cell r="B102" t="str">
            <v>HKG</v>
          </cell>
          <cell r="BK102">
            <v>188.553266542735</v>
          </cell>
        </row>
        <row r="103">
          <cell r="B103" t="str">
            <v>HND</v>
          </cell>
          <cell r="BK103">
            <v>62.096345654127198</v>
          </cell>
        </row>
        <row r="104">
          <cell r="B104" t="str">
            <v>HPC</v>
          </cell>
          <cell r="BK104">
            <v>32.486432047184202</v>
          </cell>
        </row>
        <row r="105">
          <cell r="B105" t="str">
            <v>HRV</v>
          </cell>
          <cell r="BK105">
            <v>50.342006249526399</v>
          </cell>
        </row>
        <row r="106">
          <cell r="B106" t="str">
            <v>HTI</v>
          </cell>
          <cell r="BK106">
            <v>36.4481561015822</v>
          </cell>
        </row>
        <row r="107">
          <cell r="B107" t="str">
            <v>HUN</v>
          </cell>
          <cell r="BK107">
            <v>79.494705021861407</v>
          </cell>
        </row>
        <row r="108">
          <cell r="B108" t="str">
            <v>IBD</v>
          </cell>
          <cell r="BK108">
            <v>24.9363608804981</v>
          </cell>
        </row>
        <row r="109">
          <cell r="B109" t="str">
            <v>IBT</v>
          </cell>
          <cell r="BK109">
            <v>25.106799421396399</v>
          </cell>
        </row>
        <row r="110">
          <cell r="B110" t="str">
            <v>IDA</v>
          </cell>
          <cell r="BK110">
            <v>27.420233375734</v>
          </cell>
        </row>
        <row r="111">
          <cell r="B111" t="str">
            <v>IDB</v>
          </cell>
          <cell r="BK111">
            <v>21.369910342986</v>
          </cell>
        </row>
        <row r="112">
          <cell r="B112" t="str">
            <v>IDN</v>
          </cell>
          <cell r="BK112">
            <v>22.071562457953998</v>
          </cell>
        </row>
        <row r="113">
          <cell r="B113" t="str">
            <v>IDX</v>
          </cell>
          <cell r="BK113">
            <v>32.349381695459599</v>
          </cell>
        </row>
        <row r="114">
          <cell r="B114" t="str">
            <v>IMN</v>
          </cell>
        </row>
        <row r="115">
          <cell r="B115" t="str">
            <v>IND</v>
          </cell>
          <cell r="BK115">
            <v>23.6891407335327</v>
          </cell>
        </row>
        <row r="116">
          <cell r="B116" t="str">
            <v>INX</v>
          </cell>
        </row>
        <row r="117">
          <cell r="B117" t="str">
            <v>IRL</v>
          </cell>
          <cell r="BK117">
            <v>94.434845312653806</v>
          </cell>
        </row>
        <row r="118">
          <cell r="B118" t="str">
            <v>IRN</v>
          </cell>
          <cell r="BK118">
            <v>28.167148640330499</v>
          </cell>
        </row>
        <row r="119">
          <cell r="B119" t="str">
            <v>IRQ</v>
          </cell>
          <cell r="BK119">
            <v>24.999149743576599</v>
          </cell>
        </row>
        <row r="120">
          <cell r="B120" t="str">
            <v>ISL</v>
          </cell>
          <cell r="BK120">
            <v>43.320661929267402</v>
          </cell>
        </row>
        <row r="121">
          <cell r="B121" t="str">
            <v>ISR</v>
          </cell>
          <cell r="BK121">
            <v>29.1640430822093</v>
          </cell>
        </row>
        <row r="122">
          <cell r="B122" t="str">
            <v>ITA</v>
          </cell>
          <cell r="BK122">
            <v>28.9499970418731</v>
          </cell>
        </row>
        <row r="123">
          <cell r="B123" t="str">
            <v>JAM</v>
          </cell>
          <cell r="BK123">
            <v>51.414057756044997</v>
          </cell>
        </row>
        <row r="124">
          <cell r="B124" t="str">
            <v>JOR</v>
          </cell>
          <cell r="BK124">
            <v>53.376769088439701</v>
          </cell>
        </row>
        <row r="125">
          <cell r="B125" t="str">
            <v>JPN</v>
          </cell>
          <cell r="BK125">
            <v>18.306046193576101</v>
          </cell>
        </row>
        <row r="126">
          <cell r="B126" t="str">
            <v>KAZ</v>
          </cell>
          <cell r="BK126">
            <v>25.9027380865315</v>
          </cell>
        </row>
        <row r="127">
          <cell r="B127" t="str">
            <v>KEN</v>
          </cell>
          <cell r="BK127">
            <v>21.872777843383499</v>
          </cell>
        </row>
        <row r="128">
          <cell r="B128" t="str">
            <v>KGZ</v>
          </cell>
          <cell r="BK128">
            <v>67.273829896646504</v>
          </cell>
        </row>
        <row r="129">
          <cell r="B129" t="str">
            <v>KHM</v>
          </cell>
          <cell r="BK129">
            <v>63.3028853207447</v>
          </cell>
        </row>
        <row r="130">
          <cell r="B130" t="str">
            <v>KIR</v>
          </cell>
          <cell r="BK130">
            <v>88.991566242123099</v>
          </cell>
        </row>
        <row r="131">
          <cell r="B131" t="str">
            <v>KNA</v>
          </cell>
        </row>
        <row r="132">
          <cell r="B132" t="str">
            <v>KOR</v>
          </cell>
          <cell r="BK132">
            <v>37.275574670346899</v>
          </cell>
        </row>
        <row r="133">
          <cell r="B133" t="str">
            <v>KWT</v>
          </cell>
          <cell r="BK133">
            <v>45.619963447481801</v>
          </cell>
        </row>
        <row r="134">
          <cell r="B134" t="str">
            <v>LAC</v>
          </cell>
          <cell r="BK134">
            <v>24.2045256103196</v>
          </cell>
        </row>
        <row r="135">
          <cell r="B135" t="str">
            <v>LAO</v>
          </cell>
        </row>
        <row r="136">
          <cell r="B136" t="str">
            <v>LBN</v>
          </cell>
          <cell r="BK136">
            <v>47.502786145557799</v>
          </cell>
        </row>
        <row r="137">
          <cell r="B137" t="str">
            <v>LBR</v>
          </cell>
        </row>
        <row r="138">
          <cell r="B138" t="str">
            <v>LBY</v>
          </cell>
          <cell r="BK138">
            <v>24.167629179766902</v>
          </cell>
        </row>
        <row r="139">
          <cell r="B139" t="str">
            <v>LCA</v>
          </cell>
        </row>
        <row r="140">
          <cell r="B140" t="str">
            <v>LCN</v>
          </cell>
          <cell r="BK140">
            <v>25.069364749355302</v>
          </cell>
        </row>
        <row r="141">
          <cell r="B141" t="str">
            <v>LDC</v>
          </cell>
          <cell r="BK141">
            <v>30.219556870609502</v>
          </cell>
        </row>
        <row r="142">
          <cell r="B142" t="str">
            <v>LIC</v>
          </cell>
          <cell r="BK142">
            <v>34.194847694213699</v>
          </cell>
        </row>
        <row r="143">
          <cell r="B143" t="str">
            <v>LIE</v>
          </cell>
        </row>
        <row r="144">
          <cell r="B144" t="str">
            <v>LKA</v>
          </cell>
          <cell r="BK144">
            <v>30.468966506444598</v>
          </cell>
        </row>
        <row r="145">
          <cell r="B145" t="str">
            <v>LMC</v>
          </cell>
          <cell r="BK145">
            <v>29.3572087261586</v>
          </cell>
        </row>
        <row r="146">
          <cell r="B146" t="str">
            <v>LMY</v>
          </cell>
          <cell r="BK146">
            <v>24.353892981353798</v>
          </cell>
        </row>
        <row r="147">
          <cell r="B147" t="str">
            <v>LSO</v>
          </cell>
          <cell r="BK147">
            <v>94.440733195572705</v>
          </cell>
        </row>
        <row r="148">
          <cell r="B148" t="str">
            <v>LTE</v>
          </cell>
          <cell r="BK148">
            <v>26.2987091782419</v>
          </cell>
        </row>
        <row r="149">
          <cell r="B149" t="str">
            <v>LTU</v>
          </cell>
          <cell r="BK149">
            <v>73.385992684621797</v>
          </cell>
        </row>
        <row r="150">
          <cell r="B150" t="str">
            <v>LUX</v>
          </cell>
          <cell r="BK150">
            <v>163.71243456542999</v>
          </cell>
        </row>
        <row r="151">
          <cell r="B151" t="str">
            <v>LVA</v>
          </cell>
          <cell r="BK151">
            <v>62.1773858393124</v>
          </cell>
        </row>
        <row r="152">
          <cell r="B152" t="str">
            <v>MAC</v>
          </cell>
          <cell r="BK152">
            <v>33.100745491089697</v>
          </cell>
        </row>
        <row r="153">
          <cell r="B153" t="str">
            <v>MAF</v>
          </cell>
        </row>
        <row r="154">
          <cell r="B154" t="str">
            <v>MAR</v>
          </cell>
          <cell r="BK154">
            <v>49.198304318682702</v>
          </cell>
        </row>
        <row r="155">
          <cell r="B155" t="str">
            <v>MCO</v>
          </cell>
        </row>
        <row r="156">
          <cell r="B156" t="str">
            <v>MDA</v>
          </cell>
          <cell r="BK156">
            <v>55.727520326822201</v>
          </cell>
        </row>
        <row r="157">
          <cell r="B157" t="str">
            <v>MDG</v>
          </cell>
          <cell r="BK157">
            <v>36.693806456154199</v>
          </cell>
        </row>
        <row r="158">
          <cell r="B158" t="str">
            <v>MDV</v>
          </cell>
          <cell r="BK158">
            <v>83.719369050368897</v>
          </cell>
        </row>
        <row r="159">
          <cell r="B159" t="str">
            <v>MEA</v>
          </cell>
          <cell r="BK159">
            <v>36.755789414031597</v>
          </cell>
        </row>
        <row r="160">
          <cell r="B160" t="str">
            <v>MEX</v>
          </cell>
          <cell r="BK160">
            <v>41.301832499876298</v>
          </cell>
        </row>
        <row r="161">
          <cell r="B161" t="str">
            <v>MHL</v>
          </cell>
          <cell r="BK161">
            <v>85.884626892412001</v>
          </cell>
        </row>
        <row r="162">
          <cell r="B162" t="str">
            <v>MIC</v>
          </cell>
          <cell r="BK162">
            <v>24.2065466319163</v>
          </cell>
        </row>
        <row r="163">
          <cell r="B163" t="str">
            <v>MKD</v>
          </cell>
          <cell r="BK163">
            <v>72.8400703306813</v>
          </cell>
        </row>
        <row r="164">
          <cell r="B164" t="str">
            <v>MLI</v>
          </cell>
          <cell r="BK164">
            <v>35.622408402120698</v>
          </cell>
        </row>
        <row r="165">
          <cell r="B165" t="str">
            <v>MLT</v>
          </cell>
          <cell r="BK165">
            <v>127.757221921013</v>
          </cell>
        </row>
        <row r="166">
          <cell r="B166" t="str">
            <v>MMR</v>
          </cell>
          <cell r="BK166">
            <v>34.0891936609382</v>
          </cell>
        </row>
        <row r="167">
          <cell r="B167" t="str">
            <v>MNA</v>
          </cell>
          <cell r="BK167">
            <v>33.356827514358002</v>
          </cell>
        </row>
        <row r="168">
          <cell r="B168" t="str">
            <v>MNE</v>
          </cell>
          <cell r="BK168">
            <v>66.734296491841306</v>
          </cell>
        </row>
        <row r="169">
          <cell r="B169" t="str">
            <v>MNG</v>
          </cell>
          <cell r="BK169">
            <v>68.191090964265399</v>
          </cell>
        </row>
        <row r="170">
          <cell r="B170" t="str">
            <v>MNP</v>
          </cell>
          <cell r="BK170">
            <v>58.141321044546899</v>
          </cell>
        </row>
        <row r="171">
          <cell r="B171" t="str">
            <v>MOZ</v>
          </cell>
          <cell r="BK171">
            <v>82.334153994728993</v>
          </cell>
        </row>
        <row r="172">
          <cell r="B172" t="str">
            <v>MRT</v>
          </cell>
          <cell r="BK172">
            <v>47.925066808759802</v>
          </cell>
        </row>
        <row r="173">
          <cell r="B173" t="str">
            <v>MUS</v>
          </cell>
          <cell r="BK173">
            <v>54.020729092208697</v>
          </cell>
        </row>
        <row r="174">
          <cell r="B174" t="str">
            <v>MWI</v>
          </cell>
        </row>
        <row r="175">
          <cell r="B175" t="str">
            <v>MYS</v>
          </cell>
          <cell r="BK175">
            <v>61.8476540824403</v>
          </cell>
        </row>
        <row r="176">
          <cell r="B176" t="str">
            <v>NAC</v>
          </cell>
          <cell r="BK176">
            <v>16.716675553347201</v>
          </cell>
        </row>
        <row r="177">
          <cell r="B177" t="str">
            <v>NAM</v>
          </cell>
          <cell r="BK177">
            <v>45.831301572099001</v>
          </cell>
        </row>
        <row r="178">
          <cell r="B178" t="str">
            <v>NCL</v>
          </cell>
        </row>
        <row r="179">
          <cell r="B179" t="str">
            <v>NER</v>
          </cell>
          <cell r="BK179">
            <v>26.298843362383799</v>
          </cell>
        </row>
        <row r="180">
          <cell r="B180" t="str">
            <v>NGA</v>
          </cell>
          <cell r="BK180">
            <v>17.510944310365399</v>
          </cell>
        </row>
        <row r="181">
          <cell r="B181" t="str">
            <v>NIC</v>
          </cell>
          <cell r="BK181">
            <v>51.707349119682299</v>
          </cell>
        </row>
        <row r="182">
          <cell r="B182" t="str">
            <v>NLD</v>
          </cell>
          <cell r="BK182">
            <v>74.139746533210499</v>
          </cell>
        </row>
        <row r="183">
          <cell r="B183" t="str">
            <v>NOR</v>
          </cell>
          <cell r="BK183">
            <v>32.237935788851701</v>
          </cell>
        </row>
        <row r="184">
          <cell r="B184" t="str">
            <v>NPL</v>
          </cell>
          <cell r="BK184">
            <v>40.6317459237858</v>
          </cell>
        </row>
        <row r="185">
          <cell r="B185" t="str">
            <v>NRU</v>
          </cell>
          <cell r="BK185">
            <v>90.75</v>
          </cell>
        </row>
        <row r="186">
          <cell r="B186" t="str">
            <v>NZL</v>
          </cell>
          <cell r="BK186">
            <v>27.9162463641795</v>
          </cell>
        </row>
        <row r="187">
          <cell r="B187" t="str">
            <v>OED</v>
          </cell>
          <cell r="BK187">
            <v>28.4311968889963</v>
          </cell>
        </row>
        <row r="188">
          <cell r="B188" t="str">
            <v>OMN</v>
          </cell>
          <cell r="BK188">
            <v>38.657912687585302</v>
          </cell>
        </row>
        <row r="189">
          <cell r="B189" t="str">
            <v>OSS</v>
          </cell>
          <cell r="BK189">
            <v>51.436967032157902</v>
          </cell>
        </row>
        <row r="190">
          <cell r="B190" t="str">
            <v>PAK</v>
          </cell>
          <cell r="BK190">
            <v>19.044256657534198</v>
          </cell>
        </row>
        <row r="191">
          <cell r="B191" t="str">
            <v>PAN</v>
          </cell>
          <cell r="BK191">
            <v>47.199542052817598</v>
          </cell>
        </row>
        <row r="192">
          <cell r="B192" t="str">
            <v>PER</v>
          </cell>
          <cell r="BK192">
            <v>23.4392854994888</v>
          </cell>
        </row>
        <row r="193">
          <cell r="B193" t="str">
            <v>PHL</v>
          </cell>
          <cell r="BK193">
            <v>41.949792925699803</v>
          </cell>
        </row>
        <row r="194">
          <cell r="B194" t="str">
            <v>PLW</v>
          </cell>
        </row>
        <row r="195">
          <cell r="B195" t="str">
            <v>PNG</v>
          </cell>
        </row>
        <row r="196">
          <cell r="B196" t="str">
            <v>POL</v>
          </cell>
          <cell r="BK196">
            <v>52.1788028120883</v>
          </cell>
        </row>
        <row r="197">
          <cell r="B197" t="str">
            <v>PRE</v>
          </cell>
          <cell r="BK197">
            <v>25.5132415887207</v>
          </cell>
        </row>
        <row r="198">
          <cell r="B198" t="str">
            <v>PRI</v>
          </cell>
          <cell r="BK198">
            <v>46.036660886797101</v>
          </cell>
        </row>
        <row r="199">
          <cell r="B199" t="str">
            <v>PRK</v>
          </cell>
        </row>
        <row r="200">
          <cell r="B200" t="str">
            <v>PRT</v>
          </cell>
          <cell r="BK200">
            <v>42.9830419043532</v>
          </cell>
        </row>
        <row r="201">
          <cell r="B201" t="str">
            <v>PRY</v>
          </cell>
          <cell r="BK201">
            <v>35.583355709444703</v>
          </cell>
        </row>
        <row r="202">
          <cell r="B202" t="str">
            <v>PSE</v>
          </cell>
          <cell r="BK202">
            <v>55.439710996153998</v>
          </cell>
        </row>
        <row r="203">
          <cell r="B203" t="str">
            <v>PSS</v>
          </cell>
          <cell r="BK203">
            <v>58.226789956988299</v>
          </cell>
        </row>
        <row r="204">
          <cell r="B204" t="str">
            <v>PST</v>
          </cell>
          <cell r="BK204">
            <v>29.3765717192151</v>
          </cell>
        </row>
        <row r="205">
          <cell r="B205" t="str">
            <v>PYF</v>
          </cell>
        </row>
        <row r="206">
          <cell r="B206" t="str">
            <v>QAT</v>
          </cell>
          <cell r="BK206">
            <v>35.896585807658198</v>
          </cell>
        </row>
        <row r="207">
          <cell r="B207" t="str">
            <v>ROU</v>
          </cell>
          <cell r="BK207">
            <v>45.274960243388698</v>
          </cell>
        </row>
        <row r="208">
          <cell r="B208" t="str">
            <v>RUS</v>
          </cell>
          <cell r="BK208">
            <v>20.7876435683221</v>
          </cell>
        </row>
        <row r="209">
          <cell r="B209" t="str">
            <v>RWA</v>
          </cell>
          <cell r="BK209">
            <v>34.659802997503803</v>
          </cell>
        </row>
        <row r="210">
          <cell r="B210" t="str">
            <v>SAS</v>
          </cell>
          <cell r="BK210">
            <v>23.539032336965899</v>
          </cell>
        </row>
        <row r="211">
          <cell r="B211" t="str">
            <v>SAU</v>
          </cell>
          <cell r="BK211">
            <v>25.666772862630999</v>
          </cell>
        </row>
        <row r="212">
          <cell r="B212" t="str">
            <v>SDN</v>
          </cell>
          <cell r="BK212">
            <v>0.683885496149084</v>
          </cell>
        </row>
        <row r="213">
          <cell r="B213" t="str">
            <v>SEN</v>
          </cell>
          <cell r="BK213">
            <v>38.840415258329301</v>
          </cell>
        </row>
        <row r="214">
          <cell r="B214" t="str">
            <v>SGP</v>
          </cell>
          <cell r="BK214">
            <v>147.728267194708</v>
          </cell>
        </row>
        <row r="215">
          <cell r="B215" t="str">
            <v>SLB</v>
          </cell>
          <cell r="BK215">
            <v>47.574869062751802</v>
          </cell>
        </row>
        <row r="216">
          <cell r="B216" t="str">
            <v>SLE</v>
          </cell>
          <cell r="BK216">
            <v>39.228531308891696</v>
          </cell>
        </row>
        <row r="217">
          <cell r="B217" t="str">
            <v>SLV</v>
          </cell>
          <cell r="BK217">
            <v>46.699243106970002</v>
          </cell>
        </row>
        <row r="218">
          <cell r="B218" t="str">
            <v>SMR</v>
          </cell>
          <cell r="BK218">
            <v>142.89045627736701</v>
          </cell>
        </row>
        <row r="219">
          <cell r="B219" t="str">
            <v>SOM</v>
          </cell>
          <cell r="BK219">
            <v>87.562511937012601</v>
          </cell>
        </row>
        <row r="220">
          <cell r="B220" t="str">
            <v>SRB</v>
          </cell>
          <cell r="BK220">
            <v>59.0603044132937</v>
          </cell>
        </row>
        <row r="221">
          <cell r="B221" t="str">
            <v>SSA</v>
          </cell>
          <cell r="BK221">
            <v>26.790120026844399</v>
          </cell>
        </row>
        <row r="222">
          <cell r="B222" t="str">
            <v>SSD</v>
          </cell>
        </row>
        <row r="223">
          <cell r="B223" t="str">
            <v>SSF</v>
          </cell>
          <cell r="BK223">
            <v>26.866849412425399</v>
          </cell>
        </row>
        <row r="224">
          <cell r="B224" t="str">
            <v>SST</v>
          </cell>
          <cell r="BK224">
            <v>52.541676226623999</v>
          </cell>
        </row>
        <row r="225">
          <cell r="B225" t="str">
            <v>STP</v>
          </cell>
        </row>
        <row r="226">
          <cell r="B226" t="str">
            <v>SUR</v>
          </cell>
        </row>
        <row r="227">
          <cell r="B227" t="str">
            <v>SVK</v>
          </cell>
          <cell r="BK227">
            <v>94.409808177848404</v>
          </cell>
        </row>
        <row r="228">
          <cell r="B228" t="str">
            <v>SVN</v>
          </cell>
          <cell r="BK228">
            <v>76.369871443877798</v>
          </cell>
        </row>
        <row r="229">
          <cell r="B229" t="str">
            <v>SWE</v>
          </cell>
          <cell r="BK229">
            <v>43.448136882790799</v>
          </cell>
        </row>
        <row r="230">
          <cell r="B230" t="str">
            <v>SWZ</v>
          </cell>
          <cell r="BK230">
            <v>44.313881031412002</v>
          </cell>
        </row>
        <row r="231">
          <cell r="B231" t="str">
            <v>SXM</v>
          </cell>
          <cell r="BK231">
            <v>104.24128180961399</v>
          </cell>
        </row>
        <row r="232">
          <cell r="B232" t="str">
            <v>SYC</v>
          </cell>
          <cell r="BK232">
            <v>107.587346076291</v>
          </cell>
        </row>
        <row r="233">
          <cell r="B233" t="str">
            <v>SYR</v>
          </cell>
          <cell r="BK233">
            <v>35.714346114258397</v>
          </cell>
        </row>
        <row r="234">
          <cell r="B234" t="str">
            <v>TCA</v>
          </cell>
        </row>
        <row r="235">
          <cell r="B235" t="str">
            <v>TCD</v>
          </cell>
          <cell r="BK235">
            <v>38.014071283580499</v>
          </cell>
        </row>
        <row r="236">
          <cell r="B236" t="str">
            <v>TEA</v>
          </cell>
          <cell r="BK236">
            <v>22.644622276113999</v>
          </cell>
        </row>
        <row r="237">
          <cell r="B237" t="str">
            <v>TEC</v>
          </cell>
          <cell r="BK237">
            <v>33.952492524716099</v>
          </cell>
        </row>
        <row r="238">
          <cell r="B238" t="str">
            <v>TGO</v>
          </cell>
          <cell r="BK238">
            <v>32.745458931609498</v>
          </cell>
        </row>
        <row r="239">
          <cell r="B239" t="str">
            <v>THA</v>
          </cell>
          <cell r="BK239">
            <v>56.0037678316517</v>
          </cell>
        </row>
        <row r="240">
          <cell r="B240" t="str">
            <v>TJK</v>
          </cell>
          <cell r="BK240">
            <v>41.470632937044002</v>
          </cell>
        </row>
        <row r="241">
          <cell r="B241" t="str">
            <v>TKM</v>
          </cell>
          <cell r="BK241">
            <v>12.4958823653095</v>
          </cell>
        </row>
        <row r="242">
          <cell r="B242" t="str">
            <v>TLA</v>
          </cell>
          <cell r="BK242">
            <v>24.718430018202099</v>
          </cell>
        </row>
        <row r="243">
          <cell r="B243" t="str">
            <v>TLS</v>
          </cell>
          <cell r="BK243">
            <v>59.535997826092697</v>
          </cell>
        </row>
        <row r="244">
          <cell r="B244" t="str">
            <v>TMN</v>
          </cell>
          <cell r="BK244">
            <v>33.093360630233697</v>
          </cell>
        </row>
        <row r="245">
          <cell r="B245" t="str">
            <v>TON</v>
          </cell>
          <cell r="BK245">
            <v>66.137807398576101</v>
          </cell>
        </row>
        <row r="246">
          <cell r="B246" t="str">
            <v>TSA</v>
          </cell>
          <cell r="BK246">
            <v>23.539032336965899</v>
          </cell>
        </row>
        <row r="247">
          <cell r="B247" t="str">
            <v>TSS</v>
          </cell>
          <cell r="BK247">
            <v>26.866849412425299</v>
          </cell>
        </row>
        <row r="248">
          <cell r="B248" t="str">
            <v>TTO</v>
          </cell>
        </row>
        <row r="249">
          <cell r="B249" t="str">
            <v>TUN</v>
          </cell>
          <cell r="BK249">
            <v>58.386076089409698</v>
          </cell>
        </row>
        <row r="250">
          <cell r="B250" t="str">
            <v>TUR</v>
          </cell>
          <cell r="BK250">
            <v>31.401491384798</v>
          </cell>
        </row>
        <row r="251">
          <cell r="B251" t="str">
            <v>TUV</v>
          </cell>
        </row>
        <row r="252">
          <cell r="B252" t="str">
            <v>TZA</v>
          </cell>
          <cell r="BK252">
            <v>17.903466554378301</v>
          </cell>
        </row>
        <row r="253">
          <cell r="B253" t="str">
            <v>UGA</v>
          </cell>
          <cell r="BK253">
            <v>21.551352539379401</v>
          </cell>
        </row>
        <row r="254">
          <cell r="B254" t="str">
            <v>UKR</v>
          </cell>
          <cell r="BK254">
            <v>53.964579409274798</v>
          </cell>
        </row>
        <row r="255">
          <cell r="B255" t="str">
            <v>UMC</v>
          </cell>
          <cell r="BK255">
            <v>22.606946544853798</v>
          </cell>
        </row>
        <row r="256">
          <cell r="B256" t="str">
            <v>URY</v>
          </cell>
          <cell r="BK256">
            <v>21.428914038492799</v>
          </cell>
        </row>
        <row r="257">
          <cell r="B257" t="str">
            <v>USA</v>
          </cell>
          <cell r="BK257">
            <v>15.246617680675699</v>
          </cell>
        </row>
        <row r="258">
          <cell r="B258" t="str">
            <v>UZB</v>
          </cell>
          <cell r="BK258">
            <v>44.5642456264655</v>
          </cell>
        </row>
        <row r="259">
          <cell r="B259" t="str">
            <v>VCT</v>
          </cell>
        </row>
        <row r="260">
          <cell r="B260" t="str">
            <v>VEN</v>
          </cell>
        </row>
        <row r="261">
          <cell r="B261" t="str">
            <v>VGB</v>
          </cell>
        </row>
        <row r="262">
          <cell r="B262" t="str">
            <v>VIR</v>
          </cell>
          <cell r="BK262">
            <v>106.144824069352</v>
          </cell>
        </row>
        <row r="263">
          <cell r="B263" t="str">
            <v>VNM</v>
          </cell>
        </row>
        <row r="264">
          <cell r="B264" t="str">
            <v>VUT</v>
          </cell>
          <cell r="BK264">
            <v>65.796054459572105</v>
          </cell>
        </row>
        <row r="265">
          <cell r="B265" t="str">
            <v>WLD</v>
          </cell>
          <cell r="BK265">
            <v>28.501614900364199</v>
          </cell>
        </row>
        <row r="266">
          <cell r="B266" t="str">
            <v>WSM</v>
          </cell>
          <cell r="BK266">
            <v>50.237585012421803</v>
          </cell>
        </row>
        <row r="267">
          <cell r="B267" t="str">
            <v>XKX</v>
          </cell>
          <cell r="BK267">
            <v>57.261619951432401</v>
          </cell>
        </row>
        <row r="268">
          <cell r="B268" t="str">
            <v>YEM</v>
          </cell>
          <cell r="BK268">
            <v>43.246924321219197</v>
          </cell>
        </row>
        <row r="269">
          <cell r="B269" t="str">
            <v>ZAF</v>
          </cell>
          <cell r="BK269">
            <v>27.018995448259901</v>
          </cell>
        </row>
        <row r="270">
          <cell r="B270" t="str">
            <v>ZMB</v>
          </cell>
          <cell r="BK270">
            <v>36.930964979427102</v>
          </cell>
        </row>
        <row r="271">
          <cell r="B271" t="str">
            <v>ZWE</v>
          </cell>
          <cell r="BK271">
            <v>41.397264241835899</v>
          </cell>
        </row>
      </sheetData>
    </sheetDataSet>
  </externalBook>
</externalLink>
</file>

<file path=xl/persons/person.xml><?xml version="1.0" encoding="utf-8"?>
<personList xmlns="http://schemas.microsoft.com/office/spreadsheetml/2018/threadedcomments" xmlns:x="http://schemas.openxmlformats.org/spreadsheetml/2006/main">
  <person displayName="Tom Quested" id="{19DC7744-70B9-4E52-B608-4108A3DB458B}" userId="S::tom.quested@wrap.org.uk::0fd54117-75b5-46eb-8bff-8509b1bcc3c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D8297-8111-4292-B49E-E8506E46256A}" name="Level1" displayName="Level1" ref="A1:AU153" totalsRowShown="0" headerRowDxfId="102" dataDxfId="101" tableBorderDxfId="100">
  <autoFilter ref="A1:AU153" xr:uid="{CBD1A9EE-8D01-4B44-90F5-F9DC9B7DF32C}"/>
  <sortState xmlns:xlrd2="http://schemas.microsoft.com/office/spreadsheetml/2017/richdata2" ref="A2:AT153">
    <sortCondition descending="1" ref="C1:C153"/>
  </sortState>
  <tableColumns count="47">
    <tableColumn id="1" xr3:uid="{7C24D77B-39AA-4D64-B1CA-97513A7B529E}" name="Study_#" dataDxfId="99"/>
    <tableColumn id="3" xr3:uid="{182D330E-76C6-4D00-AA31-06FCD39D0C1F}" name="Source" dataDxfId="98"/>
    <tableColumn id="4" xr3:uid="{33EC73A5-5EF7-49B7-A82C-790EC7C0B545}" name="Publication_year" dataDxfId="97"/>
    <tableColumn id="5" xr3:uid="{E8514225-D827-4F09-A98F-133EE0F02DF3}" name="Link" dataDxfId="96"/>
    <tableColumn id="6" xr3:uid="{5A663E1B-BB68-4781-BA6F-A02D488AE3D2}" name="Country" dataDxfId="95"/>
    <tableColumn id="7" xr3:uid="{44F3EFF9-88F6-4DD0-8238-27D5EFCF8C63}" name="M49_Code" dataDxfId="94"/>
    <tableColumn id="8" xr3:uid="{12576367-B7C3-4F03-A440-F28F84B0BFFD}" name="Region" dataDxfId="93"/>
    <tableColumn id="9" xr3:uid="{709216F5-B2A8-44A7-8170-DBA120F18520}" name="Category" dataDxfId="92"/>
    <tableColumn id="10" xr3:uid="{C9CCD8AB-1312-4099-B2F8-46C0252DC0E1}" name="WB_Income_Category" dataDxfId="91"/>
    <tableColumn id="11" xr3:uid="{04B986E5-BD12-4D91-9000-D03A0EE05155}" name="Study_area_level" dataDxfId="90"/>
    <tableColumn id="12" xr3:uid="{FFCB4D96-D27D-4F14-A081-D54D214BEBE1}" name="Study_area_name" dataDxfId="89"/>
    <tableColumn id="13" xr3:uid="{AA4DF37A-FADC-4AD8-A07D-CDDCB81C56D3}" name="Country_Population_Millions" dataDxfId="88"/>
    <tableColumn id="14" xr3:uid="{25F3AC4A-09D7-4A5F-B717-583FD72BE9EA}" name="Household" dataDxfId="87"/>
    <tableColumn id="15" xr3:uid="{D60C5978-0A0A-4CFF-9E08-FFF2DD622CCF}" name="Food_Service" dataDxfId="86"/>
    <tableColumn id="16" xr3:uid="{E8609F44-1955-4421-92F7-2BE4DF747D05}" name="Retail" dataDxfId="85"/>
    <tableColumn id="17" xr3:uid="{5A7EDDD7-B122-4ABB-8616-AC91191FA6F0}" name="Method" dataDxfId="84"/>
    <tableColumn id="18" xr3:uid="{3005F804-810D-4473-BCCB-19336418044C}" name="Confidence_Classification" dataDxfId="83"/>
    <tableColumn id="19" xr3:uid="{6E66A008-4F57-475B-860E-58EB779744F3}" name="Description" dataDxfId="82"/>
    <tableColumn id="20" xr3:uid="{9D0173C1-F309-4788-A3C7-92BBD5F8EBEC}" name="Household_Diary?" dataDxfId="81"/>
    <tableColumn id="21" xr3:uid="{812425C5-1FB2-4741-91B3-9FAB343CDD91}" name="Edible_Waste_Only?" dataDxfId="80"/>
    <tableColumn id="22" xr3:uid="{A0E62829-F438-4685-B920-A278153ED114}" name="Year(s)_covered" dataDxfId="79"/>
    <tableColumn id="23" xr3:uid="{C4B0F6B2-8FC8-4A6B-9041-3280211BBFE6}" name="FW_Share_estimate" dataDxfId="78" dataCellStyle="Percent"/>
    <tableColumn id="24" xr3:uid="{18A5D90F-813A-4E6F-9D5D-62F2FD4F8FEA}" name="Share_note" dataDxfId="77"/>
    <tableColumn id="51" xr3:uid="{8A66B854-B16A-4C68-A0D6-61F55AC681CE}" name="Edible_Avoidable_Share" dataDxfId="76"/>
    <tableColumn id="52" xr3:uid="{7561B826-7C44-4A23-B945-97AB24462395}" name="Edible_Avoidable_Note" dataDxfId="75"/>
    <tableColumn id="25" xr3:uid="{23F1285A-6489-4E3C-9CB8-46AA820FD36C}" name="Mass_estimate" dataDxfId="74" dataCellStyle="Comma"/>
    <tableColumn id="26" xr3:uid="{2D318894-0310-4993-872A-5EF58616460C}" name="Original_Mass_Measure" dataDxfId="73"/>
    <tableColumn id="27" xr3:uid="{97E43DA4-A6CF-4DC5-9E12-D59FD126B488}" name="Time_Adjustment_Y" dataDxfId="72" dataCellStyle="Comma"/>
    <tableColumn id="28" xr3:uid="{C6D73E01-0494-4BBF-820C-ADE2B1A3812E}" name="Weight_Adjustment_T" dataDxfId="71" dataCellStyle="Comma"/>
    <tableColumn id="29" xr3:uid="{8D794F4C-C3E1-48E5-99AE-2F31DFEAC5E3}" name="Standardised_Mass_tonnes/year" dataDxfId="70" dataCellStyle="Comma"/>
    <tableColumn id="30" xr3:uid="{534F65F4-D418-4E67-BC58-A11C82FE8D6C}" name="Derived_Estimate_Needed?" dataDxfId="69"/>
    <tableColumn id="31" xr3:uid="{082B63FE-352A-48A1-B81A-44EFB98DD4E9}" name="Study_Year_Country_Population" dataDxfId="68" dataCellStyle="Comma"/>
    <tableColumn id="32" xr3:uid="{F29B4100-8448-4694-8E1A-868B9CC2D614}" name="Study_Year_Subnational_Population" dataDxfId="67" dataCellStyle="Comma"/>
    <tableColumn id="33" xr3:uid="{5CBB7025-D196-41DA-BBAA-DEC5593184C3}" name="Derived_Normalised_kg/capita/year" dataDxfId="66"/>
    <tableColumn id="34" xr3:uid="{EB4E484C-895E-4B8B-8D40-32FEA28C801B}" name="Normalised_Mass_Estimate" dataDxfId="65"/>
    <tableColumn id="35" xr3:uid="{13490995-F30D-4B08-9C7E-CF643DCBEB00}" name="Original_Normalised_Mass_Measure" dataDxfId="64"/>
    <tableColumn id="36" xr3:uid="{1CBC4CBB-9DEA-4775-8792-BAB9F7F642C7}" name="Normalised_Weight_Adjustment_kg" dataDxfId="63"/>
    <tableColumn id="37" xr3:uid="{7D8F6507-3B97-4F7D-B3B7-C58CC3194102}" name="Normalised_Time_Adjustment_Y" dataDxfId="62"/>
    <tableColumn id="38" xr3:uid="{2B107CBD-1AC7-4AC4-AB20-A9C8FC482B22}" name="Standardised_Normalised_Mass_kg/capita/year" dataDxfId="61"/>
    <tableColumn id="39" xr3:uid="{EF415CD0-80A9-4DDE-8F80-AEE1529C54CC}" name="Preferred_estimate_kg/capita" dataDxfId="60"/>
    <tableColumn id="40" xr3:uid="{07C82C15-578E-4228-93AC-F9F4671E2596}" name="Household_Diary_Adjustment" dataDxfId="59">
      <calculatedColumnFormula>IF(Level1[[#This Row],[Household]]=1,IF(Level1[[#This Row],[Household_Diary?]]=1,'Cover Sheet'!$R$31,1),1)</calculatedColumnFormula>
    </tableColumn>
    <tableColumn id="41" xr3:uid="{5F9FA95D-C066-4D47-841F-64D4EC8A84B4}" name="Household_Inedible_Adjustment" dataDxfId="58">
      <calculatedColumnFormula>IF(Level1[[#This Row],[Household]]=1,IF(Level1[[#This Row],[Edible_Waste_Only?]]=1,'Cover Sheet'!$R$32,1),1)</calculatedColumnFormula>
    </tableColumn>
    <tableColumn id="42" xr3:uid="{FF0657B6-20E4-4856-A979-962284A9E637}" name="Food_Service_Inedible_Adjustment" dataDxfId="57">
      <calculatedColumnFormula>IF(Level1[[#This Row],[Food_Service]]=1,IF(Level1[[#This Row],[Edible_Waste_Only?]]=1,'Cover Sheet'!$R$33,1),1)</calculatedColumnFormula>
    </tableColumn>
    <tableColumn id="43" xr3:uid="{F178C9CD-1C72-4676-AF2F-2E49311D2FE6}" name="Retail_Inedible_Adjustment" dataDxfId="56">
      <calculatedColumnFormula>IF(Level1[[#This Row],[Retail]]=1,IF(Level1[[#This Row],[Edible_Waste_Only?]]=1,'Cover Sheet'!$R$34,1),1)</calculatedColumnFormula>
    </tableColumn>
    <tableColumn id="44" xr3:uid="{1C563886-B8B3-4B65-9DE0-B8CC8202644A}" name="Total_Adjustment" dataDxfId="55">
      <calculatedColumnFormula>PRODUCT(Level1[[#This Row],[Household_Diary_Adjustment]:[Retail_Inedible_Adjustment]])</calculatedColumnFormula>
    </tableColumn>
    <tableColumn id="45" xr3:uid="{551A2D36-2160-491A-89E0-579818B120C6}" name="Final_kg/cap/yr_estimate" dataDxfId="54"/>
    <tableColumn id="2" xr3:uid="{9749C80A-4961-B243-BC38-DDA2D6C47CA3}" name="Column1" dataDxfId="53"/>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87" dT="2020-09-21T13:16:36.16" personId="{19DC7744-70B9-4E52-B608-4108A3DB458B}" id="{8BDBC8D2-9015-4C65-8AC3-84EE6B93FAE6}">
    <text>Added zero - so updated from 18,000 to 180,000 tonnes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21" Type="http://schemas.openxmlformats.org/officeDocument/2006/relationships/hyperlink" Target="https://doi.org/10.1016/j.wasman.2016.03.032" TargetMode="External"/><Relationship Id="rId42" Type="http://schemas.openxmlformats.org/officeDocument/2006/relationships/hyperlink" Target="https://www.semanticscholar.org/paper/CHARACTERISTICS-AND-COMPOSITIONS-OF-SOLID-WASTE-IN-Abudi/b9f0c4d0092838519e4eaee3586fd4398b012daa" TargetMode="External"/><Relationship Id="rId47" Type="http://schemas.openxmlformats.org/officeDocument/2006/relationships/hyperlink" Target="https://doi.org/10.3390/su11123381" TargetMode="External"/><Relationship Id="rId63" Type="http://schemas.openxmlformats.org/officeDocument/2006/relationships/hyperlink" Target="https://rke.abertay.ac.uk/en/studentTheses/analysis-of-key-requirements-for-effective-implementation-of-biog" TargetMode="External"/><Relationship Id="rId68" Type="http://schemas.openxmlformats.org/officeDocument/2006/relationships/hyperlink" Target="https://doi.org/10.1371/journal.pone.0189407" TargetMode="External"/><Relationship Id="rId16" Type="http://schemas.openxmlformats.org/officeDocument/2006/relationships/hyperlink" Target="https://doi.org/10.1007/s11356-015-4235-y" TargetMode="External"/><Relationship Id="rId11" Type="http://schemas.openxmlformats.org/officeDocument/2006/relationships/hyperlink" Target="https://www.embrapa.br/busca-de-publicacoes/-/publicacao/1105525/intercambio-brasil-uniao-europeia-sobre-desperdicio-de-alimentos-relatorio-final" TargetMode="External"/><Relationship Id="rId32" Type="http://schemas.openxmlformats.org/officeDocument/2006/relationships/hyperlink" Target="https://doi.org/10.1016/j.spc.2015.06.006" TargetMode="External"/><Relationship Id="rId37" Type="http://schemas.openxmlformats.org/officeDocument/2006/relationships/hyperlink" Target="https://doi.org/10.1016/j.resconrec.2015.06.013" TargetMode="External"/><Relationship Id="rId53"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58" Type="http://schemas.openxmlformats.org/officeDocument/2006/relationships/hyperlink" Target="https://www.matvett.no/uploads/documents/OR.32.19-Edible-food-waste-in-Norway-Report-on-key-figures-2015-2018.pdf" TargetMode="External"/><Relationship Id="rId74" Type="http://schemas.openxmlformats.org/officeDocument/2006/relationships/hyperlink" Target="https://www.naturvardsverket.se/Documents/publ-filer/8800/978-91-620-8861-3.pdf?pid=26710" TargetMode="External"/><Relationship Id="rId79" Type="http://schemas.openxmlformats.org/officeDocument/2006/relationships/hyperlink" Target="https://doi.org/10.1016/j.jenvman.2010.06.016" TargetMode="External"/><Relationship Id="rId5" Type="http://schemas.openxmlformats.org/officeDocument/2006/relationships/hyperlink" Target="https://alay.am/p/c8b" TargetMode="External"/><Relationship Id="rId61" Type="http://schemas.openxmlformats.org/officeDocument/2006/relationships/hyperlink" Target="https://www.researchgate.net/publication/273640405_The_pilot_study_of_characteristics_of_household_waste_generated_in_suburban_parts_of_rural_areas/link/5507f9200cf26ff55f7f9975/download" TargetMode="External"/><Relationship Id="rId82" Type="http://schemas.openxmlformats.org/officeDocument/2006/relationships/printerSettings" Target="../printerSettings/printerSettings2.bin"/><Relationship Id="rId19" Type="http://schemas.openxmlformats.org/officeDocument/2006/relationships/hyperlink" Target="https://doi.org/10.1016/j.jclepro.2020.123490" TargetMode="External"/><Relationship Id="rId14" Type="http://schemas.openxmlformats.org/officeDocument/2006/relationships/hyperlink" Target="http://dx.doi.org/10.1016/j.resconrec.2015.03.001" TargetMode="External"/><Relationship Id="rId22" Type="http://schemas.openxmlformats.org/officeDocument/2006/relationships/hyperlink" Target="https://www2.mst.dk/Udgiv/publikationer/2018/03/978-87-93614-78-9.pdf" TargetMode="External"/><Relationship Id="rId27" Type="http://schemas.openxmlformats.org/officeDocument/2006/relationships/hyperlink" Target="http://dx.doi.org/10.1016/j.jclepro.2013.12.057" TargetMode="External"/><Relationship Id="rId30" Type="http://schemas.openxmlformats.org/officeDocument/2006/relationships/hyperlink" Target="https://www.researchgate.net/publication/339473130_Food_waste_in_Germany_-Baseline_2015_-_Summary" TargetMode="External"/><Relationship Id="rId35" Type="http://schemas.openxmlformats.org/officeDocument/2006/relationships/hyperlink" Target="http://theijes.com/papers/v5-i2/G0502040047.pdf" TargetMode="External"/><Relationship Id="rId43" Type="http://schemas.openxmlformats.org/officeDocument/2006/relationships/hyperlink" Target="https://doi.org/10.1016/j.wasman.2018.03.031" TargetMode="External"/><Relationship Id="rId48" Type="http://schemas.openxmlformats.org/officeDocument/2006/relationships/hyperlink" Target="https://openjicareport.jica.go.jp/pdf/12005443.pdf" TargetMode="External"/><Relationship Id="rId56"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64" Type="http://schemas.openxmlformats.org/officeDocument/2006/relationships/hyperlink" Target="https://www.sago.gov.sa/Content/Files/Baseline_230719.pdf" TargetMode="External"/><Relationship Id="rId69" Type="http://schemas.openxmlformats.org/officeDocument/2006/relationships/hyperlink" Target="https://doi.org/10.17159/sajs.2018/20170284" TargetMode="External"/><Relationship Id="rId77" Type="http://schemas.openxmlformats.org/officeDocument/2006/relationships/hyperlink" Target="https://doi.org/10.5901/ajis.2013.v2n13p35" TargetMode="External"/><Relationship Id="rId8" Type="http://schemas.openxmlformats.org/officeDocument/2006/relationships/hyperlink" Target="https://openjicareport.jica.go.jp/pdf/11785243.pdf" TargetMode="External"/><Relationship Id="rId51" Type="http://schemas.openxmlformats.org/officeDocument/2006/relationships/hyperlink" Target="https://www.researchgate.net/publication/280642994_The_3R_Potential_of_Household_Waste_in_Bangi_Malaysia" TargetMode="External"/><Relationship Id="rId72" Type="http://schemas.openxmlformats.org/officeDocument/2006/relationships/hyperlink" Target="https://openjicareport.jica.go.jp/pdf/12250213.pdf" TargetMode="External"/><Relationship Id="rId80" Type="http://schemas.openxmlformats.org/officeDocument/2006/relationships/hyperlink" Target="https://doi.org/10.3390/resources8040171" TargetMode="External"/><Relationship Id="rId3" Type="http://schemas.openxmlformats.org/officeDocument/2006/relationships/hyperlink" Target="https://ec.europa.eu/food/sites/food/files/safety/docs/fw_eu-platform_20170925_sub-fwm_pres-02b.pdf" TargetMode="External"/><Relationship Id="rId12" Type="http://schemas.openxmlformats.org/officeDocument/2006/relationships/hyperlink" Target="http://publications.gc.ca/collections/collection_2020/eccc/en14/En14-405-2020-eng.pdf" TargetMode="External"/><Relationship Id="rId17" Type="http://schemas.openxmlformats.org/officeDocument/2006/relationships/hyperlink" Target="https://doi.org/10.1016/j.wasman.2009.05.014" TargetMode="External"/><Relationship Id="rId25" Type="http://schemas.openxmlformats.org/officeDocument/2006/relationships/hyperlink" Target="https://doi.org/10.11648/j.ijepp.20170506.11" TargetMode="External"/><Relationship Id="rId33" Type="http://schemas.openxmlformats.org/officeDocument/2006/relationships/hyperlink" Target="https://doi.org/10.3390/su12083069" TargetMode="External"/><Relationship Id="rId38" Type="http://schemas.openxmlformats.org/officeDocument/2006/relationships/hyperlink" Target="https://www.researchgate.net/publication/258242118_Kitchen_Food_Waste_Inventory_for_Residential_Areas_in_Baghdad_City" TargetMode="External"/><Relationship Id="rId46" Type="http://schemas.openxmlformats.org/officeDocument/2006/relationships/hyperlink" Target="https://www.maff.go.jp/e/policies/env/attach/pdf/frecycle-3.pdf" TargetMode="External"/><Relationship Id="rId59" Type="http://schemas.openxmlformats.org/officeDocument/2006/relationships/hyperlink" Target="https://doi.org/10.1016/j.resconrec.2016.03.010" TargetMode="External"/><Relationship Id="rId67" Type="http://schemas.openxmlformats.org/officeDocument/2006/relationships/hyperlink" Target="https://www.stat.si/StatWeb/en/news/Index/8433" TargetMode="External"/><Relationship Id="rId20" Type="http://schemas.openxmlformats.org/officeDocument/2006/relationships/hyperlink" Target="https://mst.dk/service/publikationer/publikationsarkiv/2014/okt/kortlaegning-af-madaffald-i-servicesektoren/" TargetMode="External"/><Relationship Id="rId41" Type="http://schemas.openxmlformats.org/officeDocument/2006/relationships/hyperlink" Target="https://www.researchgate.net/publication/320613575_Household_Behavior_on_Solid_Waste_Management_A_Case_of_Al-Kut_City" TargetMode="External"/><Relationship Id="rId54" Type="http://schemas.openxmlformats.org/officeDocument/2006/relationships/hyperlink" Target="https://lovefoodhatewaste.co.nz/wp-content/uploads/2019/02/Final-New-Zealand-Food-Waste-Audits-2018.pdf" TargetMode="External"/><Relationship Id="rId62" Type="http://schemas.openxmlformats.org/officeDocument/2006/relationships/hyperlink" Target="https://tiarcenter.com/wp-content/uploads/2019/11/ENG_Foodsharing-in-Russia_2019.pdf" TargetMode="External"/><Relationship Id="rId70" Type="http://schemas.openxmlformats.org/officeDocument/2006/relationships/hyperlink" Target="https://doi.org/10.1016/j.wasman.2012.04.012" TargetMode="External"/><Relationship Id="rId75" Type="http://schemas.openxmlformats.org/officeDocument/2006/relationships/hyperlink" Target="https://doi.org/10.1016/j.wasman.2012.11.007" TargetMode="External"/><Relationship Id="rId1" Type="http://schemas.openxmlformats.org/officeDocument/2006/relationships/hyperlink" Target="https://www.ademe.fr/etat-lieux-masses-gaspillages-alimentaires-gestion-differentes-etapes-chaine-alimentaire" TargetMode="External"/><Relationship Id="rId6" Type="http://schemas.openxmlformats.org/officeDocument/2006/relationships/hyperlink" Target="https://www.researchgate.net/publication/259390038_Generation_and_assessing_the_composition_of_household_solid_waste_in_commercial_capital_city_of_Bangladesh" TargetMode="External"/><Relationship Id="rId15" Type="http://schemas.openxmlformats.org/officeDocument/2006/relationships/hyperlink" Target="https://doi.org/10.1016/j.resconrec.2020.105209" TargetMode="External"/><Relationship Id="rId23" Type="http://schemas.openxmlformats.org/officeDocument/2006/relationships/hyperlink" Target="https://www.sei.org/wp-content/uploads/2017/12/sei-2015-report-food-waste-and-food-loss-in-estonian-households-and-catering-institutions-sei-tallinn1.pdf" TargetMode="External"/><Relationship Id="rId28" Type="http://schemas.openxmlformats.org/officeDocument/2006/relationships/hyperlink" Target="https://ec.europa.eu/environment/eussd/pdf/bio_foodwaste_report.pdf" TargetMode="External"/><Relationship Id="rId36" Type="http://schemas.openxmlformats.org/officeDocument/2006/relationships/hyperlink" Target="https://doi.org/10.1016/j.scs.2014.07.004" TargetMode="External"/><Relationship Id="rId49" Type="http://schemas.openxmlformats.org/officeDocument/2006/relationships/hyperlink" Target="https://doi.org/10.1371/journal.pone.0225789" TargetMode="External"/><Relationship Id="rId57" Type="http://schemas.openxmlformats.org/officeDocument/2006/relationships/hyperlink" Target="https://norsus.no/en/publikasjon/food-waste-in-norway-2010-2015/" TargetMode="External"/><Relationship Id="rId10" Type="http://schemas.openxmlformats.org/officeDocument/2006/relationships/hyperlink" Target="http://belizeswama.com/wp-content/uploads/2018/12/Waste-Generation-Composition-Study-for-Western-Corridor-Belize-C.A.-2056-OC-BL1.pdf" TargetMode="External"/><Relationship Id="rId31" Type="http://schemas.openxmlformats.org/officeDocument/2006/relationships/hyperlink" Target="http://dx.doi.org/10.1016/j.wasman.2015.09.009" TargetMode="External"/><Relationship Id="rId44" Type="http://schemas.openxmlformats.org/officeDocument/2006/relationships/hyperlink" Target="https://www.leket.org/en/food-waste-and-rescue-report/" TargetMode="External"/><Relationship Id="rId52" Type="http://schemas.openxmlformats.org/officeDocument/2006/relationships/hyperlink" Target="https://beta.wrap.org.uk/resources/report/conceptual-framework-national-strategy-food-loss-and-waste-mexico" TargetMode="External"/><Relationship Id="rId60" Type="http://schemas.openxmlformats.org/officeDocument/2006/relationships/hyperlink" Target="https://openjicareport.jica.go.jp/pdf/12246336_01.pdf" TargetMode="External"/><Relationship Id="rId65" Type="http://schemas.openxmlformats.org/officeDocument/2006/relationships/hyperlink" Target="https://www.giz.de/en/downloads/CE%20impact%20assessment_HORECA.pdf" TargetMode="External"/><Relationship Id="rId73" Type="http://schemas.openxmlformats.org/officeDocument/2006/relationships/hyperlink" Target="http://www.naturvardsverket.se/Documents/publikationer6400/978-91-620-8695-4.pdf" TargetMode="External"/><Relationship Id="rId78" Type="http://schemas.openxmlformats.org/officeDocument/2006/relationships/hyperlink" Target="https://www.epa.gov/sites/production/files/2020-11/documents/2018_wasted_food_report-11-9-20_final_.pdf" TargetMode="External"/><Relationship Id="rId81" Type="http://schemas.openxmlformats.org/officeDocument/2006/relationships/hyperlink" Target="https://www.academia.edu/30874341/SOLID_WASTE_MANAGEMENT_CASE_STUDY_OF_NDOLA_ZAMBIA" TargetMode="External"/><Relationship Id="rId4" Type="http://schemas.openxmlformats.org/officeDocument/2006/relationships/hyperlink" Target="https://op.europa.eu/en/publication-detail/-/publication/e8e18370-1db9-11ea-95ab-01aa75ed71a1/language-en" TargetMode="External"/><Relationship Id="rId9" Type="http://schemas.openxmlformats.org/officeDocument/2006/relationships/hyperlink" Target="https://www.voedselverlies.be/sites/default/files/atoms/files/Monitor_EN_final.pdf" TargetMode="External"/><Relationship Id="rId13" Type="http://schemas.openxmlformats.org/officeDocument/2006/relationships/hyperlink" Target="https://doi.org/10.5814/j.issn.1674-764x.2013.04.006" TargetMode="External"/><Relationship Id="rId18" Type="http://schemas.openxmlformats.org/officeDocument/2006/relationships/hyperlink" Target="http://dx.doi.org/10.1016/j.scitotenv.2015.05.068" TargetMode="External"/><Relationship Id="rId39" Type="http://schemas.openxmlformats.org/officeDocument/2006/relationships/hyperlink" Target="https://www.researchgate.net/publication/340256113_Solid_Waste_Composition_and_Characteristics_of_Mosul_CityIRAQ" TargetMode="External"/><Relationship Id="rId34" Type="http://schemas.openxmlformats.org/officeDocument/2006/relationships/hyperlink" Target="http://rah-net.com/journals/rah/Vol_3_No_1_March_2014/11.pdf" TargetMode="External"/><Relationship Id="rId50" Type="http://schemas.openxmlformats.org/officeDocument/2006/relationships/hyperlink" Target="https://www.researchgate.net/publication/289063671_Household_food_consumption_and_disposal_behaviour_in_Malaysia" TargetMode="External"/><Relationship Id="rId55" Type="http://schemas.openxmlformats.org/officeDocument/2006/relationships/hyperlink" Target="https://lovefoodhatewaste.co.nz/wp-content/uploads/2020/09/What-is-known-about-food-waste-in-New-Zealand.pdf" TargetMode="External"/><Relationship Id="rId76" Type="http://schemas.openxmlformats.org/officeDocument/2006/relationships/hyperlink" Target="https://wrap.org.uk/sites/files/wrap/Progress_against_Courtauld_2025_targets_and_UN_SDG_123.pdf" TargetMode="External"/><Relationship Id="rId7" Type="http://schemas.openxmlformats.org/officeDocument/2006/relationships/hyperlink" Target="https://doi.org/10.1016/j.wasman.2007.06.013" TargetMode="External"/><Relationship Id="rId71" Type="http://schemas.openxmlformats.org/officeDocument/2006/relationships/hyperlink" Target="http://uir.unisa.ac.za/bitstream/handle/10500/21162/dissertation_ramukhwatho_fr.pdf?isAllowed=y&amp;sequence=4"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resconrec.2014.06.001" TargetMode="External"/><Relationship Id="rId24" Type="http://schemas.openxmlformats.org/officeDocument/2006/relationships/hyperlink" Target="https://www.sei.org/wp-content/uploads/2017/12/summary-food-waste-in-estonian-food-trade-sector-and-industry-sei-tallinn-2016.pdf" TargetMode="External"/><Relationship Id="rId40" Type="http://schemas.openxmlformats.org/officeDocument/2006/relationships/hyperlink" Target="https://www.iraqjournals.com/article_104313_0.html" TargetMode="External"/><Relationship Id="rId45" Type="http://schemas.openxmlformats.org/officeDocument/2006/relationships/hyperlink" Target="https://www.sprecozero.it/2020/07/16/quanto-cibo-si-spreca-in-italia/" TargetMode="External"/><Relationship Id="rId66" Type="http://schemas.openxmlformats.org/officeDocument/2006/relationships/hyperlink" Target="https://www.stat.si/StatWeb/en/News/Index/923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117" Type="http://schemas.openxmlformats.org/officeDocument/2006/relationships/hyperlink" Target="https://www.stat.si/StatWeb/en/News/Index/9230" TargetMode="External"/><Relationship Id="rId21" Type="http://schemas.openxmlformats.org/officeDocument/2006/relationships/hyperlink" Target="http://theijes.com/papers/v5-i2/G0502040047.pdf" TargetMode="External"/><Relationship Id="rId42" Type="http://schemas.openxmlformats.org/officeDocument/2006/relationships/hyperlink" Target="http://dx.doi.org/10.1016/j.wasman.2015.09.009" TargetMode="External"/><Relationship Id="rId47" Type="http://schemas.openxmlformats.org/officeDocument/2006/relationships/hyperlink" Target="http://www.naturvardsverket.se/Documents/publikationer6400/978-91-620-8695-4.pdf" TargetMode="External"/><Relationship Id="rId63" Type="http://schemas.openxmlformats.org/officeDocument/2006/relationships/hyperlink" Target="https://www.ademe.fr/etat-lieux-masses-gaspillages-alimentaires-gestion-differentes-etapes-chaine-alimentaire" TargetMode="External"/><Relationship Id="rId68" Type="http://schemas.openxmlformats.org/officeDocument/2006/relationships/hyperlink" Target="https://openjicareport.jica.go.jp/pdf/12246336_01.pdf" TargetMode="External"/><Relationship Id="rId84" Type="http://schemas.openxmlformats.org/officeDocument/2006/relationships/hyperlink" Target="https://doi.org/10.1016/j.jclepro.2020.123490" TargetMode="External"/><Relationship Id="rId89" Type="http://schemas.openxmlformats.org/officeDocument/2006/relationships/hyperlink" Target="https://op.europa.eu/en/publication-detail/-/publication/e8e18370-1db9-11ea-95ab-01aa75ed71a1/language-en" TargetMode="External"/><Relationship Id="rId112" Type="http://schemas.openxmlformats.org/officeDocument/2006/relationships/hyperlink" Target="https://www.maff.go.jp/e/policies/env/attach/pdf/frecycle-3.pdf" TargetMode="External"/><Relationship Id="rId16" Type="http://schemas.openxmlformats.org/officeDocument/2006/relationships/hyperlink" Target="https://www.voedselverlies.be/sites/default/files/atoms/files/Monitor_EN_final.pdf" TargetMode="External"/><Relationship Id="rId107" Type="http://schemas.openxmlformats.org/officeDocument/2006/relationships/hyperlink" Target="https://doi.org/10.17159/sajs.2018/20170284" TargetMode="External"/><Relationship Id="rId11" Type="http://schemas.openxmlformats.org/officeDocument/2006/relationships/hyperlink" Target="https://www2.mst.dk/Udgiv/publikationer/2018/03/978-87-93614-78-9.pdf" TargetMode="External"/><Relationship Id="rId32" Type="http://schemas.openxmlformats.org/officeDocument/2006/relationships/hyperlink" Target="https://doi.org/10.5901/ajis.2013.v2n13p35" TargetMode="External"/><Relationship Id="rId37" Type="http://schemas.openxmlformats.org/officeDocument/2006/relationships/hyperlink" Target="https://ec.europa.eu/environment/eussd/pdf/bio_foodwaste_report.pdf" TargetMode="External"/><Relationship Id="rId53" Type="http://schemas.openxmlformats.org/officeDocument/2006/relationships/hyperlink" Target="https://beta.wrap.org.uk/resources/report/conceptual-framework-national-strategy-food-loss-and-waste-mexico" TargetMode="External"/><Relationship Id="rId58" Type="http://schemas.openxmlformats.org/officeDocument/2006/relationships/hyperlink" Target="https://www.researchgate.net/publication/258242118_Kitchen_Food_Waste_Inventory_for_Residential_Areas_in_Baghdad_City" TargetMode="External"/><Relationship Id="rId74" Type="http://schemas.openxmlformats.org/officeDocument/2006/relationships/hyperlink" Target="https://openjicareport.jica.go.jp/pdf/12250213.pdf" TargetMode="External"/><Relationship Id="rId79" Type="http://schemas.openxmlformats.org/officeDocument/2006/relationships/hyperlink" Target="https://openjicareport.jica.go.jp/pdf/12250213.pdf" TargetMode="External"/><Relationship Id="rId102" Type="http://schemas.openxmlformats.org/officeDocument/2006/relationships/hyperlink" Target="https://doi.org/10.1016/j.resconrec.2020.105209" TargetMode="External"/><Relationship Id="rId123" Type="http://schemas.openxmlformats.org/officeDocument/2006/relationships/vmlDrawing" Target="../drawings/vmlDrawing1.vml"/><Relationship Id="rId5" Type="http://schemas.openxmlformats.org/officeDocument/2006/relationships/hyperlink" Target="https://www.leket.org/en/food-waste-and-rescue-report/" TargetMode="External"/><Relationship Id="rId90" Type="http://schemas.openxmlformats.org/officeDocument/2006/relationships/hyperlink" Target="https://op.europa.eu/en/publication-detail/-/publication/e8e18370-1db9-11ea-95ab-01aa75ed71a1/language-en" TargetMode="External"/><Relationship Id="rId95" Type="http://schemas.openxmlformats.org/officeDocument/2006/relationships/hyperlink" Target="https://doi.org/10.1016/j.resconrec.2014.06.001" TargetMode="External"/><Relationship Id="rId22" Type="http://schemas.openxmlformats.org/officeDocument/2006/relationships/hyperlink" Target="https://www.eu-fusions.org/phocadownload/Publications/Estimates%20of%20European%20food%20waste%20levels.pdf" TargetMode="External"/><Relationship Id="rId27" Type="http://schemas.openxmlformats.org/officeDocument/2006/relationships/hyperlink" Target="https://www.eu-fusions.org/phocadownload/Publications/Estimates%20of%20European%20food%20waste%20levels.pdf" TargetMode="External"/><Relationship Id="rId43" Type="http://schemas.openxmlformats.org/officeDocument/2006/relationships/hyperlink" Target="https://doi.org/10.1016/j.wasman.2007.06.013" TargetMode="External"/><Relationship Id="rId48" Type="http://schemas.openxmlformats.org/officeDocument/2006/relationships/hyperlink" Target="http://www.naturvardsverket.se/Documents/publikationer6400/978-91-620-8695-4.pdf" TargetMode="External"/><Relationship Id="rId64" Type="http://schemas.openxmlformats.org/officeDocument/2006/relationships/hyperlink" Target="http://uir.unisa.ac.za/bitstream/handle/10500/21162/dissertation_ramukhwatho_fr.pdf?isAllowed=y&amp;sequence=4" TargetMode="External"/><Relationship Id="rId69" Type="http://schemas.openxmlformats.org/officeDocument/2006/relationships/hyperlink" Target="https://openjicareport.jica.go.jp/pdf/12246336_01.pdf" TargetMode="External"/><Relationship Id="rId113" Type="http://schemas.openxmlformats.org/officeDocument/2006/relationships/hyperlink" Target="https://www.maff.go.jp/e/policies/env/attach/pdf/frecycle-3.pdf" TargetMode="External"/><Relationship Id="rId118" Type="http://schemas.openxmlformats.org/officeDocument/2006/relationships/hyperlink" Target="https://www.stat.si/StatWeb/en/News/Index/9230" TargetMode="External"/><Relationship Id="rId80" Type="http://schemas.openxmlformats.org/officeDocument/2006/relationships/hyperlink" Target="https://lovefoodhatewaste.co.nz/wp-content/uploads/2020/09/What-is-known-about-food-waste-in-New-Zealand.pdf" TargetMode="External"/><Relationship Id="rId85" Type="http://schemas.openxmlformats.org/officeDocument/2006/relationships/hyperlink" Target="https://op.europa.eu/en/publication-detail/-/publication/e8e18370-1db9-11ea-95ab-01aa75ed71a1/language-en" TargetMode="External"/><Relationship Id="rId12" Type="http://schemas.openxmlformats.org/officeDocument/2006/relationships/hyperlink" Target="https://norsus.no/en/publikasjon/food-waste-in-norway-2010-2015/" TargetMode="External"/><Relationship Id="rId17" Type="http://schemas.openxmlformats.org/officeDocument/2006/relationships/hyperlink" Target="https://www.voedselverlies.be/sites/default/files/atoms/files/Monitor_EN_final.pdf" TargetMode="External"/><Relationship Id="rId33" Type="http://schemas.openxmlformats.org/officeDocument/2006/relationships/hyperlink" Target="https://openjicareport.jica.go.jp/pdf/12005443.pdf" TargetMode="External"/><Relationship Id="rId38" Type="http://schemas.openxmlformats.org/officeDocument/2006/relationships/hyperlink" Target="https://www.wwf.de/fileadmin/user_upload/WWF_BOELL_How_to_feed.pdf" TargetMode="External"/><Relationship Id="rId59" Type="http://schemas.openxmlformats.org/officeDocument/2006/relationships/hyperlink" Target="https://www.iraqjournals.com/article_104313_0.html" TargetMode="External"/><Relationship Id="rId103" Type="http://schemas.openxmlformats.org/officeDocument/2006/relationships/hyperlink" Target="https://doi.org/10.1016/j.jclepro.2020.123490" TargetMode="External"/><Relationship Id="rId108" Type="http://schemas.openxmlformats.org/officeDocument/2006/relationships/hyperlink" Target="https://doi.org/10.1007/s11356-015-4235-y" TargetMode="External"/><Relationship Id="rId124" Type="http://schemas.openxmlformats.org/officeDocument/2006/relationships/table" Target="../tables/table1.xml"/><Relationship Id="rId54" Type="http://schemas.openxmlformats.org/officeDocument/2006/relationships/hyperlink" Target="https://doi.org/10.1016/j.wasman.2012.04.012" TargetMode="External"/><Relationship Id="rId70" Type="http://schemas.openxmlformats.org/officeDocument/2006/relationships/hyperlink" Target="https://openjicareport.jica.go.jp/pdf/12250213.pdf" TargetMode="External"/><Relationship Id="rId75" Type="http://schemas.openxmlformats.org/officeDocument/2006/relationships/hyperlink" Target="https://openjicareport.jica.go.jp/pdf/12250213.pdf" TargetMode="External"/><Relationship Id="rId91" Type="http://schemas.openxmlformats.org/officeDocument/2006/relationships/hyperlink" Target="https://op.europa.eu/en/publication-detail/-/publication/e8e18370-1db9-11ea-95ab-01aa75ed71a1/language-en" TargetMode="External"/><Relationship Id="rId96" Type="http://schemas.openxmlformats.org/officeDocument/2006/relationships/hyperlink" Target="https://doi.org/10.1016/j.resconrec.2015.06.013" TargetMode="External"/><Relationship Id="rId1" Type="http://schemas.openxmlformats.org/officeDocument/2006/relationships/hyperlink" Target="https://doi.org/10.1371/journal.pone.0189407" TargetMode="External"/><Relationship Id="rId6" Type="http://schemas.openxmlformats.org/officeDocument/2006/relationships/hyperlink" Target="https://www.leket.org/en/food-waste-and-rescue-report/" TargetMode="External"/><Relationship Id="rId23" Type="http://schemas.openxmlformats.org/officeDocument/2006/relationships/hyperlink" Target="https://www.eu-fusions.org/phocadownload/Publications/Estimates%20of%20European%20food%20waste%20levels.pdf" TargetMode="External"/><Relationship Id="rId28" Type="http://schemas.openxmlformats.org/officeDocument/2006/relationships/hyperlink" Target="https://www.eu-fusions.org/phocadownload/Publications/Estimates%20of%20European%20food%20waste%20levels.pdf" TargetMode="External"/><Relationship Id="rId49" Type="http://schemas.openxmlformats.org/officeDocument/2006/relationships/hyperlink" Target="http://www.naturvardsverket.se/Documents/publikationer6400/978-91-620-8695-4.pdf" TargetMode="External"/><Relationship Id="rId114" Type="http://schemas.openxmlformats.org/officeDocument/2006/relationships/hyperlink" Target="https://openjicareport.jica.go.jp/pdf/12005443.pdf" TargetMode="External"/><Relationship Id="rId119" Type="http://schemas.openxmlformats.org/officeDocument/2006/relationships/hyperlink" Target="https://www.stat.si/StatWeb/en/news/Index/8433" TargetMode="External"/><Relationship Id="rId44" Type="http://schemas.openxmlformats.org/officeDocument/2006/relationships/hyperlink" Target="https://mst.dk/service/publikationer/publikationsarkiv/2014/okt/kortlaegning-af-madaffald-i-servicesektoren/" TargetMode="External"/><Relationship Id="rId60" Type="http://schemas.openxmlformats.org/officeDocument/2006/relationships/hyperlink" Target="https://www.researchgate.net/publication/340256113_Solid_Waste_Composition_and_Characteristics_of_Mosul_CityIRAQ" TargetMode="External"/><Relationship Id="rId65" Type="http://schemas.openxmlformats.org/officeDocument/2006/relationships/hyperlink" Target="https://alay.am/p/c8b" TargetMode="External"/><Relationship Id="rId81" Type="http://schemas.openxmlformats.org/officeDocument/2006/relationships/hyperlink" Target="https://doi.org/10.1016/j.jclepro.2020.123490" TargetMode="External"/><Relationship Id="rId86" Type="http://schemas.openxmlformats.org/officeDocument/2006/relationships/hyperlink" Target="https://op.europa.eu/en/publication-detail/-/publication/e8e18370-1db9-11ea-95ab-01aa75ed71a1/language-en" TargetMode="External"/><Relationship Id="rId13" Type="http://schemas.openxmlformats.org/officeDocument/2006/relationships/hyperlink" Target="https://ec.europa.eu/food/sites/food/files/safety/docs/fw_eu-platform_20170925_sub-fwm_pres-02b.pdf" TargetMode="External"/><Relationship Id="rId18" Type="http://schemas.openxmlformats.org/officeDocument/2006/relationships/hyperlink" Target="https://www.voedselverlies.be/sites/default/files/atoms/files/Monitor_EN_final.pdf" TargetMode="External"/><Relationship Id="rId39" Type="http://schemas.openxmlformats.org/officeDocument/2006/relationships/hyperlink" Target="https://doi.org/10.1016/j.wasman.2016.03.032" TargetMode="External"/><Relationship Id="rId109" Type="http://schemas.openxmlformats.org/officeDocument/2006/relationships/hyperlink" Target="https://www.ademe.fr/etat-lieux-masses-gaspillages-alimentaires-gestion-differentes-etapes-chaine-alimentaire" TargetMode="External"/><Relationship Id="rId34" Type="http://schemas.openxmlformats.org/officeDocument/2006/relationships/hyperlink" Target="https://doi.org/10.1016/j.wasman.2012.11.007" TargetMode="External"/><Relationship Id="rId50" Type="http://schemas.openxmlformats.org/officeDocument/2006/relationships/hyperlink" Target="https://www.researchgate.net/publication/339473130_Food_waste_in_Germany_-Baseline_2015_-_Summary" TargetMode="External"/><Relationship Id="rId55" Type="http://schemas.openxmlformats.org/officeDocument/2006/relationships/hyperlink" Target="https://openjicareport.jica.go.jp/pdf/12005443.pdf" TargetMode="External"/><Relationship Id="rId76" Type="http://schemas.openxmlformats.org/officeDocument/2006/relationships/hyperlink" Target="https://openjicareport.jica.go.jp/pdf/12250213.pdf" TargetMode="External"/><Relationship Id="rId97" Type="http://schemas.openxmlformats.org/officeDocument/2006/relationships/hyperlink" Target="https://doi.org/10.3390/resources8040171" TargetMode="External"/><Relationship Id="rId104" Type="http://schemas.openxmlformats.org/officeDocument/2006/relationships/hyperlink" Target="https://doi.org/10.1016/j.jclepro.2020.123490" TargetMode="External"/><Relationship Id="rId120" Type="http://schemas.openxmlformats.org/officeDocument/2006/relationships/hyperlink" Target="https://www.stat.si/StatWeb/en/News/Index/9230" TargetMode="External"/><Relationship Id="rId125" Type="http://schemas.openxmlformats.org/officeDocument/2006/relationships/comments" Target="../comments1.xml"/><Relationship Id="rId7" Type="http://schemas.openxmlformats.org/officeDocument/2006/relationships/hyperlink" Target="https://www.leket.org/en/food-waste-and-rescue-report/" TargetMode="External"/><Relationship Id="rId71" Type="http://schemas.openxmlformats.org/officeDocument/2006/relationships/hyperlink" Target="https://openjicareport.jica.go.jp/pdf/12250213.pdf" TargetMode="External"/><Relationship Id="rId92" Type="http://schemas.openxmlformats.org/officeDocument/2006/relationships/hyperlink" Target="https://op.europa.eu/en/publication-detail/-/publication/e8e18370-1db9-11ea-95ab-01aa75ed71a1/language-en"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scs.2014.07.004" TargetMode="External"/><Relationship Id="rId24" Type="http://schemas.openxmlformats.org/officeDocument/2006/relationships/hyperlink" Target="https://www.eu-fusions.org/phocadownload/Publications/Estimates%20of%20European%20food%20waste%20levels.pdf" TargetMode="External"/><Relationship Id="rId40" Type="http://schemas.openxmlformats.org/officeDocument/2006/relationships/hyperlink" Target="https://doi.org/10.1016/j.spc.2015.06.006" TargetMode="External"/><Relationship Id="rId45" Type="http://schemas.openxmlformats.org/officeDocument/2006/relationships/hyperlink" Target="https://mst.dk/service/publikationer/publikationsarkiv/2014/okt/kortlaegning-af-madaffald-i-servicesektoren/" TargetMode="External"/><Relationship Id="rId66" Type="http://schemas.openxmlformats.org/officeDocument/2006/relationships/hyperlink" Target="https://doi.org/10.3390/su11123381" TargetMode="External"/><Relationship Id="rId87" Type="http://schemas.openxmlformats.org/officeDocument/2006/relationships/hyperlink" Target="https://op.europa.eu/en/publication-detail/-/publication/e8e18370-1db9-11ea-95ab-01aa75ed71a1/language-en" TargetMode="External"/><Relationship Id="rId110" Type="http://schemas.openxmlformats.org/officeDocument/2006/relationships/hyperlink" Target="https://doi.org/10.1016/j.wasman.2018.03.031" TargetMode="External"/><Relationship Id="rId115" Type="http://schemas.openxmlformats.org/officeDocument/2006/relationships/hyperlink" Target="https://wrap.org.uk/sites/files/wrap/Progress_against_Courtauld_2025_targets_and_UN_SDG_123.pdf" TargetMode="External"/><Relationship Id="rId61" Type="http://schemas.openxmlformats.org/officeDocument/2006/relationships/hyperlink" Target="https://www.semanticscholar.org/paper/CHARACTERISTICS-AND-COMPOSITIONS-OF-SOLID-WASTE-IN-Abudi/b9f0c4d0092838519e4eaee3586fd4398b012daa" TargetMode="External"/><Relationship Id="rId82" Type="http://schemas.openxmlformats.org/officeDocument/2006/relationships/hyperlink" Target="https://doi.org/10.1016/j.jclepro.2020.123490" TargetMode="External"/><Relationship Id="rId19"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14" Type="http://schemas.openxmlformats.org/officeDocument/2006/relationships/hyperlink" Target="https://ec.europa.eu/food/sites/food/files/safety/docs/fw_eu-platform_20170925_sub-fwm_pres-02b.pdf" TargetMode="External"/><Relationship Id="rId30" Type="http://schemas.openxmlformats.org/officeDocument/2006/relationships/hyperlink" Target="https://doi.org/10.1016/j.wasman.2009.05.014" TargetMode="External"/><Relationship Id="rId35" Type="http://schemas.openxmlformats.org/officeDocument/2006/relationships/hyperlink" Target="https://doi.org/10.5814/j.issn.1674-764x.2013.04.006" TargetMode="External"/><Relationship Id="rId56" Type="http://schemas.openxmlformats.org/officeDocument/2006/relationships/hyperlink" Target="https://www.sago.gov.sa/Content/Files/Baseline_230719.pdf" TargetMode="External"/><Relationship Id="rId77" Type="http://schemas.openxmlformats.org/officeDocument/2006/relationships/hyperlink" Target="https://openjicareport.jica.go.jp/pdf/12250213.pdf" TargetMode="External"/><Relationship Id="rId100" Type="http://schemas.openxmlformats.org/officeDocument/2006/relationships/hyperlink" Target="https://www.naturvardsverket.se/Documents/publ-filer/8800/978-91-620-8861-3.pdf?pid=26710" TargetMode="External"/><Relationship Id="rId105" Type="http://schemas.openxmlformats.org/officeDocument/2006/relationships/hyperlink" Target="https://tiarcenter.com/wp-content/uploads/2019/11/ENG_Foodsharing-in-Russia_2019.pdf" TargetMode="External"/><Relationship Id="rId126" Type="http://schemas.microsoft.com/office/2017/10/relationships/threadedComment" Target="../threadedComments/threadedComment1.xml"/><Relationship Id="rId8" Type="http://schemas.openxmlformats.org/officeDocument/2006/relationships/hyperlink" Target="https://www.sei.org/wp-content/uploads/2017/12/sei-2015-report-food-waste-and-food-loss-in-estonian-households-and-catering-institutions-sei-tallinn1.pdf" TargetMode="External"/><Relationship Id="rId51" Type="http://schemas.openxmlformats.org/officeDocument/2006/relationships/hyperlink" Target="https://www.researchgate.net/publication/339473130_Food_waste_in_Germany_-Baseline_2015_-_Summary" TargetMode="External"/><Relationship Id="rId72" Type="http://schemas.openxmlformats.org/officeDocument/2006/relationships/hyperlink" Target="https://openjicareport.jica.go.jp/pdf/12250213.pdf" TargetMode="External"/><Relationship Id="rId93" Type="http://schemas.openxmlformats.org/officeDocument/2006/relationships/hyperlink" Target="https://op.europa.eu/en/publication-detail/-/publication/e8e18370-1db9-11ea-95ab-01aa75ed71a1/language-en" TargetMode="External"/><Relationship Id="rId98" Type="http://schemas.openxmlformats.org/officeDocument/2006/relationships/hyperlink" Target="https://doi.org/10.1016/j.resconrec.2016.03.010" TargetMode="External"/><Relationship Id="rId121" Type="http://schemas.openxmlformats.org/officeDocument/2006/relationships/hyperlink" Target="https://www.stat.si/StatWeb/en/news/Index/8433" TargetMode="External"/><Relationship Id="rId3" Type="http://schemas.openxmlformats.org/officeDocument/2006/relationships/hyperlink" Target="http://www.environment.gov.au/system/files/pages/25e36a8c-3a9c-487c-a9cb-66ec15ba61d0/files/national-food-waste-baseline-final-assessment.pdf" TargetMode="External"/><Relationship Id="rId25" Type="http://schemas.openxmlformats.org/officeDocument/2006/relationships/hyperlink" Target="https://www.eu-fusions.org/phocadownload/Publications/Estimates%20of%20European%20food%20waste%20levels.pdf" TargetMode="External"/><Relationship Id="rId46" Type="http://schemas.openxmlformats.org/officeDocument/2006/relationships/hyperlink" Target="https://www.sei.org/wp-content/uploads/2017/12/summary-food-waste-in-estonian-food-trade-sector-and-industry-sei-tallinn-2016.pdf" TargetMode="External"/><Relationship Id="rId67" Type="http://schemas.openxmlformats.org/officeDocument/2006/relationships/hyperlink" Target="https://openjicareport.jica.go.jp/pdf/12126843.pdf" TargetMode="External"/><Relationship Id="rId116"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20" Type="http://schemas.openxmlformats.org/officeDocument/2006/relationships/hyperlink" Target="https://journals.sagepub.com/doi/abs/10.1177/0734242x15607427%20(Xue%20et%20al" TargetMode="External"/><Relationship Id="rId41" Type="http://schemas.openxmlformats.org/officeDocument/2006/relationships/hyperlink" Target="https://rke.abertay.ac.uk/en/studentTheses/analysis-of-key-requirements-for-effective-implementation-of-biog" TargetMode="External"/><Relationship Id="rId62" Type="http://schemas.openxmlformats.org/officeDocument/2006/relationships/hyperlink" Target="https://www.ademe.fr/etat-lieux-masses-gaspillages-alimentaires-gestion-differentes-etapes-chaine-alimentaire" TargetMode="External"/><Relationship Id="rId83" Type="http://schemas.openxmlformats.org/officeDocument/2006/relationships/hyperlink" Target="https://doi.org/10.1016/j.jclepro.2020.123490" TargetMode="External"/><Relationship Id="rId88" Type="http://schemas.openxmlformats.org/officeDocument/2006/relationships/hyperlink" Target="https://op.europa.eu/en/publication-detail/-/publication/e8e18370-1db9-11ea-95ab-01aa75ed71a1/language-en" TargetMode="External"/><Relationship Id="rId111" Type="http://schemas.openxmlformats.org/officeDocument/2006/relationships/hyperlink" Target="https://www.maff.go.jp/e/policies/env/attach/pdf/frecycle-3.pdf" TargetMode="External"/><Relationship Id="rId15" Type="http://schemas.openxmlformats.org/officeDocument/2006/relationships/hyperlink" Target="https://ec.europa.eu/food/sites/food/files/safety/docs/fw_eu-platform_20170925_sub-fwm_pres-02b.pdf" TargetMode="External"/><Relationship Id="rId36" Type="http://schemas.openxmlformats.org/officeDocument/2006/relationships/hyperlink" Target="https://ec.europa.eu/environment/eussd/pdf/bio_foodwaste_report.pdf" TargetMode="External"/><Relationship Id="rId57" Type="http://schemas.openxmlformats.org/officeDocument/2006/relationships/hyperlink" Target="https://www.researchgate.net/publication/320613575_Household_Behavior_on_Solid_Waste_Management_A_Case_of_Al-Kut_City" TargetMode="External"/><Relationship Id="rId106" Type="http://schemas.openxmlformats.org/officeDocument/2006/relationships/hyperlink" Target="https://doi.org/10.17159/sajs.2018/20170284" TargetMode="External"/><Relationship Id="rId10" Type="http://schemas.openxmlformats.org/officeDocument/2006/relationships/hyperlink" Target="https://lovefoodhatewaste.co.nz/wp-content/uploads/2019/02/Final-New-Zealand-Food-Waste-Audits-2018.pdf" TargetMode="External"/><Relationship Id="rId31" Type="http://schemas.openxmlformats.org/officeDocument/2006/relationships/hyperlink" Target="https://doi.org/10.1016/j.jenvman.2010.06.016" TargetMode="External"/><Relationship Id="rId52" Type="http://schemas.openxmlformats.org/officeDocument/2006/relationships/hyperlink" Target="https://www.researchgate.net/publication/339473130_Food_waste_in_Germany_-Baseline_2015_-_Summary" TargetMode="External"/><Relationship Id="rId73" Type="http://schemas.openxmlformats.org/officeDocument/2006/relationships/hyperlink" Target="https://openjicareport.jica.go.jp/pdf/12250213.pdf" TargetMode="External"/><Relationship Id="rId78" Type="http://schemas.openxmlformats.org/officeDocument/2006/relationships/hyperlink" Target="https://openjicareport.jica.go.jp/pdf/12250213.pdf" TargetMode="External"/><Relationship Id="rId94" Type="http://schemas.openxmlformats.org/officeDocument/2006/relationships/hyperlink" Target="https://www.sago.gov.sa/Content/Files/Baseline_230719.pdf" TargetMode="External"/><Relationship Id="rId99" Type="http://schemas.openxmlformats.org/officeDocument/2006/relationships/hyperlink" Target="https://www.academia.edu/30874341/SOLID_WASTE_MANAGEMENT_CASE_STUDY_OF_NDOLA_ZAMBIA" TargetMode="External"/><Relationship Id="rId101" Type="http://schemas.openxmlformats.org/officeDocument/2006/relationships/hyperlink" Target="http://publications.gc.ca/collections/collection_2020/eccc/en14/En14-405-2020-eng.pdf" TargetMode="External"/><Relationship Id="rId122" Type="http://schemas.openxmlformats.org/officeDocument/2006/relationships/printerSettings" Target="../printerSettings/printerSettings3.bin"/><Relationship Id="rId4" Type="http://schemas.openxmlformats.org/officeDocument/2006/relationships/hyperlink" Target="http://www.environment.gov.au/system/files/pages/25e36a8c-3a9c-487c-a9cb-66ec15ba61d0/files/national-food-waste-baseline-final-assessment.pdf" TargetMode="External"/><Relationship Id="rId9" Type="http://schemas.openxmlformats.org/officeDocument/2006/relationships/hyperlink" Target="https://www.sei.org/wp-content/uploads/2017/12/sei-2015-report-food-waste-and-food-loss-in-estonian-households-and-catering-institutions-sei-tallinn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9FA8-9EF2-434E-A543-4736D5876DAF}">
  <sheetPr>
    <tabColor theme="5" tint="-0.249977111117893"/>
  </sheetPr>
  <dimension ref="A1:AA51"/>
  <sheetViews>
    <sheetView topLeftCell="B26" zoomScale="120" zoomScaleNormal="120" workbookViewId="0">
      <selection activeCell="D21" sqref="D21"/>
    </sheetView>
  </sheetViews>
  <sheetFormatPr baseColWidth="10" defaultColWidth="0" defaultRowHeight="15" zeroHeight="1" x14ac:dyDescent="0.2"/>
  <cols>
    <col min="1" max="1" width="17.1640625" style="6" customWidth="1"/>
    <col min="2" max="3" width="8.6640625" style="6" customWidth="1"/>
    <col min="4" max="4" width="3" style="6" customWidth="1"/>
    <col min="5" max="5" width="10.83203125" style="6" customWidth="1"/>
    <col min="6" max="15" width="8.6640625" style="6" customWidth="1"/>
    <col min="16" max="16" width="5.33203125" style="6" customWidth="1"/>
    <col min="17" max="17" width="24.83203125" style="6" customWidth="1"/>
    <col min="18" max="27" width="8.6640625" style="6" customWidth="1"/>
    <col min="28" max="16384" width="8.6640625" style="6" hidden="1"/>
  </cols>
  <sheetData>
    <row r="1" spans="2:20" x14ac:dyDescent="0.2"/>
    <row r="2" spans="2:20" x14ac:dyDescent="0.2"/>
    <row r="3" spans="2:20" x14ac:dyDescent="0.2"/>
    <row r="4" spans="2:20" x14ac:dyDescent="0.2"/>
    <row r="5" spans="2:20" x14ac:dyDescent="0.2"/>
    <row r="6" spans="2:20" x14ac:dyDescent="0.2"/>
    <row r="7" spans="2:20" x14ac:dyDescent="0.2"/>
    <row r="8" spans="2:20" x14ac:dyDescent="0.2"/>
    <row r="9" spans="2:20" x14ac:dyDescent="0.2"/>
    <row r="10" spans="2:20" x14ac:dyDescent="0.2"/>
    <row r="11" spans="2:20" x14ac:dyDescent="0.2"/>
    <row r="12" spans="2:20" x14ac:dyDescent="0.2"/>
    <row r="13" spans="2:20" x14ac:dyDescent="0.2"/>
    <row r="14" spans="2:20" x14ac:dyDescent="0.2"/>
    <row r="15" spans="2:20" ht="16" thickBot="1" x14ac:dyDescent="0.25"/>
    <row r="16" spans="2:20" ht="15" customHeight="1" thickTop="1" x14ac:dyDescent="0.2">
      <c r="B16" s="212" t="s">
        <v>406</v>
      </c>
      <c r="C16" s="213"/>
      <c r="D16" s="61"/>
      <c r="E16" s="218" t="s">
        <v>404</v>
      </c>
      <c r="F16" s="218"/>
      <c r="G16" s="218"/>
      <c r="H16" s="218"/>
      <c r="I16" s="218"/>
      <c r="J16" s="218"/>
      <c r="K16" s="218"/>
      <c r="L16" s="218"/>
      <c r="M16" s="218"/>
      <c r="N16" s="218"/>
      <c r="O16" s="218"/>
      <c r="P16" s="218"/>
      <c r="Q16" s="218"/>
      <c r="R16" s="218"/>
      <c r="S16" s="218"/>
      <c r="T16" s="69"/>
    </row>
    <row r="17" spans="2:20" x14ac:dyDescent="0.2">
      <c r="B17" s="214"/>
      <c r="C17" s="215"/>
      <c r="D17" s="10"/>
      <c r="E17" s="209"/>
      <c r="F17" s="209"/>
      <c r="G17" s="209"/>
      <c r="H17" s="209"/>
      <c r="I17" s="209"/>
      <c r="J17" s="209"/>
      <c r="K17" s="209"/>
      <c r="L17" s="209"/>
      <c r="M17" s="209"/>
      <c r="N17" s="209"/>
      <c r="O17" s="209"/>
      <c r="P17" s="209"/>
      <c r="Q17" s="209"/>
      <c r="R17" s="209"/>
      <c r="S17" s="209"/>
      <c r="T17" s="70"/>
    </row>
    <row r="18" spans="2:20" ht="16" thickBot="1" x14ac:dyDescent="0.25">
      <c r="B18" s="216"/>
      <c r="C18" s="217"/>
      <c r="D18" s="74"/>
      <c r="E18" s="219"/>
      <c r="F18" s="219"/>
      <c r="G18" s="219"/>
      <c r="H18" s="219"/>
      <c r="I18" s="219"/>
      <c r="J18" s="219"/>
      <c r="K18" s="219"/>
      <c r="L18" s="219"/>
      <c r="M18" s="219"/>
      <c r="N18" s="219"/>
      <c r="O18" s="219"/>
      <c r="P18" s="219"/>
      <c r="Q18" s="219"/>
      <c r="R18" s="219"/>
      <c r="S18" s="219"/>
      <c r="T18" s="75"/>
    </row>
    <row r="19" spans="2:20" ht="55" customHeight="1" thickTop="1" x14ac:dyDescent="0.2">
      <c r="B19" s="212" t="s">
        <v>230</v>
      </c>
      <c r="C19" s="213"/>
      <c r="D19" s="61"/>
      <c r="E19" s="221" t="s">
        <v>516</v>
      </c>
      <c r="F19" s="221"/>
      <c r="G19" s="221"/>
      <c r="H19" s="221"/>
      <c r="I19" s="221"/>
      <c r="J19" s="221"/>
      <c r="K19" s="221"/>
      <c r="L19" s="221"/>
      <c r="M19" s="221"/>
      <c r="N19" s="221"/>
      <c r="O19" s="221"/>
      <c r="P19" s="221"/>
      <c r="Q19" s="221"/>
      <c r="R19" s="221"/>
      <c r="S19" s="221"/>
      <c r="T19" s="76"/>
    </row>
    <row r="20" spans="2:20" ht="14.5" customHeight="1" thickBot="1" x14ac:dyDescent="0.25">
      <c r="B20" s="77"/>
      <c r="C20" s="96"/>
      <c r="D20" s="78"/>
      <c r="E20" s="79"/>
      <c r="F20" s="79"/>
      <c r="G20" s="79"/>
      <c r="H20" s="79"/>
      <c r="I20" s="79"/>
      <c r="J20" s="79"/>
      <c r="K20" s="79"/>
      <c r="L20" s="79"/>
      <c r="M20" s="79"/>
      <c r="N20" s="79"/>
      <c r="O20" s="79"/>
      <c r="P20" s="79"/>
      <c r="Q20" s="79"/>
      <c r="R20" s="79"/>
      <c r="S20" s="79"/>
      <c r="T20" s="80"/>
    </row>
    <row r="21" spans="2:20" ht="14.5" customHeight="1" thickTop="1" x14ac:dyDescent="0.2">
      <c r="B21" s="81"/>
      <c r="C21" s="97"/>
      <c r="D21" s="82"/>
      <c r="E21" s="83"/>
      <c r="F21" s="83"/>
      <c r="G21" s="83"/>
      <c r="H21" s="83"/>
      <c r="I21" s="83"/>
      <c r="J21" s="83"/>
      <c r="K21" s="83"/>
      <c r="L21" s="83"/>
      <c r="M21" s="83"/>
      <c r="N21" s="83"/>
      <c r="O21" s="83"/>
      <c r="P21" s="83"/>
      <c r="Q21" s="83"/>
      <c r="R21" s="83"/>
      <c r="S21" s="83"/>
      <c r="T21" s="84"/>
    </row>
    <row r="22" spans="2:20" ht="74.5" customHeight="1" x14ac:dyDescent="0.2">
      <c r="B22" s="214" t="s">
        <v>407</v>
      </c>
      <c r="C22" s="215"/>
      <c r="D22" s="10"/>
      <c r="E22" s="220" t="s">
        <v>409</v>
      </c>
      <c r="F22" s="220"/>
      <c r="G22" s="220"/>
      <c r="H22" s="220"/>
      <c r="I22" s="220"/>
      <c r="J22" s="220"/>
      <c r="K22" s="220"/>
      <c r="L22" s="220"/>
      <c r="M22" s="220"/>
      <c r="N22" s="220"/>
      <c r="O22" s="220"/>
      <c r="P22" s="220"/>
      <c r="Q22" s="220"/>
      <c r="R22" s="220"/>
      <c r="S22" s="220"/>
      <c r="T22" s="71"/>
    </row>
    <row r="23" spans="2:20" ht="83.5" customHeight="1" x14ac:dyDescent="0.2">
      <c r="B23" s="214"/>
      <c r="C23" s="215"/>
      <c r="D23" s="10"/>
      <c r="E23" s="208" t="s">
        <v>405</v>
      </c>
      <c r="F23" s="208"/>
      <c r="G23" s="208"/>
      <c r="H23" s="208"/>
      <c r="I23" s="208"/>
      <c r="J23" s="208"/>
      <c r="K23" s="208"/>
      <c r="L23" s="208"/>
      <c r="M23" s="208"/>
      <c r="N23" s="208"/>
      <c r="O23" s="208"/>
      <c r="P23" s="208"/>
      <c r="Q23" s="208"/>
      <c r="R23" s="208"/>
      <c r="S23" s="208"/>
      <c r="T23" s="72"/>
    </row>
    <row r="24" spans="2:20" ht="97.5" customHeight="1" x14ac:dyDescent="0.2">
      <c r="B24" s="214"/>
      <c r="C24" s="215"/>
      <c r="D24" s="10"/>
      <c r="E24" s="208" t="s">
        <v>408</v>
      </c>
      <c r="F24" s="208"/>
      <c r="G24" s="208"/>
      <c r="H24" s="208"/>
      <c r="I24" s="208"/>
      <c r="J24" s="208"/>
      <c r="K24" s="208"/>
      <c r="L24" s="208"/>
      <c r="M24" s="208"/>
      <c r="N24" s="208"/>
      <c r="O24" s="208"/>
      <c r="P24" s="208"/>
      <c r="Q24" s="208"/>
      <c r="R24" s="208"/>
      <c r="S24" s="208"/>
      <c r="T24" s="72"/>
    </row>
    <row r="25" spans="2:20" ht="14" customHeight="1" thickBot="1" x14ac:dyDescent="0.25">
      <c r="B25" s="85"/>
      <c r="C25" s="75"/>
      <c r="D25" s="74"/>
      <c r="E25" s="86"/>
      <c r="F25" s="86"/>
      <c r="G25" s="86"/>
      <c r="H25" s="86"/>
      <c r="I25" s="86"/>
      <c r="J25" s="86"/>
      <c r="K25" s="86"/>
      <c r="L25" s="86"/>
      <c r="M25" s="86"/>
      <c r="N25" s="86"/>
      <c r="O25" s="86"/>
      <c r="P25" s="86"/>
      <c r="Q25" s="86"/>
      <c r="R25" s="86"/>
      <c r="S25" s="86"/>
      <c r="T25" s="87"/>
    </row>
    <row r="26" spans="2:20" ht="16" thickTop="1" x14ac:dyDescent="0.2">
      <c r="B26" s="88"/>
      <c r="C26" s="97"/>
      <c r="D26" s="82"/>
      <c r="E26" s="82"/>
      <c r="F26" s="82"/>
      <c r="G26" s="82"/>
      <c r="H26" s="82"/>
      <c r="I26" s="82"/>
      <c r="J26" s="82"/>
      <c r="K26" s="82"/>
      <c r="L26" s="82"/>
      <c r="M26" s="82"/>
      <c r="N26" s="82"/>
      <c r="O26" s="82"/>
      <c r="P26" s="82"/>
      <c r="Q26" s="82"/>
      <c r="R26" s="82"/>
      <c r="S26" s="89"/>
      <c r="T26" s="90"/>
    </row>
    <row r="27" spans="2:20" ht="148" customHeight="1" x14ac:dyDescent="0.2">
      <c r="B27" s="203" t="s">
        <v>410</v>
      </c>
      <c r="C27" s="204"/>
      <c r="D27" s="8"/>
      <c r="E27" s="208" t="s">
        <v>885</v>
      </c>
      <c r="F27" s="208"/>
      <c r="G27" s="208"/>
      <c r="H27" s="208"/>
      <c r="I27" s="208"/>
      <c r="J27" s="208"/>
      <c r="K27" s="208"/>
      <c r="L27" s="208"/>
      <c r="M27" s="208"/>
      <c r="N27" s="208"/>
      <c r="O27" s="208"/>
      <c r="P27" s="208"/>
      <c r="Q27" s="208"/>
      <c r="R27" s="208"/>
      <c r="S27" s="208"/>
      <c r="T27" s="72"/>
    </row>
    <row r="28" spans="2:20" ht="13.5" customHeight="1" thickBot="1" x14ac:dyDescent="0.25">
      <c r="B28" s="91"/>
      <c r="C28" s="98"/>
      <c r="D28" s="92"/>
      <c r="E28" s="86"/>
      <c r="F28" s="86"/>
      <c r="G28" s="86"/>
      <c r="H28" s="86"/>
      <c r="I28" s="86"/>
      <c r="J28" s="86"/>
      <c r="K28" s="86"/>
      <c r="L28" s="86"/>
      <c r="M28" s="86"/>
      <c r="N28" s="86"/>
      <c r="O28" s="86"/>
      <c r="P28" s="86"/>
      <c r="Q28" s="86"/>
      <c r="R28" s="86"/>
      <c r="S28" s="86"/>
      <c r="T28" s="87"/>
    </row>
    <row r="29" spans="2:20" ht="17" thickTop="1" thickBot="1" x14ac:dyDescent="0.25">
      <c r="B29" s="88"/>
      <c r="C29" s="97"/>
      <c r="D29" s="82"/>
      <c r="E29" s="82"/>
      <c r="F29" s="82"/>
      <c r="G29" s="82"/>
      <c r="H29" s="82"/>
      <c r="I29" s="82"/>
      <c r="J29" s="82"/>
      <c r="K29" s="82"/>
      <c r="L29" s="82"/>
      <c r="M29" s="82"/>
      <c r="N29" s="82"/>
      <c r="O29" s="82"/>
      <c r="P29" s="82"/>
      <c r="Q29" s="82"/>
      <c r="R29" s="82"/>
      <c r="S29" s="89"/>
      <c r="T29" s="90"/>
    </row>
    <row r="30" spans="2:20" ht="17" thickTop="1" thickBot="1" x14ac:dyDescent="0.25">
      <c r="B30" s="203" t="s">
        <v>418</v>
      </c>
      <c r="C30" s="204"/>
      <c r="D30" s="8"/>
      <c r="E30" s="209" t="s">
        <v>419</v>
      </c>
      <c r="F30" s="209"/>
      <c r="G30" s="209"/>
      <c r="H30" s="209"/>
      <c r="I30" s="209"/>
      <c r="J30" s="209"/>
      <c r="K30" s="209"/>
      <c r="L30" s="209"/>
      <c r="M30" s="209"/>
      <c r="N30" s="209"/>
      <c r="O30" s="209"/>
      <c r="P30" s="11"/>
      <c r="Q30" s="210" t="s">
        <v>396</v>
      </c>
      <c r="R30" s="211"/>
      <c r="S30" s="7"/>
      <c r="T30" s="64"/>
    </row>
    <row r="31" spans="2:20" ht="16" thickTop="1" x14ac:dyDescent="0.2">
      <c r="B31" s="203"/>
      <c r="C31" s="204"/>
      <c r="D31" s="8"/>
      <c r="E31" s="209"/>
      <c r="F31" s="209"/>
      <c r="G31" s="209"/>
      <c r="H31" s="209"/>
      <c r="I31" s="209"/>
      <c r="J31" s="209"/>
      <c r="K31" s="209"/>
      <c r="L31" s="209"/>
      <c r="M31" s="209"/>
      <c r="N31" s="209"/>
      <c r="O31" s="209"/>
      <c r="P31" s="11"/>
      <c r="Q31" s="63" t="s">
        <v>400</v>
      </c>
      <c r="R31" s="100">
        <v>1.4326647564469914</v>
      </c>
      <c r="S31" s="7"/>
      <c r="T31" s="64"/>
    </row>
    <row r="32" spans="2:20" ht="14.5" customHeight="1" x14ac:dyDescent="0.2">
      <c r="B32" s="203"/>
      <c r="C32" s="204"/>
      <c r="D32" s="8"/>
      <c r="E32" s="209"/>
      <c r="F32" s="209"/>
      <c r="G32" s="209"/>
      <c r="H32" s="209"/>
      <c r="I32" s="209"/>
      <c r="J32" s="209"/>
      <c r="K32" s="209"/>
      <c r="L32" s="209"/>
      <c r="M32" s="209"/>
      <c r="N32" s="209"/>
      <c r="O32" s="209"/>
      <c r="P32" s="9"/>
      <c r="Q32" s="63" t="s">
        <v>401</v>
      </c>
      <c r="R32" s="100">
        <v>2.0408117215309693</v>
      </c>
      <c r="S32" s="7"/>
      <c r="T32" s="64"/>
    </row>
    <row r="33" spans="2:24" x14ac:dyDescent="0.2">
      <c r="B33" s="203"/>
      <c r="C33" s="204"/>
      <c r="D33" s="8"/>
      <c r="E33" s="209"/>
      <c r="F33" s="209"/>
      <c r="G33" s="209"/>
      <c r="H33" s="209"/>
      <c r="I33" s="209"/>
      <c r="J33" s="209"/>
      <c r="K33" s="209"/>
      <c r="L33" s="209"/>
      <c r="M33" s="209"/>
      <c r="N33" s="209"/>
      <c r="O33" s="209"/>
      <c r="P33" s="9"/>
      <c r="Q33" s="63" t="s">
        <v>402</v>
      </c>
      <c r="R33" s="100">
        <v>1.5045789123242672</v>
      </c>
      <c r="S33" s="7"/>
      <c r="T33" s="64"/>
    </row>
    <row r="34" spans="2:24" ht="16" thickBot="1" x14ac:dyDescent="0.25">
      <c r="B34" s="203"/>
      <c r="C34" s="204"/>
      <c r="D34" s="8"/>
      <c r="E34" s="209"/>
      <c r="F34" s="209"/>
      <c r="G34" s="209"/>
      <c r="H34" s="209"/>
      <c r="I34" s="209"/>
      <c r="J34" s="209"/>
      <c r="K34" s="209"/>
      <c r="L34" s="209"/>
      <c r="M34" s="209"/>
      <c r="N34" s="209"/>
      <c r="O34" s="209"/>
      <c r="P34" s="9"/>
      <c r="Q34" s="65" t="s">
        <v>403</v>
      </c>
      <c r="R34" s="101">
        <v>1.1756101852337386</v>
      </c>
      <c r="S34" s="7"/>
      <c r="T34" s="64"/>
    </row>
    <row r="35" spans="2:24" ht="17" thickTop="1" thickBot="1" x14ac:dyDescent="0.25">
      <c r="B35" s="65"/>
      <c r="C35" s="99"/>
      <c r="D35" s="93"/>
      <c r="E35" s="93"/>
      <c r="F35" s="93"/>
      <c r="G35" s="93"/>
      <c r="H35" s="93"/>
      <c r="I35" s="93"/>
      <c r="J35" s="93"/>
      <c r="K35" s="93"/>
      <c r="L35" s="93"/>
      <c r="M35" s="93"/>
      <c r="N35" s="93"/>
      <c r="O35" s="93"/>
      <c r="P35" s="93"/>
      <c r="Q35" s="93"/>
      <c r="R35" s="93"/>
      <c r="S35" s="66"/>
      <c r="T35" s="67"/>
    </row>
    <row r="36" spans="2:24" ht="16" thickTop="1" x14ac:dyDescent="0.2">
      <c r="B36" s="201" t="s">
        <v>420</v>
      </c>
      <c r="C36" s="202"/>
      <c r="D36" s="94"/>
      <c r="E36" s="89"/>
      <c r="F36" s="89"/>
      <c r="G36" s="89"/>
      <c r="H36" s="89"/>
      <c r="I36" s="89"/>
      <c r="J36" s="89"/>
      <c r="K36" s="89"/>
      <c r="L36" s="89"/>
      <c r="M36" s="89"/>
      <c r="N36" s="89"/>
      <c r="O36" s="89"/>
      <c r="P36" s="89"/>
      <c r="Q36" s="89"/>
      <c r="R36" s="89"/>
      <c r="S36" s="89"/>
      <c r="T36" s="90"/>
    </row>
    <row r="37" spans="2:24" x14ac:dyDescent="0.2">
      <c r="B37" s="203"/>
      <c r="C37" s="204"/>
      <c r="D37" s="8"/>
      <c r="E37" s="207" t="s">
        <v>886</v>
      </c>
      <c r="F37" s="207"/>
      <c r="G37" s="207"/>
      <c r="H37" s="207"/>
      <c r="I37" s="207"/>
      <c r="J37" s="207"/>
      <c r="K37" s="207"/>
      <c r="L37" s="207"/>
      <c r="M37" s="207"/>
      <c r="N37" s="207"/>
      <c r="O37" s="207"/>
      <c r="P37" s="207"/>
      <c r="Q37" s="207"/>
      <c r="R37" s="207"/>
      <c r="S37" s="7"/>
      <c r="T37" s="64"/>
    </row>
    <row r="38" spans="2:24" ht="14.5" customHeight="1" thickBot="1" x14ac:dyDescent="0.25">
      <c r="B38" s="205"/>
      <c r="C38" s="206"/>
      <c r="D38" s="92"/>
      <c r="E38" s="197"/>
      <c r="F38" s="197"/>
      <c r="G38" s="197"/>
      <c r="H38" s="197"/>
      <c r="I38" s="197"/>
      <c r="J38" s="197"/>
      <c r="K38" s="197"/>
      <c r="L38" s="197"/>
      <c r="M38" s="197"/>
      <c r="N38" s="197"/>
      <c r="O38" s="197"/>
      <c r="P38" s="197"/>
      <c r="Q38" s="197"/>
      <c r="R38" s="197"/>
      <c r="S38" s="197"/>
      <c r="T38" s="95"/>
    </row>
    <row r="39" spans="2:24" ht="16" thickTop="1" x14ac:dyDescent="0.2">
      <c r="B39" s="63"/>
      <c r="C39" s="62"/>
      <c r="D39" s="13"/>
      <c r="E39" s="13"/>
      <c r="F39" s="13"/>
      <c r="G39" s="13"/>
      <c r="H39" s="13"/>
      <c r="I39" s="13"/>
      <c r="J39" s="13"/>
      <c r="K39" s="13"/>
      <c r="L39" s="13"/>
      <c r="M39" s="13"/>
      <c r="N39" s="13"/>
      <c r="O39" s="13"/>
      <c r="P39" s="7"/>
      <c r="Q39" s="7"/>
      <c r="R39" s="7"/>
      <c r="S39" s="7"/>
      <c r="T39" s="64"/>
    </row>
    <row r="40" spans="2:24" x14ac:dyDescent="0.2">
      <c r="B40" s="199" t="s">
        <v>421</v>
      </c>
      <c r="C40" s="200"/>
      <c r="D40" s="12"/>
      <c r="E40" s="198">
        <v>44232</v>
      </c>
      <c r="F40" s="198"/>
      <c r="G40" s="198"/>
      <c r="H40" s="198"/>
      <c r="I40" s="198"/>
      <c r="J40" s="198"/>
      <c r="K40" s="198"/>
      <c r="L40" s="198"/>
      <c r="M40" s="198"/>
      <c r="N40" s="198"/>
      <c r="O40" s="198"/>
      <c r="P40" s="198"/>
      <c r="Q40" s="198"/>
      <c r="R40" s="198"/>
      <c r="S40" s="198"/>
      <c r="T40" s="73"/>
    </row>
    <row r="41" spans="2:24" ht="16" thickBot="1" x14ac:dyDescent="0.25">
      <c r="B41" s="65"/>
      <c r="C41" s="67"/>
      <c r="D41" s="66"/>
      <c r="E41" s="66"/>
      <c r="F41" s="66"/>
      <c r="G41" s="66"/>
      <c r="H41" s="66"/>
      <c r="I41" s="66"/>
      <c r="J41" s="66"/>
      <c r="K41" s="66"/>
      <c r="L41" s="66"/>
      <c r="M41" s="66"/>
      <c r="N41" s="66"/>
      <c r="O41" s="66"/>
      <c r="P41" s="66"/>
      <c r="Q41" s="66"/>
      <c r="R41" s="66"/>
      <c r="S41" s="66"/>
      <c r="T41" s="67"/>
    </row>
    <row r="42" spans="2:24" ht="16" thickTop="1" x14ac:dyDescent="0.2"/>
    <row r="43" spans="2:24" x14ac:dyDescent="0.2"/>
    <row r="44" spans="2:24" x14ac:dyDescent="0.2"/>
    <row r="45" spans="2:24" x14ac:dyDescent="0.2"/>
    <row r="46" spans="2:24" x14ac:dyDescent="0.2">
      <c r="I46" s="196"/>
      <c r="J46" s="196"/>
      <c r="K46" s="196"/>
      <c r="L46" s="196"/>
      <c r="M46" s="196"/>
      <c r="N46" s="196"/>
      <c r="O46" s="196"/>
      <c r="P46" s="196"/>
      <c r="Q46" s="196"/>
      <c r="R46" s="196"/>
      <c r="S46" s="196"/>
      <c r="T46" s="196"/>
      <c r="U46" s="196"/>
      <c r="V46" s="196"/>
      <c r="W46" s="196"/>
      <c r="X46" s="196"/>
    </row>
    <row r="47" spans="2:24" x14ac:dyDescent="0.2"/>
    <row r="48" spans="2:24" x14ac:dyDescent="0.2"/>
    <row r="49" x14ac:dyDescent="0.2"/>
    <row r="50" x14ac:dyDescent="0.2"/>
    <row r="51" x14ac:dyDescent="0.2"/>
  </sheetData>
  <mergeCells count="20">
    <mergeCell ref="B16:C18"/>
    <mergeCell ref="E16:S18"/>
    <mergeCell ref="E22:S22"/>
    <mergeCell ref="E23:S23"/>
    <mergeCell ref="B22:C24"/>
    <mergeCell ref="E24:S24"/>
    <mergeCell ref="B19:C19"/>
    <mergeCell ref="E19:S19"/>
    <mergeCell ref="B27:C27"/>
    <mergeCell ref="E27:S27"/>
    <mergeCell ref="E30:O34"/>
    <mergeCell ref="Q30:R30"/>
    <mergeCell ref="B30:C32"/>
    <mergeCell ref="B33:C34"/>
    <mergeCell ref="I46:X46"/>
    <mergeCell ref="E38:S38"/>
    <mergeCell ref="E40:S40"/>
    <mergeCell ref="B40:C40"/>
    <mergeCell ref="B36:C38"/>
    <mergeCell ref="E37:R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09F0-FD2B-4D2E-AA9C-458747BA40BE}">
  <sheetPr>
    <tabColor theme="4" tint="0.59999389629810485"/>
  </sheetPr>
  <dimension ref="B1:Q80"/>
  <sheetViews>
    <sheetView topLeftCell="A5" zoomScale="130" zoomScaleNormal="130" workbookViewId="0">
      <selection activeCell="B8" sqref="B8"/>
    </sheetView>
  </sheetViews>
  <sheetFormatPr baseColWidth="10" defaultColWidth="0" defaultRowHeight="15" zeroHeight="1" x14ac:dyDescent="0.2"/>
  <cols>
    <col min="1" max="1" width="8.6640625" style="6" customWidth="1"/>
    <col min="2" max="2" width="45.5" customWidth="1"/>
    <col min="3" max="17" width="14.33203125" customWidth="1"/>
    <col min="18" max="21" width="8.6640625" style="6" customWidth="1"/>
    <col min="22" max="16384" width="0" style="6" hidden="1"/>
  </cols>
  <sheetData>
    <row r="1" spans="2:17" ht="16" thickBot="1" x14ac:dyDescent="0.25">
      <c r="B1" s="6"/>
      <c r="C1" s="6"/>
      <c r="D1" s="6"/>
      <c r="E1" s="6"/>
      <c r="F1" s="6"/>
      <c r="G1" s="6"/>
      <c r="H1" s="6"/>
      <c r="I1" s="6"/>
      <c r="J1" s="6"/>
      <c r="K1" s="6"/>
      <c r="L1" s="6"/>
      <c r="M1" s="6"/>
      <c r="N1" s="6"/>
      <c r="O1" s="6"/>
      <c r="P1" s="6"/>
      <c r="Q1" s="6"/>
    </row>
    <row r="2" spans="2:17" ht="23" customHeight="1" thickTop="1" thickBot="1" x14ac:dyDescent="0.25">
      <c r="B2" s="40" t="s">
        <v>517</v>
      </c>
      <c r="C2" s="237" t="s">
        <v>230</v>
      </c>
      <c r="D2" s="237"/>
      <c r="E2" s="237"/>
      <c r="F2" s="237"/>
      <c r="G2" s="237"/>
      <c r="H2" s="237"/>
      <c r="I2" s="237"/>
      <c r="J2" s="237"/>
      <c r="K2" s="237"/>
      <c r="L2" s="237"/>
      <c r="M2" s="237"/>
      <c r="N2" s="237"/>
      <c r="O2" s="237"/>
      <c r="P2" s="237"/>
      <c r="Q2" s="238"/>
    </row>
    <row r="3" spans="2:17" ht="16" thickTop="1" x14ac:dyDescent="0.2">
      <c r="B3" s="41" t="s">
        <v>451</v>
      </c>
      <c r="C3" s="225" t="s">
        <v>422</v>
      </c>
      <c r="D3" s="226"/>
      <c r="E3" s="226"/>
      <c r="F3" s="226"/>
      <c r="G3" s="226"/>
      <c r="H3" s="226"/>
      <c r="I3" s="226"/>
      <c r="J3" s="226"/>
      <c r="K3" s="226"/>
      <c r="L3" s="226"/>
      <c r="M3" s="226"/>
      <c r="N3" s="226"/>
      <c r="O3" s="226"/>
      <c r="P3" s="226"/>
      <c r="Q3" s="227"/>
    </row>
    <row r="4" spans="2:17" x14ac:dyDescent="0.2">
      <c r="B4" s="42" t="s">
        <v>0</v>
      </c>
      <c r="C4" s="222" t="s">
        <v>423</v>
      </c>
      <c r="D4" s="223"/>
      <c r="E4" s="223"/>
      <c r="F4" s="223"/>
      <c r="G4" s="223"/>
      <c r="H4" s="223"/>
      <c r="I4" s="223"/>
      <c r="J4" s="223"/>
      <c r="K4" s="223"/>
      <c r="L4" s="223"/>
      <c r="M4" s="223"/>
      <c r="N4" s="223"/>
      <c r="O4" s="223"/>
      <c r="P4" s="223"/>
      <c r="Q4" s="224"/>
    </row>
    <row r="5" spans="2:17" x14ac:dyDescent="0.2">
      <c r="B5" s="42" t="s">
        <v>452</v>
      </c>
      <c r="C5" s="222" t="s">
        <v>424</v>
      </c>
      <c r="D5" s="223"/>
      <c r="E5" s="223"/>
      <c r="F5" s="223"/>
      <c r="G5" s="223"/>
      <c r="H5" s="223"/>
      <c r="I5" s="223"/>
      <c r="J5" s="223"/>
      <c r="K5" s="223"/>
      <c r="L5" s="223"/>
      <c r="M5" s="223"/>
      <c r="N5" s="223"/>
      <c r="O5" s="223"/>
      <c r="P5" s="223"/>
      <c r="Q5" s="224"/>
    </row>
    <row r="6" spans="2:17" x14ac:dyDescent="0.2">
      <c r="B6" s="42" t="s">
        <v>89</v>
      </c>
      <c r="C6" s="222" t="s">
        <v>425</v>
      </c>
      <c r="D6" s="223"/>
      <c r="E6" s="223"/>
      <c r="F6" s="223"/>
      <c r="G6" s="223"/>
      <c r="H6" s="223"/>
      <c r="I6" s="223"/>
      <c r="J6" s="223"/>
      <c r="K6" s="223"/>
      <c r="L6" s="223"/>
      <c r="M6" s="223"/>
      <c r="N6" s="223"/>
      <c r="O6" s="223"/>
      <c r="P6" s="223"/>
      <c r="Q6" s="224"/>
    </row>
    <row r="7" spans="2:17" x14ac:dyDescent="0.2">
      <c r="B7" s="42" t="s">
        <v>90</v>
      </c>
      <c r="C7" s="222" t="s">
        <v>518</v>
      </c>
      <c r="D7" s="223"/>
      <c r="E7" s="223"/>
      <c r="F7" s="223"/>
      <c r="G7" s="223"/>
      <c r="H7" s="223"/>
      <c r="I7" s="223"/>
      <c r="J7" s="223"/>
      <c r="K7" s="223"/>
      <c r="L7" s="223"/>
      <c r="M7" s="223"/>
      <c r="N7" s="223"/>
      <c r="O7" s="223"/>
      <c r="P7" s="223"/>
      <c r="Q7" s="224"/>
    </row>
    <row r="8" spans="2:17" x14ac:dyDescent="0.2">
      <c r="B8" s="42" t="s">
        <v>453</v>
      </c>
      <c r="C8" s="222" t="s">
        <v>426</v>
      </c>
      <c r="D8" s="223"/>
      <c r="E8" s="223"/>
      <c r="F8" s="223"/>
      <c r="G8" s="223"/>
      <c r="H8" s="223"/>
      <c r="I8" s="223"/>
      <c r="J8" s="223"/>
      <c r="K8" s="223"/>
      <c r="L8" s="223"/>
      <c r="M8" s="223"/>
      <c r="N8" s="223"/>
      <c r="O8" s="223"/>
      <c r="P8" s="223"/>
      <c r="Q8" s="224"/>
    </row>
    <row r="9" spans="2:17" x14ac:dyDescent="0.2">
      <c r="B9" s="42" t="s">
        <v>145</v>
      </c>
      <c r="C9" s="222" t="s">
        <v>428</v>
      </c>
      <c r="D9" s="223"/>
      <c r="E9" s="223"/>
      <c r="F9" s="223"/>
      <c r="G9" s="223"/>
      <c r="H9" s="223"/>
      <c r="I9" s="223"/>
      <c r="J9" s="223"/>
      <c r="K9" s="223"/>
      <c r="L9" s="223"/>
      <c r="M9" s="223"/>
      <c r="N9" s="223"/>
      <c r="O9" s="223"/>
      <c r="P9" s="223"/>
      <c r="Q9" s="224"/>
    </row>
    <row r="10" spans="2:17" x14ac:dyDescent="0.2">
      <c r="B10" s="42" t="s">
        <v>158</v>
      </c>
      <c r="C10" s="222" t="s">
        <v>427</v>
      </c>
      <c r="D10" s="223"/>
      <c r="E10" s="223"/>
      <c r="F10" s="223"/>
      <c r="G10" s="223"/>
      <c r="H10" s="223"/>
      <c r="I10" s="223"/>
      <c r="J10" s="223"/>
      <c r="K10" s="223"/>
      <c r="L10" s="223"/>
      <c r="M10" s="223"/>
      <c r="N10" s="223"/>
      <c r="O10" s="223"/>
      <c r="P10" s="223"/>
      <c r="Q10" s="224"/>
    </row>
    <row r="11" spans="2:17" x14ac:dyDescent="0.2">
      <c r="B11" s="42" t="s">
        <v>454</v>
      </c>
      <c r="C11" s="222" t="s">
        <v>429</v>
      </c>
      <c r="D11" s="223"/>
      <c r="E11" s="223"/>
      <c r="F11" s="223"/>
      <c r="G11" s="223"/>
      <c r="H11" s="223"/>
      <c r="I11" s="223"/>
      <c r="J11" s="223"/>
      <c r="K11" s="223"/>
      <c r="L11" s="223"/>
      <c r="M11" s="223"/>
      <c r="N11" s="223"/>
      <c r="O11" s="223"/>
      <c r="P11" s="223"/>
      <c r="Q11" s="224"/>
    </row>
    <row r="12" spans="2:17" x14ac:dyDescent="0.2">
      <c r="B12" s="42" t="s">
        <v>455</v>
      </c>
      <c r="C12" s="222" t="s">
        <v>430</v>
      </c>
      <c r="D12" s="223"/>
      <c r="E12" s="223"/>
      <c r="F12" s="223"/>
      <c r="G12" s="223"/>
      <c r="H12" s="223"/>
      <c r="I12" s="223"/>
      <c r="J12" s="223"/>
      <c r="K12" s="223"/>
      <c r="L12" s="223"/>
      <c r="M12" s="223"/>
      <c r="N12" s="223"/>
      <c r="O12" s="223"/>
      <c r="P12" s="223"/>
      <c r="Q12" s="224"/>
    </row>
    <row r="13" spans="2:17" x14ac:dyDescent="0.2">
      <c r="B13" s="42" t="s">
        <v>456</v>
      </c>
      <c r="C13" s="222" t="s">
        <v>431</v>
      </c>
      <c r="D13" s="223"/>
      <c r="E13" s="223"/>
      <c r="F13" s="223"/>
      <c r="G13" s="223"/>
      <c r="H13" s="223"/>
      <c r="I13" s="223"/>
      <c r="J13" s="223"/>
      <c r="K13" s="223"/>
      <c r="L13" s="223"/>
      <c r="M13" s="223"/>
      <c r="N13" s="223"/>
      <c r="O13" s="223"/>
      <c r="P13" s="223"/>
      <c r="Q13" s="224"/>
    </row>
    <row r="14" spans="2:17" x14ac:dyDescent="0.2">
      <c r="B14" s="42" t="s">
        <v>220</v>
      </c>
      <c r="C14" s="222" t="s">
        <v>432</v>
      </c>
      <c r="D14" s="223"/>
      <c r="E14" s="223"/>
      <c r="F14" s="223"/>
      <c r="G14" s="223"/>
      <c r="H14" s="223"/>
      <c r="I14" s="223"/>
      <c r="J14" s="223"/>
      <c r="K14" s="223"/>
      <c r="L14" s="223"/>
      <c r="M14" s="223"/>
      <c r="N14" s="223"/>
      <c r="O14" s="223"/>
      <c r="P14" s="223"/>
      <c r="Q14" s="224"/>
    </row>
    <row r="15" spans="2:17" x14ac:dyDescent="0.2">
      <c r="B15" s="42" t="s">
        <v>221</v>
      </c>
      <c r="C15" s="222" t="s">
        <v>433</v>
      </c>
      <c r="D15" s="223"/>
      <c r="E15" s="223"/>
      <c r="F15" s="223"/>
      <c r="G15" s="223"/>
      <c r="H15" s="223"/>
      <c r="I15" s="223"/>
      <c r="J15" s="223"/>
      <c r="K15" s="223"/>
      <c r="L15" s="223"/>
      <c r="M15" s="223"/>
      <c r="N15" s="223"/>
      <c r="O15" s="223"/>
      <c r="P15" s="223"/>
      <c r="Q15" s="224"/>
    </row>
    <row r="16" spans="2:17" x14ac:dyDescent="0.2">
      <c r="B16" s="42" t="s">
        <v>457</v>
      </c>
      <c r="C16" s="222" t="s">
        <v>434</v>
      </c>
      <c r="D16" s="223"/>
      <c r="E16" s="223"/>
      <c r="F16" s="223"/>
      <c r="G16" s="223"/>
      <c r="H16" s="223"/>
      <c r="I16" s="223"/>
      <c r="J16" s="223"/>
      <c r="K16" s="223"/>
      <c r="L16" s="223"/>
      <c r="M16" s="223"/>
      <c r="N16" s="223"/>
      <c r="O16" s="223"/>
      <c r="P16" s="223"/>
      <c r="Q16" s="224"/>
    </row>
    <row r="17" spans="2:17" x14ac:dyDescent="0.2">
      <c r="B17" s="42" t="s">
        <v>222</v>
      </c>
      <c r="C17" s="222" t="s">
        <v>435</v>
      </c>
      <c r="D17" s="223"/>
      <c r="E17" s="223"/>
      <c r="F17" s="223"/>
      <c r="G17" s="223"/>
      <c r="H17" s="223"/>
      <c r="I17" s="223"/>
      <c r="J17" s="223"/>
      <c r="K17" s="223"/>
      <c r="L17" s="223"/>
      <c r="M17" s="223"/>
      <c r="N17" s="223"/>
      <c r="O17" s="223"/>
      <c r="P17" s="223"/>
      <c r="Q17" s="224"/>
    </row>
    <row r="18" spans="2:17" x14ac:dyDescent="0.2">
      <c r="B18" s="42" t="s">
        <v>223</v>
      </c>
      <c r="C18" s="222" t="s">
        <v>519</v>
      </c>
      <c r="D18" s="223"/>
      <c r="E18" s="223"/>
      <c r="F18" s="223"/>
      <c r="G18" s="223"/>
      <c r="H18" s="223"/>
      <c r="I18" s="223"/>
      <c r="J18" s="223"/>
      <c r="K18" s="223"/>
      <c r="L18" s="223"/>
      <c r="M18" s="223"/>
      <c r="N18" s="223"/>
      <c r="O18" s="223"/>
      <c r="P18" s="223"/>
      <c r="Q18" s="224"/>
    </row>
    <row r="19" spans="2:17" x14ac:dyDescent="0.2">
      <c r="B19" s="42" t="s">
        <v>458</v>
      </c>
      <c r="C19" s="222" t="s">
        <v>436</v>
      </c>
      <c r="D19" s="223"/>
      <c r="E19" s="223"/>
      <c r="F19" s="223"/>
      <c r="G19" s="223"/>
      <c r="H19" s="223"/>
      <c r="I19" s="223"/>
      <c r="J19" s="223"/>
      <c r="K19" s="223"/>
      <c r="L19" s="223"/>
      <c r="M19" s="223"/>
      <c r="N19" s="223"/>
      <c r="O19" s="223"/>
      <c r="P19" s="223"/>
      <c r="Q19" s="224"/>
    </row>
    <row r="20" spans="2:17" x14ac:dyDescent="0.2">
      <c r="B20" s="42" t="s">
        <v>230</v>
      </c>
      <c r="C20" s="222" t="s">
        <v>437</v>
      </c>
      <c r="D20" s="223"/>
      <c r="E20" s="223"/>
      <c r="F20" s="223"/>
      <c r="G20" s="223"/>
      <c r="H20" s="223"/>
      <c r="I20" s="223"/>
      <c r="J20" s="223"/>
      <c r="K20" s="223"/>
      <c r="L20" s="223"/>
      <c r="M20" s="223"/>
      <c r="N20" s="223"/>
      <c r="O20" s="223"/>
      <c r="P20" s="223"/>
      <c r="Q20" s="224"/>
    </row>
    <row r="21" spans="2:17" x14ac:dyDescent="0.2">
      <c r="B21" s="42" t="s">
        <v>459</v>
      </c>
      <c r="C21" s="222" t="s">
        <v>438</v>
      </c>
      <c r="D21" s="223"/>
      <c r="E21" s="223"/>
      <c r="F21" s="223"/>
      <c r="G21" s="223"/>
      <c r="H21" s="223"/>
      <c r="I21" s="223"/>
      <c r="J21" s="223"/>
      <c r="K21" s="223"/>
      <c r="L21" s="223"/>
      <c r="M21" s="223"/>
      <c r="N21" s="223"/>
      <c r="O21" s="223"/>
      <c r="P21" s="223"/>
      <c r="Q21" s="224"/>
    </row>
    <row r="22" spans="2:17" x14ac:dyDescent="0.2">
      <c r="B22" s="42" t="s">
        <v>461</v>
      </c>
      <c r="C22" s="222" t="s">
        <v>439</v>
      </c>
      <c r="D22" s="223"/>
      <c r="E22" s="223"/>
      <c r="F22" s="223"/>
      <c r="G22" s="223"/>
      <c r="H22" s="223"/>
      <c r="I22" s="223"/>
      <c r="J22" s="223"/>
      <c r="K22" s="223"/>
      <c r="L22" s="223"/>
      <c r="M22" s="223"/>
      <c r="N22" s="223"/>
      <c r="O22" s="223"/>
      <c r="P22" s="223"/>
      <c r="Q22" s="224"/>
    </row>
    <row r="23" spans="2:17" ht="31.5" customHeight="1" x14ac:dyDescent="0.2">
      <c r="B23" s="42" t="s">
        <v>465</v>
      </c>
      <c r="C23" s="228" t="s">
        <v>440</v>
      </c>
      <c r="D23" s="229"/>
      <c r="E23" s="229"/>
      <c r="F23" s="229"/>
      <c r="G23" s="229"/>
      <c r="H23" s="229"/>
      <c r="I23" s="229"/>
      <c r="J23" s="229"/>
      <c r="K23" s="229"/>
      <c r="L23" s="229"/>
      <c r="M23" s="229"/>
      <c r="N23" s="229"/>
      <c r="O23" s="229"/>
      <c r="P23" s="229"/>
      <c r="Q23" s="230"/>
    </row>
    <row r="24" spans="2:17" x14ac:dyDescent="0.2">
      <c r="B24" s="42" t="s">
        <v>398</v>
      </c>
      <c r="C24" s="222" t="s">
        <v>442</v>
      </c>
      <c r="D24" s="223"/>
      <c r="E24" s="223"/>
      <c r="F24" s="223"/>
      <c r="G24" s="223"/>
      <c r="H24" s="223"/>
      <c r="I24" s="223"/>
      <c r="J24" s="223"/>
      <c r="K24" s="223"/>
      <c r="L24" s="223"/>
      <c r="M24" s="223"/>
      <c r="N24" s="223"/>
      <c r="O24" s="223"/>
      <c r="P24" s="223"/>
      <c r="Q24" s="224"/>
    </row>
    <row r="25" spans="2:17" ht="32" customHeight="1" x14ac:dyDescent="0.2">
      <c r="B25" s="42" t="s">
        <v>397</v>
      </c>
      <c r="C25" s="228" t="s">
        <v>441</v>
      </c>
      <c r="D25" s="229"/>
      <c r="E25" s="229"/>
      <c r="F25" s="229"/>
      <c r="G25" s="229"/>
      <c r="H25" s="229"/>
      <c r="I25" s="229"/>
      <c r="J25" s="229"/>
      <c r="K25" s="229"/>
      <c r="L25" s="229"/>
      <c r="M25" s="229"/>
      <c r="N25" s="229"/>
      <c r="O25" s="229"/>
      <c r="P25" s="229"/>
      <c r="Q25" s="230"/>
    </row>
    <row r="26" spans="2:17" x14ac:dyDescent="0.2">
      <c r="B26" s="42" t="s">
        <v>466</v>
      </c>
      <c r="C26" s="222" t="s">
        <v>515</v>
      </c>
      <c r="D26" s="223"/>
      <c r="E26" s="223"/>
      <c r="F26" s="223"/>
      <c r="G26" s="223"/>
      <c r="H26" s="223"/>
      <c r="I26" s="223"/>
      <c r="J26" s="223"/>
      <c r="K26" s="223"/>
      <c r="L26" s="223"/>
      <c r="M26" s="223"/>
      <c r="N26" s="223"/>
      <c r="O26" s="223"/>
      <c r="P26" s="223"/>
      <c r="Q26" s="224"/>
    </row>
    <row r="27" spans="2:17" x14ac:dyDescent="0.2">
      <c r="B27" s="42" t="s">
        <v>513</v>
      </c>
      <c r="C27" s="231" t="s">
        <v>520</v>
      </c>
      <c r="D27" s="232"/>
      <c r="E27" s="232"/>
      <c r="F27" s="232"/>
      <c r="G27" s="232"/>
      <c r="H27" s="232"/>
      <c r="I27" s="232"/>
      <c r="J27" s="232"/>
      <c r="K27" s="232"/>
      <c r="L27" s="232"/>
      <c r="M27" s="232"/>
      <c r="N27" s="232"/>
      <c r="O27" s="232"/>
      <c r="P27" s="232"/>
      <c r="Q27" s="233"/>
    </row>
    <row r="28" spans="2:17" x14ac:dyDescent="0.2">
      <c r="B28" s="42" t="s">
        <v>444</v>
      </c>
      <c r="C28" s="222" t="s">
        <v>443</v>
      </c>
      <c r="D28" s="223"/>
      <c r="E28" s="223"/>
      <c r="F28" s="223"/>
      <c r="G28" s="223"/>
      <c r="H28" s="223"/>
      <c r="I28" s="223"/>
      <c r="J28" s="223"/>
      <c r="K28" s="223"/>
      <c r="L28" s="223"/>
      <c r="M28" s="223"/>
      <c r="N28" s="223"/>
      <c r="O28" s="223"/>
      <c r="P28" s="223"/>
      <c r="Q28" s="224"/>
    </row>
    <row r="29" spans="2:17" x14ac:dyDescent="0.2">
      <c r="B29" s="42" t="s">
        <v>445</v>
      </c>
      <c r="C29" s="222" t="s">
        <v>521</v>
      </c>
      <c r="D29" s="223"/>
      <c r="E29" s="223"/>
      <c r="F29" s="223"/>
      <c r="G29" s="223"/>
      <c r="H29" s="223"/>
      <c r="I29" s="223"/>
      <c r="J29" s="223"/>
      <c r="K29" s="223"/>
      <c r="L29" s="223"/>
      <c r="M29" s="223"/>
      <c r="N29" s="223"/>
      <c r="O29" s="223"/>
      <c r="P29" s="223"/>
      <c r="Q29" s="224"/>
    </row>
    <row r="30" spans="2:17" x14ac:dyDescent="0.2">
      <c r="B30" s="42" t="s">
        <v>468</v>
      </c>
      <c r="C30" s="222" t="s">
        <v>446</v>
      </c>
      <c r="D30" s="223"/>
      <c r="E30" s="223"/>
      <c r="F30" s="223"/>
      <c r="G30" s="223"/>
      <c r="H30" s="223"/>
      <c r="I30" s="223"/>
      <c r="J30" s="223"/>
      <c r="K30" s="223"/>
      <c r="L30" s="223"/>
      <c r="M30" s="223"/>
      <c r="N30" s="223"/>
      <c r="O30" s="223"/>
      <c r="P30" s="223"/>
      <c r="Q30" s="224"/>
    </row>
    <row r="31" spans="2:17" x14ac:dyDescent="0.2">
      <c r="B31" s="42" t="s">
        <v>467</v>
      </c>
      <c r="C31" s="222" t="s">
        <v>529</v>
      </c>
      <c r="D31" s="223"/>
      <c r="E31" s="223"/>
      <c r="F31" s="223"/>
      <c r="G31" s="223"/>
      <c r="H31" s="223"/>
      <c r="I31" s="223"/>
      <c r="J31" s="223"/>
      <c r="K31" s="223"/>
      <c r="L31" s="223"/>
      <c r="M31" s="223"/>
      <c r="N31" s="223"/>
      <c r="O31" s="223"/>
      <c r="P31" s="223"/>
      <c r="Q31" s="224"/>
    </row>
    <row r="32" spans="2:17" x14ac:dyDescent="0.2">
      <c r="B32" s="42" t="s">
        <v>476</v>
      </c>
      <c r="C32" s="222" t="s">
        <v>522</v>
      </c>
      <c r="D32" s="223"/>
      <c r="E32" s="223"/>
      <c r="F32" s="223"/>
      <c r="G32" s="223"/>
      <c r="H32" s="223"/>
      <c r="I32" s="223"/>
      <c r="J32" s="223"/>
      <c r="K32" s="223"/>
      <c r="L32" s="223"/>
      <c r="M32" s="223"/>
      <c r="N32" s="223"/>
      <c r="O32" s="223"/>
      <c r="P32" s="223"/>
      <c r="Q32" s="224"/>
    </row>
    <row r="33" spans="2:17" x14ac:dyDescent="0.2">
      <c r="B33" s="42" t="s">
        <v>469</v>
      </c>
      <c r="C33" s="222" t="s">
        <v>523</v>
      </c>
      <c r="D33" s="223"/>
      <c r="E33" s="223"/>
      <c r="F33" s="223"/>
      <c r="G33" s="223"/>
      <c r="H33" s="223"/>
      <c r="I33" s="223"/>
      <c r="J33" s="223"/>
      <c r="K33" s="223"/>
      <c r="L33" s="223"/>
      <c r="M33" s="223"/>
      <c r="N33" s="223"/>
      <c r="O33" s="223"/>
      <c r="P33" s="223"/>
      <c r="Q33" s="224"/>
    </row>
    <row r="34" spans="2:17" x14ac:dyDescent="0.2">
      <c r="B34" s="42" t="s">
        <v>470</v>
      </c>
      <c r="C34" s="222" t="s">
        <v>447</v>
      </c>
      <c r="D34" s="223"/>
      <c r="E34" s="223"/>
      <c r="F34" s="223"/>
      <c r="G34" s="223"/>
      <c r="H34" s="223"/>
      <c r="I34" s="223"/>
      <c r="J34" s="223"/>
      <c r="K34" s="223"/>
      <c r="L34" s="223"/>
      <c r="M34" s="223"/>
      <c r="N34" s="223"/>
      <c r="O34" s="223"/>
      <c r="P34" s="223"/>
      <c r="Q34" s="224"/>
    </row>
    <row r="35" spans="2:17" x14ac:dyDescent="0.2">
      <c r="B35" s="42" t="s">
        <v>471</v>
      </c>
      <c r="C35" s="222" t="s">
        <v>448</v>
      </c>
      <c r="D35" s="223"/>
      <c r="E35" s="223"/>
      <c r="F35" s="223"/>
      <c r="G35" s="223"/>
      <c r="H35" s="223"/>
      <c r="I35" s="223"/>
      <c r="J35" s="223"/>
      <c r="K35" s="223"/>
      <c r="L35" s="223"/>
      <c r="M35" s="223"/>
      <c r="N35" s="223"/>
      <c r="O35" s="223"/>
      <c r="P35" s="223"/>
      <c r="Q35" s="224"/>
    </row>
    <row r="36" spans="2:17" x14ac:dyDescent="0.2">
      <c r="B36" s="42" t="s">
        <v>530</v>
      </c>
      <c r="C36" s="222" t="s">
        <v>524</v>
      </c>
      <c r="D36" s="223"/>
      <c r="E36" s="223"/>
      <c r="F36" s="223"/>
      <c r="G36" s="223"/>
      <c r="H36" s="223"/>
      <c r="I36" s="223"/>
      <c r="J36" s="223"/>
      <c r="K36" s="223"/>
      <c r="L36" s="223"/>
      <c r="M36" s="223"/>
      <c r="N36" s="223"/>
      <c r="O36" s="223"/>
      <c r="P36" s="223"/>
      <c r="Q36" s="224"/>
    </row>
    <row r="37" spans="2:17" x14ac:dyDescent="0.2">
      <c r="B37" s="42" t="s">
        <v>472</v>
      </c>
      <c r="C37" s="222" t="s">
        <v>525</v>
      </c>
      <c r="D37" s="223"/>
      <c r="E37" s="223"/>
      <c r="F37" s="223"/>
      <c r="G37" s="223"/>
      <c r="H37" s="223"/>
      <c r="I37" s="223"/>
      <c r="J37" s="223"/>
      <c r="K37" s="223"/>
      <c r="L37" s="223"/>
      <c r="M37" s="223"/>
      <c r="N37" s="223"/>
      <c r="O37" s="223"/>
      <c r="P37" s="223"/>
      <c r="Q37" s="224"/>
    </row>
    <row r="38" spans="2:17" x14ac:dyDescent="0.2">
      <c r="B38" s="42" t="s">
        <v>449</v>
      </c>
      <c r="C38" s="222" t="s">
        <v>526</v>
      </c>
      <c r="D38" s="223"/>
      <c r="E38" s="223"/>
      <c r="F38" s="223"/>
      <c r="G38" s="223"/>
      <c r="H38" s="223"/>
      <c r="I38" s="223"/>
      <c r="J38" s="223"/>
      <c r="K38" s="223"/>
      <c r="L38" s="223"/>
      <c r="M38" s="223"/>
      <c r="N38" s="223"/>
      <c r="O38" s="223"/>
      <c r="P38" s="223"/>
      <c r="Q38" s="224"/>
    </row>
    <row r="39" spans="2:17" x14ac:dyDescent="0.2">
      <c r="B39" s="42" t="s">
        <v>473</v>
      </c>
      <c r="C39" s="222" t="s">
        <v>527</v>
      </c>
      <c r="D39" s="223"/>
      <c r="E39" s="223"/>
      <c r="F39" s="223"/>
      <c r="G39" s="223"/>
      <c r="H39" s="223"/>
      <c r="I39" s="223"/>
      <c r="J39" s="223"/>
      <c r="K39" s="223"/>
      <c r="L39" s="223"/>
      <c r="M39" s="223"/>
      <c r="N39" s="223"/>
      <c r="O39" s="223"/>
      <c r="P39" s="223"/>
      <c r="Q39" s="224"/>
    </row>
    <row r="40" spans="2:17" x14ac:dyDescent="0.2">
      <c r="B40" s="42" t="s">
        <v>474</v>
      </c>
      <c r="C40" s="222" t="s">
        <v>528</v>
      </c>
      <c r="D40" s="223"/>
      <c r="E40" s="223"/>
      <c r="F40" s="223"/>
      <c r="G40" s="223"/>
      <c r="H40" s="223"/>
      <c r="I40" s="223"/>
      <c r="J40" s="223"/>
      <c r="K40" s="223"/>
      <c r="L40" s="223"/>
      <c r="M40" s="223"/>
      <c r="N40" s="223"/>
      <c r="O40" s="223"/>
      <c r="P40" s="223"/>
      <c r="Q40" s="224"/>
    </row>
    <row r="41" spans="2:17" x14ac:dyDescent="0.2">
      <c r="B41" s="42" t="s">
        <v>475</v>
      </c>
      <c r="C41" s="222" t="s">
        <v>522</v>
      </c>
      <c r="D41" s="223"/>
      <c r="E41" s="223"/>
      <c r="F41" s="223"/>
      <c r="G41" s="223"/>
      <c r="H41" s="223"/>
      <c r="I41" s="223"/>
      <c r="J41" s="223"/>
      <c r="K41" s="223"/>
      <c r="L41" s="223"/>
      <c r="M41" s="223"/>
      <c r="N41" s="223"/>
      <c r="O41" s="223"/>
      <c r="P41" s="223"/>
      <c r="Q41" s="224"/>
    </row>
    <row r="42" spans="2:17" ht="34" customHeight="1" x14ac:dyDescent="0.2">
      <c r="B42" s="42" t="s">
        <v>477</v>
      </c>
      <c r="C42" s="228" t="s">
        <v>531</v>
      </c>
      <c r="D42" s="229"/>
      <c r="E42" s="229"/>
      <c r="F42" s="229"/>
      <c r="G42" s="229"/>
      <c r="H42" s="229"/>
      <c r="I42" s="229"/>
      <c r="J42" s="229"/>
      <c r="K42" s="229"/>
      <c r="L42" s="229"/>
      <c r="M42" s="229"/>
      <c r="N42" s="229"/>
      <c r="O42" s="229"/>
      <c r="P42" s="229"/>
      <c r="Q42" s="230"/>
    </row>
    <row r="43" spans="2:17" x14ac:dyDescent="0.2">
      <c r="B43" s="42" t="s">
        <v>478</v>
      </c>
      <c r="C43" s="222" t="s">
        <v>460</v>
      </c>
      <c r="D43" s="223"/>
      <c r="E43" s="223"/>
      <c r="F43" s="223"/>
      <c r="G43" s="223"/>
      <c r="H43" s="223"/>
      <c r="I43" s="223"/>
      <c r="J43" s="223"/>
      <c r="K43" s="223"/>
      <c r="L43" s="223"/>
      <c r="M43" s="223"/>
      <c r="N43" s="223"/>
      <c r="O43" s="223"/>
      <c r="P43" s="223"/>
      <c r="Q43" s="224"/>
    </row>
    <row r="44" spans="2:17" ht="29" customHeight="1" x14ac:dyDescent="0.2">
      <c r="B44" s="42" t="s">
        <v>479</v>
      </c>
      <c r="C44" s="228" t="s">
        <v>462</v>
      </c>
      <c r="D44" s="229"/>
      <c r="E44" s="229"/>
      <c r="F44" s="229"/>
      <c r="G44" s="229"/>
      <c r="H44" s="229"/>
      <c r="I44" s="229"/>
      <c r="J44" s="229"/>
      <c r="K44" s="229"/>
      <c r="L44" s="229"/>
      <c r="M44" s="229"/>
      <c r="N44" s="229"/>
      <c r="O44" s="229"/>
      <c r="P44" s="229"/>
      <c r="Q44" s="230"/>
    </row>
    <row r="45" spans="2:17" ht="30" customHeight="1" x14ac:dyDescent="0.2">
      <c r="B45" s="42" t="s">
        <v>480</v>
      </c>
      <c r="C45" s="228" t="s">
        <v>463</v>
      </c>
      <c r="D45" s="229"/>
      <c r="E45" s="229"/>
      <c r="F45" s="229"/>
      <c r="G45" s="229"/>
      <c r="H45" s="229"/>
      <c r="I45" s="229"/>
      <c r="J45" s="229"/>
      <c r="K45" s="229"/>
      <c r="L45" s="229"/>
      <c r="M45" s="229"/>
      <c r="N45" s="229"/>
      <c r="O45" s="229"/>
      <c r="P45" s="229"/>
      <c r="Q45" s="230"/>
    </row>
    <row r="46" spans="2:17" x14ac:dyDescent="0.2">
      <c r="B46" s="42" t="s">
        <v>481</v>
      </c>
      <c r="C46" s="222" t="s">
        <v>464</v>
      </c>
      <c r="D46" s="223"/>
      <c r="E46" s="223"/>
      <c r="F46" s="223"/>
      <c r="G46" s="223"/>
      <c r="H46" s="223"/>
      <c r="I46" s="223"/>
      <c r="J46" s="223"/>
      <c r="K46" s="223"/>
      <c r="L46" s="223"/>
      <c r="M46" s="223"/>
      <c r="N46" s="223"/>
      <c r="O46" s="223"/>
      <c r="P46" s="223"/>
      <c r="Q46" s="224"/>
    </row>
    <row r="47" spans="2:17" x14ac:dyDescent="0.2">
      <c r="B47" s="42" t="s">
        <v>482</v>
      </c>
      <c r="C47" s="222" t="s">
        <v>450</v>
      </c>
      <c r="D47" s="223"/>
      <c r="E47" s="223"/>
      <c r="F47" s="223"/>
      <c r="G47" s="223"/>
      <c r="H47" s="223"/>
      <c r="I47" s="223"/>
      <c r="J47" s="223"/>
      <c r="K47" s="223"/>
      <c r="L47" s="223"/>
      <c r="M47" s="223"/>
      <c r="N47" s="223"/>
      <c r="O47" s="223"/>
      <c r="P47" s="223"/>
      <c r="Q47" s="224"/>
    </row>
    <row r="48" spans="2:17" ht="16" thickBot="1" x14ac:dyDescent="0.25">
      <c r="B48" s="43" t="s">
        <v>483</v>
      </c>
      <c r="C48" s="234" t="s">
        <v>532</v>
      </c>
      <c r="D48" s="235"/>
      <c r="E48" s="235"/>
      <c r="F48" s="235"/>
      <c r="G48" s="235"/>
      <c r="H48" s="235"/>
      <c r="I48" s="235"/>
      <c r="J48" s="235"/>
      <c r="K48" s="235"/>
      <c r="L48" s="235"/>
      <c r="M48" s="235"/>
      <c r="N48" s="235"/>
      <c r="O48" s="235"/>
      <c r="P48" s="235"/>
      <c r="Q48" s="236"/>
    </row>
    <row r="49" s="6" customFormat="1" ht="16" thickTop="1" x14ac:dyDescent="0.2"/>
    <row r="50" s="6" customFormat="1" x14ac:dyDescent="0.2"/>
    <row r="51" s="6" customFormat="1" x14ac:dyDescent="0.2"/>
    <row r="52" s="6" customFormat="1" x14ac:dyDescent="0.2"/>
    <row r="53" s="6" customFormat="1" x14ac:dyDescent="0.2"/>
    <row r="54" s="6" customFormat="1" x14ac:dyDescent="0.2"/>
    <row r="55" s="6" customFormat="1" x14ac:dyDescent="0.2"/>
    <row r="56" s="6" customFormat="1" x14ac:dyDescent="0.2"/>
    <row r="57" s="6" customFormat="1" x14ac:dyDescent="0.2"/>
    <row r="58" s="6" customFormat="1" x14ac:dyDescent="0.2"/>
    <row r="59" s="6" customFormat="1" x14ac:dyDescent="0.2"/>
    <row r="60" s="6" customFormat="1" x14ac:dyDescent="0.2"/>
    <row r="61" s="6" customFormat="1" x14ac:dyDescent="0.2"/>
    <row r="62" s="6" customFormat="1" x14ac:dyDescent="0.2"/>
    <row r="63" s="6" customFormat="1" x14ac:dyDescent="0.2"/>
    <row r="64" s="6" customFormat="1" x14ac:dyDescent="0.2"/>
    <row r="65" s="6" customFormat="1" x14ac:dyDescent="0.2"/>
    <row r="66" s="6" customFormat="1" x14ac:dyDescent="0.2"/>
    <row r="67" s="6" customFormat="1" x14ac:dyDescent="0.2"/>
    <row r="68" s="6" customFormat="1" x14ac:dyDescent="0.2"/>
    <row r="69" s="6" customFormat="1" x14ac:dyDescent="0.2"/>
    <row r="70" s="6" customFormat="1" x14ac:dyDescent="0.2"/>
    <row r="71" s="6" customFormat="1" x14ac:dyDescent="0.2"/>
    <row r="72" s="6" customFormat="1" x14ac:dyDescent="0.2"/>
    <row r="73" s="6" customFormat="1" x14ac:dyDescent="0.2"/>
    <row r="74" s="6" customFormat="1" x14ac:dyDescent="0.2"/>
    <row r="75" s="6" customFormat="1" x14ac:dyDescent="0.2"/>
    <row r="76" s="6" customFormat="1" x14ac:dyDescent="0.2"/>
    <row r="77" s="6" customFormat="1" x14ac:dyDescent="0.2"/>
    <row r="78" s="6" customFormat="1" x14ac:dyDescent="0.2"/>
    <row r="79" s="6" customFormat="1" x14ac:dyDescent="0.2"/>
    <row r="80" s="6" customFormat="1" hidden="1" x14ac:dyDescent="0.2"/>
  </sheetData>
  <mergeCells count="47">
    <mergeCell ref="C45:Q45"/>
    <mergeCell ref="C46:Q46"/>
    <mergeCell ref="C47:Q47"/>
    <mergeCell ref="C48:Q48"/>
    <mergeCell ref="C2:Q2"/>
    <mergeCell ref="C39:Q39"/>
    <mergeCell ref="C40:Q40"/>
    <mergeCell ref="C41:Q41"/>
    <mergeCell ref="C42:Q42"/>
    <mergeCell ref="C43:Q43"/>
    <mergeCell ref="C44:Q44"/>
    <mergeCell ref="C33:Q33"/>
    <mergeCell ref="C34:Q34"/>
    <mergeCell ref="C35:Q35"/>
    <mergeCell ref="C36:Q36"/>
    <mergeCell ref="C37:Q37"/>
    <mergeCell ref="C38:Q38"/>
    <mergeCell ref="C27:Q27"/>
    <mergeCell ref="C28:Q28"/>
    <mergeCell ref="C29:Q29"/>
    <mergeCell ref="C30:Q30"/>
    <mergeCell ref="C31:Q31"/>
    <mergeCell ref="C32:Q32"/>
    <mergeCell ref="C26:Q26"/>
    <mergeCell ref="C15:Q15"/>
    <mergeCell ref="C16:Q16"/>
    <mergeCell ref="C17:Q17"/>
    <mergeCell ref="C18:Q18"/>
    <mergeCell ref="C19:Q19"/>
    <mergeCell ref="C20:Q20"/>
    <mergeCell ref="C21:Q21"/>
    <mergeCell ref="C22:Q22"/>
    <mergeCell ref="C23:Q23"/>
    <mergeCell ref="C24:Q24"/>
    <mergeCell ref="C25:Q25"/>
    <mergeCell ref="C14:Q14"/>
    <mergeCell ref="C3:Q3"/>
    <mergeCell ref="C4:Q4"/>
    <mergeCell ref="C5:Q5"/>
    <mergeCell ref="C6:Q6"/>
    <mergeCell ref="C7:Q7"/>
    <mergeCell ref="C8:Q8"/>
    <mergeCell ref="C9:Q9"/>
    <mergeCell ref="C10:Q10"/>
    <mergeCell ref="C11:Q11"/>
    <mergeCell ref="C12:Q12"/>
    <mergeCell ref="C13:Q13"/>
  </mergeCells>
  <conditionalFormatting sqref="B43">
    <cfRule type="containsErrors" dxfId="52" priority="6">
      <formula>ISERROR(B43)</formula>
    </cfRule>
  </conditionalFormatting>
  <conditionalFormatting sqref="B44">
    <cfRule type="containsErrors" dxfId="51" priority="5">
      <formula>ISERROR(B44)</formula>
    </cfRule>
  </conditionalFormatting>
  <conditionalFormatting sqref="B45">
    <cfRule type="containsErrors" dxfId="50" priority="4">
      <formula>ISERROR(B45)</formula>
    </cfRule>
  </conditionalFormatting>
  <conditionalFormatting sqref="B46">
    <cfRule type="containsErrors" dxfId="49" priority="3">
      <formula>ISERROR(B46)</formula>
    </cfRule>
  </conditionalFormatting>
  <conditionalFormatting sqref="B47">
    <cfRule type="containsErrors" dxfId="48" priority="2">
      <formula>ISERROR(B47)</formula>
    </cfRule>
  </conditionalFormatting>
  <conditionalFormatting sqref="B48">
    <cfRule type="containsErrors" dxfId="47" priority="1">
      <formula>ISERROR(B48)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5B78-553C-451A-874D-114097FC2C77}">
  <sheetPr>
    <tabColor theme="4" tint="0.59999389629810485"/>
  </sheetPr>
  <dimension ref="A1:F86"/>
  <sheetViews>
    <sheetView workbookViewId="0">
      <selection activeCell="C49" sqref="C49"/>
    </sheetView>
  </sheetViews>
  <sheetFormatPr baseColWidth="10" defaultColWidth="8.83203125" defaultRowHeight="15" x14ac:dyDescent="0.2"/>
  <cols>
    <col min="1" max="1" width="8.5" customWidth="1"/>
    <col min="2" max="2" width="17.5" customWidth="1"/>
    <col min="3" max="3" width="39" customWidth="1"/>
    <col min="4" max="4" width="108.5" customWidth="1"/>
    <col min="5" max="5" width="148.33203125" customWidth="1"/>
    <col min="6" max="6" width="16.5" customWidth="1"/>
  </cols>
  <sheetData>
    <row r="1" spans="1:6" s="1" customFormat="1" ht="33.5" customHeight="1" thickTop="1" x14ac:dyDescent="0.15">
      <c r="A1" s="156" t="s">
        <v>391</v>
      </c>
      <c r="B1" s="157" t="s">
        <v>90</v>
      </c>
      <c r="C1" s="158" t="s">
        <v>536</v>
      </c>
      <c r="D1" s="158" t="s">
        <v>392</v>
      </c>
      <c r="E1" s="157" t="s">
        <v>89</v>
      </c>
      <c r="F1" s="44" t="s">
        <v>393</v>
      </c>
    </row>
    <row r="2" spans="1:6" x14ac:dyDescent="0.2">
      <c r="A2" s="45">
        <v>1</v>
      </c>
      <c r="B2" s="46" t="s">
        <v>91</v>
      </c>
      <c r="C2" s="47" t="s">
        <v>537</v>
      </c>
      <c r="D2" s="47" t="s">
        <v>535</v>
      </c>
      <c r="E2" s="48" t="s">
        <v>11</v>
      </c>
      <c r="F2" s="49">
        <v>2019</v>
      </c>
    </row>
    <row r="3" spans="1:6" x14ac:dyDescent="0.2">
      <c r="A3" s="50">
        <v>2</v>
      </c>
      <c r="B3" s="51" t="s">
        <v>92</v>
      </c>
      <c r="C3" s="52" t="s">
        <v>539</v>
      </c>
      <c r="D3" s="52" t="s">
        <v>538</v>
      </c>
      <c r="E3" s="53" t="s">
        <v>12</v>
      </c>
      <c r="F3" s="54">
        <v>2017</v>
      </c>
    </row>
    <row r="4" spans="1:6" x14ac:dyDescent="0.2">
      <c r="A4" s="45">
        <v>3</v>
      </c>
      <c r="B4" s="55" t="s">
        <v>394</v>
      </c>
      <c r="C4" s="47" t="s">
        <v>540</v>
      </c>
      <c r="D4" s="47" t="s">
        <v>541</v>
      </c>
      <c r="E4" s="48" t="s">
        <v>13</v>
      </c>
      <c r="F4" s="49">
        <v>2019</v>
      </c>
    </row>
    <row r="5" spans="1:6" x14ac:dyDescent="0.2">
      <c r="A5" s="50">
        <v>4</v>
      </c>
      <c r="B5" s="51" t="s">
        <v>93</v>
      </c>
      <c r="C5" s="52" t="s">
        <v>543</v>
      </c>
      <c r="D5" s="52" t="s">
        <v>542</v>
      </c>
      <c r="E5" s="53" t="s">
        <v>14</v>
      </c>
      <c r="F5" s="54">
        <v>2018</v>
      </c>
    </row>
    <row r="6" spans="1:6" x14ac:dyDescent="0.2">
      <c r="A6" s="45">
        <v>5</v>
      </c>
      <c r="B6" s="46" t="s">
        <v>94</v>
      </c>
      <c r="C6" s="47" t="s">
        <v>545</v>
      </c>
      <c r="D6" s="47" t="s">
        <v>544</v>
      </c>
      <c r="E6" s="48" t="s">
        <v>15</v>
      </c>
      <c r="F6" s="49">
        <v>2012</v>
      </c>
    </row>
    <row r="7" spans="1:6" x14ac:dyDescent="0.2">
      <c r="A7" s="50">
        <v>6</v>
      </c>
      <c r="B7" s="51" t="s">
        <v>94</v>
      </c>
      <c r="C7" s="52" t="s">
        <v>547</v>
      </c>
      <c r="D7" s="52" t="s">
        <v>546</v>
      </c>
      <c r="E7" s="53" t="s">
        <v>16</v>
      </c>
      <c r="F7" s="54">
        <v>2008</v>
      </c>
    </row>
    <row r="8" spans="1:6" x14ac:dyDescent="0.2">
      <c r="A8" s="45">
        <v>7</v>
      </c>
      <c r="B8" s="46" t="s">
        <v>94</v>
      </c>
      <c r="C8" s="47" t="s">
        <v>549</v>
      </c>
      <c r="D8" s="47" t="s">
        <v>550</v>
      </c>
      <c r="E8" s="48" t="s">
        <v>17</v>
      </c>
      <c r="F8" s="49">
        <v>2005</v>
      </c>
    </row>
    <row r="9" spans="1:6" x14ac:dyDescent="0.2">
      <c r="A9" s="50">
        <v>8</v>
      </c>
      <c r="B9" s="51" t="s">
        <v>95</v>
      </c>
      <c r="C9" s="52" t="s">
        <v>554</v>
      </c>
      <c r="D9" s="52" t="s">
        <v>553</v>
      </c>
      <c r="E9" s="53" t="s">
        <v>18</v>
      </c>
      <c r="F9" s="54">
        <v>2017</v>
      </c>
    </row>
    <row r="10" spans="1:6" x14ac:dyDescent="0.2">
      <c r="A10" s="45">
        <v>9</v>
      </c>
      <c r="B10" s="46" t="s">
        <v>96</v>
      </c>
      <c r="C10" s="47" t="s">
        <v>555</v>
      </c>
      <c r="D10" s="47" t="s">
        <v>1</v>
      </c>
      <c r="E10" s="48" t="s">
        <v>19</v>
      </c>
      <c r="F10" s="49">
        <v>2011</v>
      </c>
    </row>
    <row r="11" spans="1:6" x14ac:dyDescent="0.2">
      <c r="A11" s="50">
        <v>10</v>
      </c>
      <c r="B11" s="51" t="s">
        <v>97</v>
      </c>
      <c r="C11" s="52" t="s">
        <v>557</v>
      </c>
      <c r="D11" s="52" t="s">
        <v>556</v>
      </c>
      <c r="E11" s="53" t="s">
        <v>20</v>
      </c>
      <c r="F11" s="54">
        <v>2018</v>
      </c>
    </row>
    <row r="12" spans="1:6" x14ac:dyDescent="0.2">
      <c r="A12" s="45">
        <v>11</v>
      </c>
      <c r="B12" s="46" t="s">
        <v>98</v>
      </c>
      <c r="C12" s="47" t="s">
        <v>558</v>
      </c>
      <c r="D12" s="47" t="s">
        <v>2</v>
      </c>
      <c r="E12" s="48" t="s">
        <v>21</v>
      </c>
      <c r="F12" s="49">
        <v>2019</v>
      </c>
    </row>
    <row r="13" spans="1:6" x14ac:dyDescent="0.2">
      <c r="A13" s="50">
        <v>12</v>
      </c>
      <c r="B13" s="51" t="s">
        <v>99</v>
      </c>
      <c r="C13" s="52" t="s">
        <v>560</v>
      </c>
      <c r="D13" s="52" t="s">
        <v>559</v>
      </c>
      <c r="E13" s="53" t="s">
        <v>22</v>
      </c>
      <c r="F13" s="54">
        <v>2013</v>
      </c>
    </row>
    <row r="14" spans="1:6" x14ac:dyDescent="0.2">
      <c r="A14" s="45">
        <v>13</v>
      </c>
      <c r="B14" s="46" t="s">
        <v>99</v>
      </c>
      <c r="C14" s="47" t="s">
        <v>562</v>
      </c>
      <c r="D14" s="47" t="s">
        <v>561</v>
      </c>
      <c r="E14" s="48" t="s">
        <v>23</v>
      </c>
      <c r="F14" s="49">
        <v>2015</v>
      </c>
    </row>
    <row r="15" spans="1:6" x14ac:dyDescent="0.2">
      <c r="A15" s="50">
        <v>14</v>
      </c>
      <c r="B15" s="51" t="s">
        <v>99</v>
      </c>
      <c r="C15" s="52" t="s">
        <v>564</v>
      </c>
      <c r="D15" s="52" t="s">
        <v>563</v>
      </c>
      <c r="E15" s="53" t="s">
        <v>24</v>
      </c>
      <c r="F15" s="54">
        <v>2021</v>
      </c>
    </row>
    <row r="16" spans="1:6" x14ac:dyDescent="0.2">
      <c r="A16" s="45">
        <v>15</v>
      </c>
      <c r="B16" s="46" t="s">
        <v>99</v>
      </c>
      <c r="C16" s="47" t="s">
        <v>566</v>
      </c>
      <c r="D16" s="47" t="s">
        <v>565</v>
      </c>
      <c r="E16" s="48" t="s">
        <v>25</v>
      </c>
      <c r="F16" s="49">
        <v>2015</v>
      </c>
    </row>
    <row r="17" spans="1:6" x14ac:dyDescent="0.2">
      <c r="A17" s="50">
        <v>16</v>
      </c>
      <c r="B17" s="51" t="s">
        <v>99</v>
      </c>
      <c r="C17" s="52" t="s">
        <v>568</v>
      </c>
      <c r="D17" s="52" t="s">
        <v>567</v>
      </c>
      <c r="E17" s="53" t="s">
        <v>26</v>
      </c>
      <c r="F17" s="54">
        <v>2009</v>
      </c>
    </row>
    <row r="18" spans="1:6" x14ac:dyDescent="0.2">
      <c r="A18" s="45">
        <v>17</v>
      </c>
      <c r="B18" s="46" t="s">
        <v>99</v>
      </c>
      <c r="C18" s="47" t="s">
        <v>570</v>
      </c>
      <c r="D18" s="47" t="s">
        <v>569</v>
      </c>
      <c r="E18" s="48" t="s">
        <v>27</v>
      </c>
      <c r="F18" s="49">
        <v>2015</v>
      </c>
    </row>
    <row r="19" spans="1:6" x14ac:dyDescent="0.2">
      <c r="A19" s="50">
        <v>18</v>
      </c>
      <c r="B19" s="51" t="s">
        <v>99</v>
      </c>
      <c r="C19" s="52" t="s">
        <v>572</v>
      </c>
      <c r="D19" s="52" t="s">
        <v>571</v>
      </c>
      <c r="E19" s="53" t="s">
        <v>28</v>
      </c>
      <c r="F19" s="54">
        <v>2020</v>
      </c>
    </row>
    <row r="20" spans="1:6" x14ac:dyDescent="0.2">
      <c r="A20" s="45">
        <v>19</v>
      </c>
      <c r="B20" s="46" t="s">
        <v>100</v>
      </c>
      <c r="C20" s="47" t="s">
        <v>549</v>
      </c>
      <c r="D20" s="47" t="s">
        <v>551</v>
      </c>
      <c r="E20" s="48" t="s">
        <v>411</v>
      </c>
      <c r="F20" s="49">
        <v>2013</v>
      </c>
    </row>
    <row r="21" spans="1:6" x14ac:dyDescent="0.2">
      <c r="A21" s="50">
        <v>20</v>
      </c>
      <c r="B21" s="51" t="s">
        <v>101</v>
      </c>
      <c r="C21" s="52" t="s">
        <v>574</v>
      </c>
      <c r="D21" s="52" t="s">
        <v>573</v>
      </c>
      <c r="E21" s="53" t="s">
        <v>31</v>
      </c>
      <c r="F21" s="54">
        <v>2016</v>
      </c>
    </row>
    <row r="22" spans="1:6" x14ac:dyDescent="0.2">
      <c r="A22" s="45">
        <v>21</v>
      </c>
      <c r="B22" s="46" t="s">
        <v>101</v>
      </c>
      <c r="C22" s="47" t="s">
        <v>576</v>
      </c>
      <c r="D22" s="47" t="s">
        <v>575</v>
      </c>
      <c r="E22" s="48" t="s">
        <v>29</v>
      </c>
      <c r="F22" s="49">
        <v>2016</v>
      </c>
    </row>
    <row r="23" spans="1:6" x14ac:dyDescent="0.2">
      <c r="A23" s="50">
        <v>22</v>
      </c>
      <c r="B23" s="51" t="s">
        <v>101</v>
      </c>
      <c r="C23" s="52" t="s">
        <v>574</v>
      </c>
      <c r="D23" s="52" t="s">
        <v>577</v>
      </c>
      <c r="E23" s="53" t="s">
        <v>30</v>
      </c>
      <c r="F23" s="54">
        <v>2018</v>
      </c>
    </row>
    <row r="24" spans="1:6" x14ac:dyDescent="0.2">
      <c r="A24" s="45">
        <v>23</v>
      </c>
      <c r="B24" s="46" t="s">
        <v>102</v>
      </c>
      <c r="C24" s="47" t="s">
        <v>579</v>
      </c>
      <c r="D24" s="47" t="s">
        <v>578</v>
      </c>
      <c r="E24" s="48" t="s">
        <v>32</v>
      </c>
      <c r="F24" s="49">
        <v>2015</v>
      </c>
    </row>
    <row r="25" spans="1:6" x14ac:dyDescent="0.2">
      <c r="A25" s="50">
        <v>24</v>
      </c>
      <c r="B25" s="51" t="s">
        <v>102</v>
      </c>
      <c r="C25" s="52" t="s">
        <v>581</v>
      </c>
      <c r="D25" s="52" t="s">
        <v>580</v>
      </c>
      <c r="E25" s="53" t="s">
        <v>33</v>
      </c>
      <c r="F25" s="54">
        <v>2015</v>
      </c>
    </row>
    <row r="26" spans="1:6" x14ac:dyDescent="0.2">
      <c r="A26" s="45">
        <v>25</v>
      </c>
      <c r="B26" s="46" t="s">
        <v>103</v>
      </c>
      <c r="C26" s="47" t="s">
        <v>583</v>
      </c>
      <c r="D26" s="47" t="s">
        <v>582</v>
      </c>
      <c r="E26" s="48" t="s">
        <v>34</v>
      </c>
      <c r="F26" s="49">
        <v>2017</v>
      </c>
    </row>
    <row r="27" spans="1:6" x14ac:dyDescent="0.2">
      <c r="A27" s="50">
        <v>26</v>
      </c>
      <c r="B27" s="56" t="s">
        <v>394</v>
      </c>
      <c r="C27" s="52" t="s">
        <v>585</v>
      </c>
      <c r="D27" s="52" t="s">
        <v>584</v>
      </c>
      <c r="E27" s="53" t="s">
        <v>35</v>
      </c>
      <c r="F27" s="54">
        <v>2016</v>
      </c>
    </row>
    <row r="28" spans="1:6" x14ac:dyDescent="0.2">
      <c r="A28" s="45">
        <v>27</v>
      </c>
      <c r="B28" s="46" t="s">
        <v>104</v>
      </c>
      <c r="C28" s="47" t="s">
        <v>587</v>
      </c>
      <c r="D28" s="47" t="s">
        <v>586</v>
      </c>
      <c r="E28" s="48" t="s">
        <v>36</v>
      </c>
      <c r="F28" s="49">
        <v>2014</v>
      </c>
    </row>
    <row r="29" spans="1:6" x14ac:dyDescent="0.2">
      <c r="A29" s="50">
        <v>28</v>
      </c>
      <c r="B29" s="51" t="s">
        <v>105</v>
      </c>
      <c r="C29" s="52" t="s">
        <v>589</v>
      </c>
      <c r="D29" s="52" t="s">
        <v>588</v>
      </c>
      <c r="E29" s="53" t="s">
        <v>395</v>
      </c>
      <c r="F29" s="54">
        <v>2016</v>
      </c>
    </row>
    <row r="30" spans="1:6" x14ac:dyDescent="0.2">
      <c r="A30" s="45">
        <v>29</v>
      </c>
      <c r="B30" s="46" t="s">
        <v>105</v>
      </c>
      <c r="C30" s="47" t="s">
        <v>591</v>
      </c>
      <c r="D30" s="47" t="s">
        <v>590</v>
      </c>
      <c r="E30" s="48" t="s">
        <v>38</v>
      </c>
      <c r="F30" s="49">
        <v>2010</v>
      </c>
    </row>
    <row r="31" spans="1:6" x14ac:dyDescent="0.2">
      <c r="A31" s="50">
        <v>30</v>
      </c>
      <c r="B31" s="51" t="s">
        <v>106</v>
      </c>
      <c r="C31" s="52" t="s">
        <v>593</v>
      </c>
      <c r="D31" s="52" t="s">
        <v>592</v>
      </c>
      <c r="E31" s="53" t="s">
        <v>39</v>
      </c>
      <c r="F31" s="54">
        <v>2014</v>
      </c>
    </row>
    <row r="32" spans="1:6" x14ac:dyDescent="0.2">
      <c r="A32" s="45">
        <v>31</v>
      </c>
      <c r="B32" s="46" t="s">
        <v>107</v>
      </c>
      <c r="C32" s="47" t="s">
        <v>595</v>
      </c>
      <c r="D32" s="47" t="s">
        <v>594</v>
      </c>
      <c r="E32" s="48" t="s">
        <v>40</v>
      </c>
      <c r="F32" s="49">
        <v>2019</v>
      </c>
    </row>
    <row r="33" spans="1:6" x14ac:dyDescent="0.2">
      <c r="A33" s="50">
        <v>32</v>
      </c>
      <c r="B33" s="51" t="s">
        <v>108</v>
      </c>
      <c r="C33" s="52" t="s">
        <v>597</v>
      </c>
      <c r="D33" s="52" t="s">
        <v>596</v>
      </c>
      <c r="E33" s="53" t="s">
        <v>41</v>
      </c>
      <c r="F33" s="54">
        <v>2015</v>
      </c>
    </row>
    <row r="34" spans="1:6" x14ac:dyDescent="0.2">
      <c r="A34" s="45">
        <v>33</v>
      </c>
      <c r="B34" s="46" t="s">
        <v>109</v>
      </c>
      <c r="C34" s="47" t="s">
        <v>599</v>
      </c>
      <c r="D34" s="47" t="s">
        <v>598</v>
      </c>
      <c r="E34" s="48" t="s">
        <v>42</v>
      </c>
      <c r="F34" s="49">
        <v>2015</v>
      </c>
    </row>
    <row r="35" spans="1:6" x14ac:dyDescent="0.2">
      <c r="A35" s="50">
        <v>34</v>
      </c>
      <c r="B35" s="51" t="s">
        <v>110</v>
      </c>
      <c r="C35" s="52" t="s">
        <v>601</v>
      </c>
      <c r="D35" s="52" t="s">
        <v>600</v>
      </c>
      <c r="E35" s="53" t="s">
        <v>43</v>
      </c>
      <c r="F35" s="54">
        <v>2020</v>
      </c>
    </row>
    <row r="36" spans="1:6" x14ac:dyDescent="0.2">
      <c r="A36" s="45">
        <v>35</v>
      </c>
      <c r="B36" s="46" t="s">
        <v>111</v>
      </c>
      <c r="C36" s="47" t="s">
        <v>603</v>
      </c>
      <c r="D36" s="47" t="s">
        <v>602</v>
      </c>
      <c r="E36" s="48" t="s">
        <v>44</v>
      </c>
      <c r="F36" s="49">
        <v>2014</v>
      </c>
    </row>
    <row r="37" spans="1:6" x14ac:dyDescent="0.2">
      <c r="A37" s="50">
        <v>36</v>
      </c>
      <c r="B37" s="51" t="s">
        <v>111</v>
      </c>
      <c r="C37" s="52" t="s">
        <v>605</v>
      </c>
      <c r="D37" s="52" t="s">
        <v>604</v>
      </c>
      <c r="E37" s="53" t="s">
        <v>45</v>
      </c>
      <c r="F37" s="54">
        <v>2016</v>
      </c>
    </row>
    <row r="38" spans="1:6" x14ac:dyDescent="0.2">
      <c r="A38" s="45">
        <v>37</v>
      </c>
      <c r="B38" s="46" t="s">
        <v>111</v>
      </c>
      <c r="C38" s="47" t="s">
        <v>607</v>
      </c>
      <c r="D38" s="47" t="s">
        <v>606</v>
      </c>
      <c r="E38" s="48" t="s">
        <v>46</v>
      </c>
      <c r="F38" s="49">
        <v>2015</v>
      </c>
    </row>
    <row r="39" spans="1:6" x14ac:dyDescent="0.2">
      <c r="A39" s="50">
        <v>38</v>
      </c>
      <c r="B39" s="51" t="s">
        <v>112</v>
      </c>
      <c r="C39" s="52" t="s">
        <v>609</v>
      </c>
      <c r="D39" s="52" t="s">
        <v>608</v>
      </c>
      <c r="E39" s="53" t="s">
        <v>47</v>
      </c>
      <c r="F39" s="54">
        <v>2015</v>
      </c>
    </row>
    <row r="40" spans="1:6" x14ac:dyDescent="0.2">
      <c r="A40" s="45">
        <v>39</v>
      </c>
      <c r="B40" s="46" t="s">
        <v>113</v>
      </c>
      <c r="C40" s="47" t="s">
        <v>611</v>
      </c>
      <c r="D40" s="47" t="s">
        <v>610</v>
      </c>
      <c r="E40" s="48" t="s">
        <v>48</v>
      </c>
      <c r="F40" s="49">
        <v>2012</v>
      </c>
    </row>
    <row r="41" spans="1:6" x14ac:dyDescent="0.2">
      <c r="A41" s="50">
        <v>40</v>
      </c>
      <c r="B41" s="51" t="s">
        <v>113</v>
      </c>
      <c r="C41" s="52" t="s">
        <v>613</v>
      </c>
      <c r="D41" s="52" t="s">
        <v>612</v>
      </c>
      <c r="E41" s="53" t="s">
        <v>49</v>
      </c>
      <c r="F41" s="54">
        <v>2013</v>
      </c>
    </row>
    <row r="42" spans="1:6" x14ac:dyDescent="0.2">
      <c r="A42" s="45">
        <v>41</v>
      </c>
      <c r="B42" s="46" t="s">
        <v>113</v>
      </c>
      <c r="C42" s="47" t="s">
        <v>614</v>
      </c>
      <c r="D42" s="47" t="s">
        <v>3</v>
      </c>
      <c r="E42" s="48" t="s">
        <v>50</v>
      </c>
      <c r="F42" s="49">
        <v>2015</v>
      </c>
    </row>
    <row r="43" spans="1:6" x14ac:dyDescent="0.2">
      <c r="A43" s="50">
        <v>42</v>
      </c>
      <c r="B43" s="51" t="s">
        <v>113</v>
      </c>
      <c r="C43" s="52" t="s">
        <v>616</v>
      </c>
      <c r="D43" s="52" t="s">
        <v>615</v>
      </c>
      <c r="E43" s="53" t="s">
        <v>51</v>
      </c>
      <c r="F43" s="54">
        <v>2010</v>
      </c>
    </row>
    <row r="44" spans="1:6" x14ac:dyDescent="0.2">
      <c r="A44" s="45">
        <v>43</v>
      </c>
      <c r="B44" s="46" t="s">
        <v>113</v>
      </c>
      <c r="C44" s="47" t="s">
        <v>618</v>
      </c>
      <c r="D44" s="47" t="s">
        <v>617</v>
      </c>
      <c r="E44" s="48" t="s">
        <v>52</v>
      </c>
      <c r="F44" s="49">
        <v>2009</v>
      </c>
    </row>
    <row r="45" spans="1:6" x14ac:dyDescent="0.2">
      <c r="A45" s="50">
        <v>44</v>
      </c>
      <c r="B45" s="51" t="s">
        <v>115</v>
      </c>
      <c r="C45" s="52" t="s">
        <v>620</v>
      </c>
      <c r="D45" s="52" t="s">
        <v>619</v>
      </c>
      <c r="E45" s="53" t="s">
        <v>53</v>
      </c>
      <c r="F45" s="54">
        <v>2018</v>
      </c>
    </row>
    <row r="46" spans="1:6" x14ac:dyDescent="0.2">
      <c r="A46" s="45">
        <v>45</v>
      </c>
      <c r="B46" s="46" t="s">
        <v>115</v>
      </c>
      <c r="C46" s="47" t="s">
        <v>622</v>
      </c>
      <c r="D46" s="47" t="s">
        <v>621</v>
      </c>
      <c r="E46" s="48" t="s">
        <v>534</v>
      </c>
      <c r="F46" s="49">
        <v>2019</v>
      </c>
    </row>
    <row r="47" spans="1:6" x14ac:dyDescent="0.2">
      <c r="A47" s="50">
        <v>46</v>
      </c>
      <c r="B47" s="51" t="s">
        <v>116</v>
      </c>
      <c r="C47" s="52" t="s">
        <v>624</v>
      </c>
      <c r="D47" s="52" t="s">
        <v>623</v>
      </c>
      <c r="E47" s="53" t="s">
        <v>56</v>
      </c>
      <c r="F47" s="54">
        <v>2019</v>
      </c>
    </row>
    <row r="48" spans="1:6" x14ac:dyDescent="0.2">
      <c r="A48" s="45">
        <v>47</v>
      </c>
      <c r="B48" s="46" t="s">
        <v>116</v>
      </c>
      <c r="C48" s="47" t="s">
        <v>626</v>
      </c>
      <c r="D48" s="47" t="s">
        <v>625</v>
      </c>
      <c r="E48" s="48" t="s">
        <v>412</v>
      </c>
      <c r="F48" s="49">
        <v>2019</v>
      </c>
    </row>
    <row r="49" spans="1:6" x14ac:dyDescent="0.2">
      <c r="A49" s="50">
        <v>48</v>
      </c>
      <c r="B49" s="51" t="s">
        <v>117</v>
      </c>
      <c r="C49" s="52" t="s">
        <v>628</v>
      </c>
      <c r="D49" s="52" t="s">
        <v>627</v>
      </c>
      <c r="E49" s="53" t="s">
        <v>57</v>
      </c>
      <c r="F49" s="54">
        <v>2017</v>
      </c>
    </row>
    <row r="50" spans="1:6" x14ac:dyDescent="0.2">
      <c r="A50" s="45">
        <v>49</v>
      </c>
      <c r="B50" s="46" t="s">
        <v>118</v>
      </c>
      <c r="C50" s="47" t="s">
        <v>549</v>
      </c>
      <c r="D50" s="47" t="s">
        <v>548</v>
      </c>
      <c r="E50" s="48" t="s">
        <v>58</v>
      </c>
      <c r="F50" s="49">
        <v>2010</v>
      </c>
    </row>
    <row r="51" spans="1:6" x14ac:dyDescent="0.2">
      <c r="A51" s="50">
        <v>50</v>
      </c>
      <c r="B51" s="51" t="s">
        <v>118</v>
      </c>
      <c r="C51" s="52" t="s">
        <v>630</v>
      </c>
      <c r="D51" s="52" t="s">
        <v>629</v>
      </c>
      <c r="E51" s="52" t="s">
        <v>59</v>
      </c>
      <c r="F51" s="54">
        <v>2019</v>
      </c>
    </row>
    <row r="52" spans="1:6" x14ac:dyDescent="0.2">
      <c r="A52" s="45">
        <v>51</v>
      </c>
      <c r="B52" s="46" t="s">
        <v>119</v>
      </c>
      <c r="C52" s="47" t="s">
        <v>632</v>
      </c>
      <c r="D52" s="47" t="s">
        <v>631</v>
      </c>
      <c r="E52" s="48" t="s">
        <v>60</v>
      </c>
      <c r="F52" s="49">
        <v>2019</v>
      </c>
    </row>
    <row r="53" spans="1:6" x14ac:dyDescent="0.2">
      <c r="A53" s="50">
        <v>52</v>
      </c>
      <c r="B53" s="51" t="s">
        <v>120</v>
      </c>
      <c r="C53" s="52" t="s">
        <v>633</v>
      </c>
      <c r="D53" s="52" t="s">
        <v>4</v>
      </c>
      <c r="E53" s="52" t="s">
        <v>61</v>
      </c>
      <c r="F53" s="54">
        <v>2020</v>
      </c>
    </row>
    <row r="54" spans="1:6" x14ac:dyDescent="0.2">
      <c r="A54" s="45">
        <v>53</v>
      </c>
      <c r="B54" s="46" t="s">
        <v>121</v>
      </c>
      <c r="C54" s="47" t="s">
        <v>635</v>
      </c>
      <c r="D54" s="47" t="s">
        <v>634</v>
      </c>
      <c r="E54" s="48" t="s">
        <v>62</v>
      </c>
      <c r="F54" s="49">
        <v>2013</v>
      </c>
    </row>
    <row r="55" spans="1:6" x14ac:dyDescent="0.2">
      <c r="A55" s="50">
        <v>54</v>
      </c>
      <c r="B55" s="51" t="s">
        <v>121</v>
      </c>
      <c r="C55" s="52" t="s">
        <v>637</v>
      </c>
      <c r="D55" s="52" t="s">
        <v>636</v>
      </c>
      <c r="E55" s="53" t="s">
        <v>63</v>
      </c>
      <c r="F55" s="54">
        <v>2012</v>
      </c>
    </row>
    <row r="56" spans="1:6" x14ac:dyDescent="0.2">
      <c r="A56" s="45">
        <v>55</v>
      </c>
      <c r="B56" s="46" t="s">
        <v>123</v>
      </c>
      <c r="C56" s="47" t="s">
        <v>639</v>
      </c>
      <c r="D56" s="47" t="s">
        <v>638</v>
      </c>
      <c r="E56" s="48" t="s">
        <v>413</v>
      </c>
      <c r="F56" s="49">
        <v>2019</v>
      </c>
    </row>
    <row r="57" spans="1:6" x14ac:dyDescent="0.2">
      <c r="A57" s="50">
        <v>56</v>
      </c>
      <c r="B57" s="51" t="s">
        <v>124</v>
      </c>
      <c r="C57" s="52" t="s">
        <v>641</v>
      </c>
      <c r="D57" s="52" t="s">
        <v>640</v>
      </c>
      <c r="E57" s="53" t="s">
        <v>64</v>
      </c>
      <c r="F57" s="54">
        <v>2019</v>
      </c>
    </row>
    <row r="58" spans="1:6" x14ac:dyDescent="0.2">
      <c r="A58" s="45">
        <v>57</v>
      </c>
      <c r="B58" s="46" t="s">
        <v>125</v>
      </c>
      <c r="C58" s="47" t="s">
        <v>642</v>
      </c>
      <c r="D58" s="47" t="s">
        <v>5</v>
      </c>
      <c r="E58" s="48" t="s">
        <v>65</v>
      </c>
      <c r="F58" s="49">
        <v>2018</v>
      </c>
    </row>
    <row r="59" spans="1:6" x14ac:dyDescent="0.2">
      <c r="A59" s="50">
        <v>58</v>
      </c>
      <c r="B59" s="51" t="s">
        <v>125</v>
      </c>
      <c r="C59" s="52" t="s">
        <v>643</v>
      </c>
      <c r="D59" s="52" t="s">
        <v>6</v>
      </c>
      <c r="E59" s="53" t="s">
        <v>66</v>
      </c>
      <c r="F59" s="54">
        <v>2020</v>
      </c>
    </row>
    <row r="60" spans="1:6" x14ac:dyDescent="0.2">
      <c r="A60" s="45">
        <v>59</v>
      </c>
      <c r="B60" s="46" t="s">
        <v>126</v>
      </c>
      <c r="C60" s="47" t="s">
        <v>645</v>
      </c>
      <c r="D60" s="47" t="s">
        <v>644</v>
      </c>
      <c r="E60" s="48" t="s">
        <v>67</v>
      </c>
      <c r="F60" s="49">
        <v>2017</v>
      </c>
    </row>
    <row r="61" spans="1:6" x14ac:dyDescent="0.2">
      <c r="A61" s="50">
        <v>60</v>
      </c>
      <c r="B61" s="51" t="s">
        <v>127</v>
      </c>
      <c r="C61" s="52" t="s">
        <v>646</v>
      </c>
      <c r="D61" s="52" t="s">
        <v>7</v>
      </c>
      <c r="E61" s="53" t="s">
        <v>69</v>
      </c>
      <c r="F61" s="54">
        <v>2016</v>
      </c>
    </row>
    <row r="62" spans="1:6" x14ac:dyDescent="0.2">
      <c r="A62" s="45">
        <v>61</v>
      </c>
      <c r="B62" s="46" t="s">
        <v>127</v>
      </c>
      <c r="C62" s="47" t="s">
        <v>648</v>
      </c>
      <c r="D62" s="47" t="s">
        <v>647</v>
      </c>
      <c r="E62" s="48" t="s">
        <v>70</v>
      </c>
      <c r="F62" s="49">
        <v>2019</v>
      </c>
    </row>
    <row r="63" spans="1:6" x14ac:dyDescent="0.2">
      <c r="A63" s="50">
        <v>62</v>
      </c>
      <c r="B63" s="51" t="s">
        <v>127</v>
      </c>
      <c r="C63" s="52" t="s">
        <v>650</v>
      </c>
      <c r="D63" s="52" t="s">
        <v>649</v>
      </c>
      <c r="E63" s="53" t="s">
        <v>68</v>
      </c>
      <c r="F63" s="54">
        <v>2016</v>
      </c>
    </row>
    <row r="64" spans="1:6" x14ac:dyDescent="0.2">
      <c r="A64" s="45">
        <v>63</v>
      </c>
      <c r="B64" s="46" t="s">
        <v>128</v>
      </c>
      <c r="C64" s="47" t="s">
        <v>549</v>
      </c>
      <c r="D64" s="47" t="s">
        <v>552</v>
      </c>
      <c r="E64" s="48" t="s">
        <v>414</v>
      </c>
      <c r="F64" s="49">
        <v>2015</v>
      </c>
    </row>
    <row r="65" spans="1:6" x14ac:dyDescent="0.2">
      <c r="A65" s="50">
        <v>64</v>
      </c>
      <c r="B65" s="51" t="s">
        <v>129</v>
      </c>
      <c r="C65" s="52" t="s">
        <v>652</v>
      </c>
      <c r="D65" s="52" t="s">
        <v>651</v>
      </c>
      <c r="E65" s="53" t="s">
        <v>71</v>
      </c>
      <c r="F65" s="54">
        <v>2015</v>
      </c>
    </row>
    <row r="66" spans="1:6" x14ac:dyDescent="0.2">
      <c r="A66" s="45">
        <v>65</v>
      </c>
      <c r="B66" s="46" t="s">
        <v>130</v>
      </c>
      <c r="C66" s="47" t="s">
        <v>653</v>
      </c>
      <c r="D66" s="47" t="s">
        <v>8</v>
      </c>
      <c r="E66" s="48" t="s">
        <v>72</v>
      </c>
      <c r="F66" s="49">
        <v>2019</v>
      </c>
    </row>
    <row r="67" spans="1:6" x14ac:dyDescent="0.2">
      <c r="A67" s="50">
        <v>66</v>
      </c>
      <c r="B67" s="51" t="s">
        <v>131</v>
      </c>
      <c r="C67" s="52" t="s">
        <v>655</v>
      </c>
      <c r="D67" s="52" t="s">
        <v>654</v>
      </c>
      <c r="E67" s="53" t="s">
        <v>73</v>
      </c>
      <c r="F67" s="54">
        <v>2013</v>
      </c>
    </row>
    <row r="68" spans="1:6" x14ac:dyDescent="0.2">
      <c r="A68" s="45">
        <v>67</v>
      </c>
      <c r="B68" s="46" t="s">
        <v>132</v>
      </c>
      <c r="C68" s="47" t="s">
        <v>657</v>
      </c>
      <c r="D68" s="47" t="s">
        <v>656</v>
      </c>
      <c r="E68" s="48" t="s">
        <v>74</v>
      </c>
      <c r="F68" s="49">
        <v>2019</v>
      </c>
    </row>
    <row r="69" spans="1:6" x14ac:dyDescent="0.2">
      <c r="A69" s="50">
        <v>68</v>
      </c>
      <c r="B69" s="51" t="s">
        <v>133</v>
      </c>
      <c r="C69" s="52" t="s">
        <v>658</v>
      </c>
      <c r="D69" s="52" t="s">
        <v>9</v>
      </c>
      <c r="E69" s="53" t="s">
        <v>75</v>
      </c>
      <c r="F69" s="54">
        <v>2019</v>
      </c>
    </row>
    <row r="70" spans="1:6" x14ac:dyDescent="0.2">
      <c r="A70" s="45">
        <v>69</v>
      </c>
      <c r="B70" s="46" t="s">
        <v>134</v>
      </c>
      <c r="C70" s="47" t="s">
        <v>660</v>
      </c>
      <c r="D70" s="47" t="s">
        <v>659</v>
      </c>
      <c r="E70" s="48" t="s">
        <v>415</v>
      </c>
      <c r="F70" s="49">
        <v>2018</v>
      </c>
    </row>
    <row r="71" spans="1:6" x14ac:dyDescent="0.2">
      <c r="A71" s="50">
        <v>70</v>
      </c>
      <c r="B71" s="51" t="s">
        <v>134</v>
      </c>
      <c r="C71" s="52" t="s">
        <v>660</v>
      </c>
      <c r="D71" s="52" t="s">
        <v>661</v>
      </c>
      <c r="E71" s="53" t="s">
        <v>416</v>
      </c>
      <c r="F71" s="54">
        <v>2019</v>
      </c>
    </row>
    <row r="72" spans="1:6" x14ac:dyDescent="0.2">
      <c r="A72" s="45">
        <v>71</v>
      </c>
      <c r="B72" s="46" t="s">
        <v>135</v>
      </c>
      <c r="C72" s="47" t="s">
        <v>663</v>
      </c>
      <c r="D72" s="47" t="s">
        <v>662</v>
      </c>
      <c r="E72" s="48" t="s">
        <v>76</v>
      </c>
      <c r="F72" s="49">
        <v>2017</v>
      </c>
    </row>
    <row r="73" spans="1:6" x14ac:dyDescent="0.2">
      <c r="A73" s="50">
        <v>72</v>
      </c>
      <c r="B73" s="51" t="s">
        <v>135</v>
      </c>
      <c r="C73" s="52" t="s">
        <v>665</v>
      </c>
      <c r="D73" s="52" t="s">
        <v>664</v>
      </c>
      <c r="E73" s="53" t="s">
        <v>77</v>
      </c>
      <c r="F73" s="54">
        <v>2012</v>
      </c>
    </row>
    <row r="74" spans="1:6" x14ac:dyDescent="0.2">
      <c r="A74" s="45">
        <v>73</v>
      </c>
      <c r="B74" s="46" t="s">
        <v>135</v>
      </c>
      <c r="C74" s="47" t="s">
        <v>667</v>
      </c>
      <c r="D74" s="47" t="s">
        <v>666</v>
      </c>
      <c r="E74" s="48" t="s">
        <v>78</v>
      </c>
      <c r="F74" s="49">
        <v>2018</v>
      </c>
    </row>
    <row r="75" spans="1:6" x14ac:dyDescent="0.2">
      <c r="A75" s="50">
        <v>74</v>
      </c>
      <c r="B75" s="51" t="s">
        <v>135</v>
      </c>
      <c r="C75" s="52" t="s">
        <v>669</v>
      </c>
      <c r="D75" s="52" t="s">
        <v>668</v>
      </c>
      <c r="E75" s="53" t="s">
        <v>79</v>
      </c>
      <c r="F75" s="54">
        <v>2016</v>
      </c>
    </row>
    <row r="76" spans="1:6" x14ac:dyDescent="0.2">
      <c r="A76" s="45">
        <v>75</v>
      </c>
      <c r="B76" s="46" t="s">
        <v>137</v>
      </c>
      <c r="C76" s="47" t="s">
        <v>549</v>
      </c>
      <c r="D76" s="47" t="s">
        <v>670</v>
      </c>
      <c r="E76" s="48" t="s">
        <v>417</v>
      </c>
      <c r="F76" s="49">
        <v>2016</v>
      </c>
    </row>
    <row r="77" spans="1:6" x14ac:dyDescent="0.2">
      <c r="A77" s="50">
        <v>76</v>
      </c>
      <c r="B77" s="51" t="s">
        <v>138</v>
      </c>
      <c r="C77" s="52" t="s">
        <v>672</v>
      </c>
      <c r="D77" s="52" t="s">
        <v>671</v>
      </c>
      <c r="E77" s="53" t="s">
        <v>80</v>
      </c>
      <c r="F77" s="54">
        <v>2014</v>
      </c>
    </row>
    <row r="78" spans="1:6" x14ac:dyDescent="0.2">
      <c r="A78" s="45">
        <v>77</v>
      </c>
      <c r="B78" s="46" t="s">
        <v>138</v>
      </c>
      <c r="C78" s="47" t="s">
        <v>672</v>
      </c>
      <c r="D78" s="47" t="s">
        <v>533</v>
      </c>
      <c r="E78" s="48" t="s">
        <v>81</v>
      </c>
      <c r="F78" s="49">
        <v>2020</v>
      </c>
    </row>
    <row r="79" spans="1:6" x14ac:dyDescent="0.2">
      <c r="A79" s="50">
        <v>78</v>
      </c>
      <c r="B79" s="51" t="s">
        <v>139</v>
      </c>
      <c r="C79" s="52" t="s">
        <v>674</v>
      </c>
      <c r="D79" s="52" t="s">
        <v>673</v>
      </c>
      <c r="E79" s="53" t="s">
        <v>82</v>
      </c>
      <c r="F79" s="54">
        <v>2013</v>
      </c>
    </row>
    <row r="80" spans="1:6" x14ac:dyDescent="0.2">
      <c r="A80" s="45">
        <v>79</v>
      </c>
      <c r="B80" s="46" t="s">
        <v>140</v>
      </c>
      <c r="C80" s="47" t="s">
        <v>676</v>
      </c>
      <c r="D80" s="47" t="s">
        <v>675</v>
      </c>
      <c r="E80" s="48" t="s">
        <v>83</v>
      </c>
      <c r="F80" s="49">
        <v>2020</v>
      </c>
    </row>
    <row r="81" spans="1:6" x14ac:dyDescent="0.2">
      <c r="A81" s="50">
        <v>80</v>
      </c>
      <c r="B81" s="51" t="s">
        <v>141</v>
      </c>
      <c r="C81" s="52" t="s">
        <v>678</v>
      </c>
      <c r="D81" s="52" t="s">
        <v>677</v>
      </c>
      <c r="E81" s="53" t="s">
        <v>84</v>
      </c>
      <c r="F81" s="54">
        <v>2013</v>
      </c>
    </row>
    <row r="82" spans="1:6" x14ac:dyDescent="0.2">
      <c r="A82" s="45">
        <v>81</v>
      </c>
      <c r="B82" s="46" t="s">
        <v>142</v>
      </c>
      <c r="C82" s="47" t="s">
        <v>679</v>
      </c>
      <c r="D82" s="47" t="s">
        <v>10</v>
      </c>
      <c r="E82" s="48" t="s">
        <v>85</v>
      </c>
      <c r="F82" s="49">
        <v>2020</v>
      </c>
    </row>
    <row r="83" spans="1:6" x14ac:dyDescent="0.2">
      <c r="A83" s="50">
        <v>82</v>
      </c>
      <c r="B83" s="51" t="s">
        <v>143</v>
      </c>
      <c r="C83" s="52" t="s">
        <v>681</v>
      </c>
      <c r="D83" s="52" t="s">
        <v>680</v>
      </c>
      <c r="E83" s="53" t="s">
        <v>86</v>
      </c>
      <c r="F83" s="54">
        <v>2010</v>
      </c>
    </row>
    <row r="84" spans="1:6" x14ac:dyDescent="0.2">
      <c r="A84" s="45">
        <v>83</v>
      </c>
      <c r="B84" s="46" t="s">
        <v>143</v>
      </c>
      <c r="C84" s="47" t="s">
        <v>683</v>
      </c>
      <c r="D84" s="47" t="s">
        <v>682</v>
      </c>
      <c r="E84" s="48" t="s">
        <v>87</v>
      </c>
      <c r="F84" s="49">
        <v>2019</v>
      </c>
    </row>
    <row r="85" spans="1:6" ht="16" thickBot="1" x14ac:dyDescent="0.25">
      <c r="A85" s="57">
        <v>84</v>
      </c>
      <c r="B85" s="58" t="s">
        <v>144</v>
      </c>
      <c r="C85" s="58" t="s">
        <v>685</v>
      </c>
      <c r="D85" s="58" t="s">
        <v>684</v>
      </c>
      <c r="E85" s="59" t="s">
        <v>88</v>
      </c>
      <c r="F85" s="60">
        <v>2012</v>
      </c>
    </row>
    <row r="86" spans="1:6" ht="16" thickTop="1" x14ac:dyDescent="0.2"/>
  </sheetData>
  <hyperlinks>
    <hyperlink ref="E29" r:id="rId1" xr:uid="{AC06930E-8044-4849-BD39-5F2D83E0B53F}"/>
    <hyperlink ref="E2" r:id="rId2" xr:uid="{36ACF8B3-608D-41E7-AAB1-B9831183EED4}"/>
    <hyperlink ref="E3" r:id="rId3" xr:uid="{C7F06E6A-988C-40DE-80FD-45CBDBCFC5A8}"/>
    <hyperlink ref="E4" r:id="rId4" xr:uid="{D61C15E2-D594-4BAA-9983-BE779343C6C9}"/>
    <hyperlink ref="E5" r:id="rId5" xr:uid="{DA857E19-16D4-4FF9-BF40-A83F6938F3C0}"/>
    <hyperlink ref="E6" r:id="rId6" xr:uid="{6AEFCF0B-6CE1-45F5-9DC8-0673220CAADF}"/>
    <hyperlink ref="E7" r:id="rId7" xr:uid="{12FC63C4-E633-4418-960E-2FD0FF244D3D}"/>
    <hyperlink ref="E8" r:id="rId8" xr:uid="{0A9D541A-AE38-42C4-A81B-2C93FE5DF153}"/>
    <hyperlink ref="E9" r:id="rId9" xr:uid="{5E1797A8-5EBA-40F4-90F6-0CB748B5ED45}"/>
    <hyperlink ref="E10" r:id="rId10" xr:uid="{78641003-BC9F-46C9-B18D-3E4685D99AB2}"/>
    <hyperlink ref="E11" r:id="rId11" xr:uid="{D316BC57-0C36-4137-A5F5-79708448D975}"/>
    <hyperlink ref="E12" r:id="rId12" xr:uid="{343ACF47-F69A-4E0D-9F87-5EE46C805FE3}"/>
    <hyperlink ref="E13" r:id="rId13" xr:uid="{2D9BBD70-1B6E-4CD5-9D7B-DFE36681C20B}"/>
    <hyperlink ref="E14" r:id="rId14" xr:uid="{9284D976-CC6A-4404-896D-3FC7AD249C68}"/>
    <hyperlink ref="E15" r:id="rId15" xr:uid="{4921FCDC-A68F-4C44-B676-9133A3FB3957}"/>
    <hyperlink ref="E16" r:id="rId16" xr:uid="{F840B47C-1C8E-4DD7-A540-24AF700AA82E}"/>
    <hyperlink ref="E17" r:id="rId17" xr:uid="{EDE36705-8EC4-470D-9EA9-752DDF2154A9}"/>
    <hyperlink ref="E18" r:id="rId18" xr:uid="{C98BD2A4-8183-4ABB-AF46-9C293C262037}"/>
    <hyperlink ref="E19" r:id="rId19" xr:uid="{D0F386AF-A28D-4BB4-85E7-D51F3300306F}"/>
    <hyperlink ref="E21" r:id="rId20" xr:uid="{F6D4C3CF-C7B4-46A2-B7E8-609094925D0D}"/>
    <hyperlink ref="E22" r:id="rId21" xr:uid="{AD010316-0E22-4036-AF46-68957B7680B0}"/>
    <hyperlink ref="E23" r:id="rId22" xr:uid="{9E264C9F-D10E-466F-87FF-8B2B34ECECD4}"/>
    <hyperlink ref="E24" r:id="rId23" xr:uid="{4D7E3EDE-3C1E-4CB8-9B26-3F4771D33AFD}"/>
    <hyperlink ref="E25" r:id="rId24" xr:uid="{BD344B0F-C613-42BC-A8FE-387C5E884FC1}"/>
    <hyperlink ref="E26" r:id="rId25" xr:uid="{1442B691-BB59-44BF-B591-9B05A24CD6E8}"/>
    <hyperlink ref="E27" r:id="rId26" xr:uid="{C664D0E5-6130-4BCE-9B7D-3A24206D88B1}"/>
    <hyperlink ref="E28" r:id="rId27" xr:uid="{D3A9ABE5-6887-44A9-9A5D-B9F9F0314154}"/>
    <hyperlink ref="E30" r:id="rId28" xr:uid="{8D7448D3-313B-4BA4-ADC3-F77FBA7AAED5}"/>
    <hyperlink ref="E31" r:id="rId29" xr:uid="{DF2AFB66-E46F-4606-8004-C75EC6826804}"/>
    <hyperlink ref="E32" r:id="rId30" xr:uid="{A2A6B90B-088B-401B-BD40-73F99ED8435A}"/>
    <hyperlink ref="E33" r:id="rId31" xr:uid="{81D0E4B6-C356-44A4-BD9A-F001D402A318}"/>
    <hyperlink ref="E34" r:id="rId32" xr:uid="{E578420E-21F7-4AAD-BE0C-F9FC60773A74}"/>
    <hyperlink ref="E35" r:id="rId33" xr:uid="{1AE882B4-5FAD-4016-8D54-8F83CC07A578}"/>
    <hyperlink ref="E36" r:id="rId34" xr:uid="{BD9B6D1D-8D06-4436-84F6-D655BE53A3DC}"/>
    <hyperlink ref="E37" r:id="rId35" xr:uid="{9D9292A8-CDD6-43D0-879E-30756E9D217B}"/>
    <hyperlink ref="E38" r:id="rId36" xr:uid="{DA6C4400-D839-47EC-8E19-FEA3EB0818F8}"/>
    <hyperlink ref="E39" r:id="rId37" xr:uid="{00F087A3-AE3E-43CB-9A2C-4210EB60E672}"/>
    <hyperlink ref="E40" r:id="rId38" xr:uid="{029B46D7-7815-47E4-906B-1204626377E8}"/>
    <hyperlink ref="E41" r:id="rId39" xr:uid="{7B2D0651-68A9-4DD9-83D5-75971EB2A096}"/>
    <hyperlink ref="E42" r:id="rId40" xr:uid="{C516F1F0-2CDE-4F9F-A37C-FAB33A4626B9}"/>
    <hyperlink ref="E43" r:id="rId41" xr:uid="{5B7360B6-1250-4020-A847-8AF458EECB8E}"/>
    <hyperlink ref="E44" r:id="rId42" xr:uid="{EA82DF66-26BD-44C1-A65F-168A396B60AD}"/>
    <hyperlink ref="E45" r:id="rId43" xr:uid="{CBC9C257-1729-49C1-BC49-7E100AF1422B}"/>
    <hyperlink ref="E46" r:id="rId44" display="https://www.leket.org/en/food-waste-and-rescue-report/" xr:uid="{8775C14E-887B-459D-AB76-7D3B75B79C5B}"/>
    <hyperlink ref="E47" r:id="rId45" xr:uid="{9BD8301D-C470-463B-AC62-5820A34B7F56}"/>
    <hyperlink ref="E49" r:id="rId46" xr:uid="{EC0B6A9F-6A63-41C3-A544-DA5A5B5EF724}"/>
    <hyperlink ref="E48" r:id="rId47" xr:uid="{A1D605F8-343A-4A25-B4CC-1BAA79880AC4}"/>
    <hyperlink ref="E50" r:id="rId48" xr:uid="{ED766CB7-7082-4546-AB3A-3EDA59F60B4D}"/>
    <hyperlink ref="E52" r:id="rId49" xr:uid="{8B343A7D-8D45-4CF7-B2EE-151DD0D0A6E7}"/>
    <hyperlink ref="E54" r:id="rId50" xr:uid="{81B4BC3D-F26F-4551-9426-AE670AB3C90A}"/>
    <hyperlink ref="E55" r:id="rId51" xr:uid="{DA95580F-B121-42E1-AB60-93996C0C55ED}"/>
    <hyperlink ref="E56" r:id="rId52" xr:uid="{61B98817-CC65-49E2-BBAA-E1920EE9B753}"/>
    <hyperlink ref="E57" r:id="rId53" xr:uid="{2DCCF0F5-B266-4D80-85CD-66A4429C40D4}"/>
    <hyperlink ref="E58" r:id="rId54" xr:uid="{366D96DF-9D90-4607-8DCF-344762D64C2F}"/>
    <hyperlink ref="E59" r:id="rId55" xr:uid="{200C2DF3-DA87-408F-A1FB-0DA282643E91}"/>
    <hyperlink ref="E60" r:id="rId56" xr:uid="{22FC2B5B-C4B4-4D7F-AB39-99318F5BABF0}"/>
    <hyperlink ref="E61" r:id="rId57" xr:uid="{0A7F3C1D-D3C8-4E68-AC7E-A450A064D0DF}"/>
    <hyperlink ref="E62" r:id="rId58" xr:uid="{4EC6085F-95BA-4858-AA01-F9BFDC64DE28}"/>
    <hyperlink ref="E63" r:id="rId59" xr:uid="{E38279FB-ADF4-4D0F-A1AB-82553E6FB733}"/>
    <hyperlink ref="E64" r:id="rId60" xr:uid="{F6635E59-8A39-4793-9542-C14DC2F540A6}"/>
    <hyperlink ref="E65" r:id="rId61" xr:uid="{F7128BE7-7128-4546-8BD2-AC8FA85B2316}"/>
    <hyperlink ref="E66" r:id="rId62" xr:uid="{5AEB4365-D80F-46A9-BB58-BC21568EB1BD}"/>
    <hyperlink ref="E67" r:id="rId63" xr:uid="{73383ED4-C35E-4C49-81B0-0AB6103176D5}"/>
    <hyperlink ref="E68" r:id="rId64" xr:uid="{6362F8DB-CF5A-472A-8A2A-9DB2472573D8}"/>
    <hyperlink ref="E69" r:id="rId65" xr:uid="{9088380E-D231-4CA8-AF9A-51862D237A82}"/>
    <hyperlink ref="E71" r:id="rId66" xr:uid="{AB43DBC3-3F4E-4239-B027-1352F1FF97A5}"/>
    <hyperlink ref="E70" r:id="rId67" xr:uid="{54EE7A79-6AC8-4557-BB8E-261F2E0C6AE9}"/>
    <hyperlink ref="E72" r:id="rId68" xr:uid="{DF3CA309-BEB8-42D3-954A-1A44CC68D542}"/>
    <hyperlink ref="E74" r:id="rId69" xr:uid="{CF76A5B9-204C-47A8-8D35-01D7C470A086}"/>
    <hyperlink ref="E73" r:id="rId70" xr:uid="{AD192799-E264-4110-85EA-12F124D2ECB2}"/>
    <hyperlink ref="E75" r:id="rId71" xr:uid="{5301B730-2CF1-4E81-8757-DC0BC14309A7}"/>
    <hyperlink ref="E76" r:id="rId72" xr:uid="{F74B17A6-51B1-4EAB-9ED7-C49ECA859157}"/>
    <hyperlink ref="E77" r:id="rId73" xr:uid="{54156BC1-8267-4E3B-AC7C-693BFAA826D7}"/>
    <hyperlink ref="E78" r:id="rId74" xr:uid="{84E4CDFD-6F62-4BE2-A7CA-3624037D06D5}"/>
    <hyperlink ref="E79" r:id="rId75" xr:uid="{7B9AAB3C-D8AB-4C7A-9E05-B06BB0C61E64}"/>
    <hyperlink ref="E80" r:id="rId76" xr:uid="{7BF5AD0B-55B1-453B-B982-CC401DB55B49}"/>
    <hyperlink ref="E81" r:id="rId77" xr:uid="{C9BD7C9B-EF28-4A49-B8E2-EAAB81E8EFA7}"/>
    <hyperlink ref="E82" r:id="rId78" xr:uid="{B52FAD38-32C8-4ADA-A303-B88459F00818}"/>
    <hyperlink ref="E83" r:id="rId79" xr:uid="{D927E548-1FB5-445C-82E9-E54FCDF927A5}"/>
    <hyperlink ref="E84" r:id="rId80" xr:uid="{7979A4B1-A82C-4EC3-A199-A93AA46957F8}"/>
    <hyperlink ref="E85" r:id="rId81" xr:uid="{5C4C5F4F-348A-48A9-B6FC-34DAF8C0A931}"/>
  </hyperlinks>
  <pageMargins left="0.7" right="0.7" top="0.75" bottom="0.75" header="0.3" footer="0.3"/>
  <pageSetup paperSize="9" orientation="portrait" verticalDpi="0" r:id="rId8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2264-893E-49C0-B1E8-07D6EABF9CED}">
  <sheetPr>
    <tabColor theme="4" tint="0.59999389629810485"/>
  </sheetPr>
  <dimension ref="A1:AU153"/>
  <sheetViews>
    <sheetView topLeftCell="O1" zoomScale="130" zoomScaleNormal="130" workbookViewId="0">
      <selection activeCell="R7" sqref="R7"/>
    </sheetView>
  </sheetViews>
  <sheetFormatPr baseColWidth="10" defaultColWidth="8.6640625" defaultRowHeight="15" x14ac:dyDescent="0.2"/>
  <cols>
    <col min="1" max="1" width="9" customWidth="1"/>
    <col min="2" max="2" width="51.83203125" customWidth="1"/>
    <col min="3" max="3" width="16.33203125" customWidth="1"/>
    <col min="5" max="5" width="9.5" customWidth="1"/>
    <col min="6" max="6" width="9.33203125" customWidth="1"/>
    <col min="7" max="7" width="13.33203125" customWidth="1"/>
    <col min="8" max="8" width="15.1640625" customWidth="1"/>
    <col min="9" max="9" width="20.33203125" customWidth="1"/>
    <col min="10" max="10" width="16.1640625" customWidth="1"/>
    <col min="11" max="11" width="17.1640625" customWidth="1"/>
    <col min="12" max="12" width="27.33203125" customWidth="1"/>
    <col min="13" max="13" width="11.83203125" customWidth="1"/>
    <col min="14" max="14" width="13.33203125" customWidth="1"/>
    <col min="16" max="16" width="9.5" customWidth="1"/>
    <col min="17" max="17" width="17.5" customWidth="1"/>
    <col min="18" max="18" width="88.1640625" customWidth="1"/>
    <col min="19" max="19" width="15.33203125" style="2" customWidth="1"/>
    <col min="20" max="20" width="17.5" style="2" customWidth="1"/>
    <col min="21" max="21" width="15.6640625" customWidth="1"/>
    <col min="22" max="22" width="15.83203125" style="3" customWidth="1"/>
    <col min="24" max="24" width="24.1640625" style="3" customWidth="1"/>
    <col min="25" max="25" width="52.83203125" customWidth="1"/>
    <col min="26" max="26" width="17.1640625" style="5" customWidth="1"/>
    <col min="27" max="27" width="24.6640625" customWidth="1"/>
    <col min="28" max="30" width="17.1640625" style="5" customWidth="1"/>
    <col min="31" max="31" width="38" style="4" customWidth="1"/>
    <col min="32" max="32" width="38" style="5" customWidth="1"/>
    <col min="33" max="33" width="33.6640625" style="5" customWidth="1"/>
    <col min="34" max="34" width="27.5" style="4" customWidth="1"/>
    <col min="35" max="35" width="21.1640625" style="24" customWidth="1"/>
    <col min="36" max="36" width="35.1640625" customWidth="1"/>
    <col min="37" max="38" width="27.5" style="24" customWidth="1"/>
    <col min="39" max="40" width="27.5" style="4" customWidth="1"/>
    <col min="41" max="41" width="34.5" customWidth="1"/>
    <col min="42" max="42" width="34.1640625" customWidth="1"/>
    <col min="43" max="43" width="35.6640625" customWidth="1"/>
    <col min="44" max="44" width="29.83203125" customWidth="1"/>
    <col min="45" max="45" width="18" customWidth="1"/>
    <col min="46" max="46" width="25" style="27" customWidth="1"/>
  </cols>
  <sheetData>
    <row r="1" spans="1:47" x14ac:dyDescent="0.2">
      <c r="A1" s="29" t="s">
        <v>451</v>
      </c>
      <c r="B1" s="15" t="s">
        <v>0</v>
      </c>
      <c r="C1" s="15" t="s">
        <v>452</v>
      </c>
      <c r="D1" s="16" t="s">
        <v>89</v>
      </c>
      <c r="E1" s="14" t="s">
        <v>90</v>
      </c>
      <c r="F1" s="15" t="s">
        <v>453</v>
      </c>
      <c r="G1" s="15" t="s">
        <v>145</v>
      </c>
      <c r="H1" s="15" t="s">
        <v>158</v>
      </c>
      <c r="I1" t="s">
        <v>454</v>
      </c>
      <c r="J1" t="s">
        <v>455</v>
      </c>
      <c r="K1" s="15" t="s">
        <v>456</v>
      </c>
      <c r="L1" s="17" t="s">
        <v>220</v>
      </c>
      <c r="M1" s="14" t="s">
        <v>221</v>
      </c>
      <c r="N1" s="15" t="s">
        <v>457</v>
      </c>
      <c r="O1" s="16" t="s">
        <v>222</v>
      </c>
      <c r="P1" s="14" t="s">
        <v>223</v>
      </c>
      <c r="Q1" s="15" t="s">
        <v>458</v>
      </c>
      <c r="R1" s="15" t="s">
        <v>230</v>
      </c>
      <c r="S1" s="154" t="s">
        <v>459</v>
      </c>
      <c r="T1" s="153" t="s">
        <v>461</v>
      </c>
      <c r="U1" s="30" t="s">
        <v>465</v>
      </c>
      <c r="V1" s="28" t="s">
        <v>398</v>
      </c>
      <c r="W1" s="15" t="s">
        <v>397</v>
      </c>
      <c r="X1" s="18" t="s">
        <v>466</v>
      </c>
      <c r="Y1" s="155" t="s">
        <v>513</v>
      </c>
      <c r="Z1" s="19" t="s">
        <v>444</v>
      </c>
      <c r="AA1" t="s">
        <v>445</v>
      </c>
      <c r="AB1" s="20" t="s">
        <v>468</v>
      </c>
      <c r="AC1" s="20" t="s">
        <v>467</v>
      </c>
      <c r="AD1" s="20" t="s">
        <v>476</v>
      </c>
      <c r="AE1" s="4" t="s">
        <v>469</v>
      </c>
      <c r="AF1" s="21" t="s">
        <v>470</v>
      </c>
      <c r="AG1" s="21" t="s">
        <v>471</v>
      </c>
      <c r="AH1" s="22" t="s">
        <v>530</v>
      </c>
      <c r="AI1" s="23" t="s">
        <v>472</v>
      </c>
      <c r="AJ1" s="15" t="s">
        <v>449</v>
      </c>
      <c r="AK1" s="24" t="s">
        <v>473</v>
      </c>
      <c r="AL1" s="24" t="s">
        <v>474</v>
      </c>
      <c r="AM1" s="22" t="s">
        <v>475</v>
      </c>
      <c r="AN1" s="25" t="s">
        <v>477</v>
      </c>
      <c r="AO1" s="152" t="s">
        <v>478</v>
      </c>
      <c r="AP1" s="152" t="s">
        <v>479</v>
      </c>
      <c r="AQ1" s="152" t="s">
        <v>480</v>
      </c>
      <c r="AR1" s="152" t="s">
        <v>481</v>
      </c>
      <c r="AS1" s="152" t="s">
        <v>482</v>
      </c>
      <c r="AT1" s="26" t="s">
        <v>483</v>
      </c>
      <c r="AU1" t="s">
        <v>887</v>
      </c>
    </row>
    <row r="2" spans="1:47" s="7" customFormat="1" x14ac:dyDescent="0.2">
      <c r="A2" s="115">
        <v>14</v>
      </c>
      <c r="B2" s="116" t="s">
        <v>563</v>
      </c>
      <c r="C2" s="116">
        <v>2021</v>
      </c>
      <c r="D2" s="117" t="s">
        <v>24</v>
      </c>
      <c r="E2" s="118" t="s">
        <v>99</v>
      </c>
      <c r="F2" s="116">
        <v>156</v>
      </c>
      <c r="G2" s="116" t="s">
        <v>152</v>
      </c>
      <c r="H2" s="116" t="s">
        <v>160</v>
      </c>
      <c r="I2" s="7" t="s">
        <v>163</v>
      </c>
      <c r="J2" s="7" t="s">
        <v>166</v>
      </c>
      <c r="K2" s="116" t="s">
        <v>176</v>
      </c>
      <c r="L2" s="105">
        <v>1433.7837</v>
      </c>
      <c r="M2" s="118">
        <v>1</v>
      </c>
      <c r="N2" s="116"/>
      <c r="O2" s="119"/>
      <c r="P2" s="118" t="s">
        <v>227</v>
      </c>
      <c r="Q2" s="116">
        <v>2</v>
      </c>
      <c r="R2" s="116" t="s">
        <v>253</v>
      </c>
      <c r="S2" s="120">
        <v>1</v>
      </c>
      <c r="T2" s="120">
        <v>1</v>
      </c>
      <c r="U2" s="125">
        <v>2017</v>
      </c>
      <c r="V2" s="122"/>
      <c r="W2" s="116"/>
      <c r="X2" s="131"/>
      <c r="Y2" s="127"/>
      <c r="Z2" s="123"/>
      <c r="AB2" s="109" t="s">
        <v>374</v>
      </c>
      <c r="AC2" s="109" t="s">
        <v>374</v>
      </c>
      <c r="AD2" s="124" t="s">
        <v>374</v>
      </c>
      <c r="AE2" s="111">
        <v>0</v>
      </c>
      <c r="AF2" s="110">
        <v>0</v>
      </c>
      <c r="AG2" s="110">
        <v>0</v>
      </c>
      <c r="AH2" s="112">
        <v>0</v>
      </c>
      <c r="AI2" s="113">
        <v>7.25</v>
      </c>
      <c r="AJ2" s="116" t="s">
        <v>377</v>
      </c>
      <c r="AK2" s="68">
        <v>7.25</v>
      </c>
      <c r="AL2" s="68">
        <v>7.25</v>
      </c>
      <c r="AM2" s="112">
        <v>7.25</v>
      </c>
      <c r="AN2" s="111">
        <f>IF(Level1[[#This Row],[Standardised_Normalised_Mass_kg/capita/year]]&lt;&gt;"",Level1[[#This Row],[Standardised_Normalised_Mass_kg/capita/year]],Level1[[#This Row],[Derived_Normalised_kg/capita/year]])</f>
        <v>7.25</v>
      </c>
      <c r="AO2" s="68">
        <f>IF(Level1[[#This Row],[Household]]=1,IF(Level1[[#This Row],[Household_Diary?]]=1,'Cover Sheet'!$R$31,1),1)</f>
        <v>1.4326647564469914</v>
      </c>
      <c r="AP2" s="68">
        <f>IF(Level1[[#This Row],[Household]]=1,IF(Level1[[#This Row],[Edible_Waste_Only?]]=1,'Cover Sheet'!$R$32,1),1)</f>
        <v>2.0408117215309693</v>
      </c>
      <c r="AQ2" s="68">
        <f>IF(Level1[[#This Row],[Food_Service]]=1,IF(Level1[[#This Row],[Edible_Waste_Only?]]=1,'Cover Sheet'!$R$33,1),1)</f>
        <v>1</v>
      </c>
      <c r="AR2" s="68">
        <f>IF(Level1[[#This Row],[Retail]]=1,IF(Level1[[#This Row],[Edible_Waste_Only?]]=1,'Cover Sheet'!$R$34,1),1)</f>
        <v>1</v>
      </c>
      <c r="AS2" s="68">
        <f>PRODUCT(Level1[[#This Row],[Household_Diary_Adjustment]:[Retail_Inedible_Adjustment]])</f>
        <v>2.9237990279813313</v>
      </c>
      <c r="AT2" s="151">
        <f>Level1[[#This Row],[Preferred_estimate_kg/capita]]*Level1[[#This Row],[Total_Adjustment]]</f>
        <v>21.197542952864652</v>
      </c>
      <c r="AU2" s="186"/>
    </row>
    <row r="3" spans="1:47" x14ac:dyDescent="0.2">
      <c r="A3" s="115">
        <v>18</v>
      </c>
      <c r="B3" s="116" t="s">
        <v>571</v>
      </c>
      <c r="C3" s="116">
        <v>2020</v>
      </c>
      <c r="D3" s="117" t="s">
        <v>28</v>
      </c>
      <c r="E3" s="118" t="s">
        <v>99</v>
      </c>
      <c r="F3" s="116">
        <v>156</v>
      </c>
      <c r="G3" s="116" t="s">
        <v>152</v>
      </c>
      <c r="H3" s="116" t="s">
        <v>160</v>
      </c>
      <c r="I3" s="7" t="s">
        <v>163</v>
      </c>
      <c r="J3" s="7" t="s">
        <v>166</v>
      </c>
      <c r="K3" s="116" t="s">
        <v>178</v>
      </c>
      <c r="L3" s="105">
        <v>1433.7837</v>
      </c>
      <c r="M3" s="118">
        <v>1</v>
      </c>
      <c r="N3" s="116"/>
      <c r="O3" s="119"/>
      <c r="P3" s="118" t="s">
        <v>226</v>
      </c>
      <c r="Q3" s="116">
        <v>2</v>
      </c>
      <c r="R3" s="116" t="s">
        <v>257</v>
      </c>
      <c r="S3" s="120"/>
      <c r="T3" s="120"/>
      <c r="U3" s="125">
        <v>2018</v>
      </c>
      <c r="V3" s="122"/>
      <c r="W3" s="116"/>
      <c r="X3" s="131"/>
      <c r="Y3" s="127"/>
      <c r="Z3" s="123">
        <v>126</v>
      </c>
      <c r="AA3" s="7" t="s">
        <v>367</v>
      </c>
      <c r="AB3" s="109">
        <v>126</v>
      </c>
      <c r="AC3" s="109">
        <v>126000000</v>
      </c>
      <c r="AD3" s="124">
        <v>126000000</v>
      </c>
      <c r="AE3" s="111">
        <v>0</v>
      </c>
      <c r="AF3" s="110">
        <v>0</v>
      </c>
      <c r="AG3" s="110">
        <v>839460000</v>
      </c>
      <c r="AH3" s="112">
        <v>0</v>
      </c>
      <c r="AI3" s="113">
        <v>150</v>
      </c>
      <c r="AJ3" s="116" t="s">
        <v>377</v>
      </c>
      <c r="AK3" s="68">
        <v>150</v>
      </c>
      <c r="AL3" s="68">
        <v>150</v>
      </c>
      <c r="AM3" s="112">
        <v>150</v>
      </c>
      <c r="AN3" s="111">
        <f>IF(Level1[[#This Row],[Standardised_Normalised_Mass_kg/capita/year]]&lt;&gt;"",Level1[[#This Row],[Standardised_Normalised_Mass_kg/capita/year]],Level1[[#This Row],[Derived_Normalised_kg/capita/year]])</f>
        <v>150</v>
      </c>
      <c r="AO3" s="68">
        <f>IF(Level1[[#This Row],[Household]]=1,IF(Level1[[#This Row],[Household_Diary?]]=1,'Cover Sheet'!$R$31,1),1)</f>
        <v>1</v>
      </c>
      <c r="AP3" s="68">
        <f>IF(Level1[[#This Row],[Household]]=1,IF(Level1[[#This Row],[Edible_Waste_Only?]]=1,'Cover Sheet'!$R$32,1),1)</f>
        <v>1</v>
      </c>
      <c r="AQ3" s="68">
        <f>IF(Level1[[#This Row],[Food_Service]]=1,IF(Level1[[#This Row],[Edible_Waste_Only?]]=1,'Cover Sheet'!$R$33,1),1)</f>
        <v>1</v>
      </c>
      <c r="AR3" s="68">
        <f>IF(Level1[[#This Row],[Retail]]=1,IF(Level1[[#This Row],[Edible_Waste_Only?]]=1,'Cover Sheet'!$R$34,1),1)</f>
        <v>1</v>
      </c>
      <c r="AS3" s="68">
        <f>PRODUCT(Level1[[#This Row],[Household_Diary_Adjustment]:[Retail_Inedible_Adjustment]])</f>
        <v>1</v>
      </c>
      <c r="AT3" s="114">
        <f>Level1[[#This Row],[Preferred_estimate_kg/capita]]*Level1[[#This Row],[Total_Adjustment]]</f>
        <v>150</v>
      </c>
      <c r="AU3" s="186"/>
    </row>
    <row r="4" spans="1:47" x14ac:dyDescent="0.2">
      <c r="A4" s="102">
        <v>18</v>
      </c>
      <c r="B4" s="116" t="s">
        <v>571</v>
      </c>
      <c r="C4" s="7">
        <v>2020</v>
      </c>
      <c r="D4" s="103" t="s">
        <v>28</v>
      </c>
      <c r="E4" s="104" t="s">
        <v>99</v>
      </c>
      <c r="F4" s="7">
        <v>156</v>
      </c>
      <c r="G4" s="7" t="s">
        <v>152</v>
      </c>
      <c r="H4" s="7" t="s">
        <v>160</v>
      </c>
      <c r="I4" s="7" t="s">
        <v>163</v>
      </c>
      <c r="J4" s="7" t="s">
        <v>166</v>
      </c>
      <c r="K4" s="7" t="s">
        <v>179</v>
      </c>
      <c r="L4" s="105">
        <v>1433.7837</v>
      </c>
      <c r="M4" s="104"/>
      <c r="N4" s="7">
        <v>1</v>
      </c>
      <c r="O4" s="105"/>
      <c r="P4" s="104" t="s">
        <v>226</v>
      </c>
      <c r="Q4" s="7">
        <v>1</v>
      </c>
      <c r="R4" s="7" t="s">
        <v>258</v>
      </c>
      <c r="S4" s="8"/>
      <c r="T4" s="8"/>
      <c r="U4" s="128">
        <v>2018</v>
      </c>
      <c r="V4" s="107"/>
      <c r="W4" s="7"/>
      <c r="X4" s="129"/>
      <c r="Y4" s="130"/>
      <c r="Z4" s="108"/>
      <c r="AA4" s="7"/>
      <c r="AB4" s="109" t="s">
        <v>374</v>
      </c>
      <c r="AC4" s="109" t="s">
        <v>374</v>
      </c>
      <c r="AD4" s="110" t="s">
        <v>374</v>
      </c>
      <c r="AE4" s="111">
        <v>0</v>
      </c>
      <c r="AF4" s="110">
        <v>0</v>
      </c>
      <c r="AG4" s="110">
        <v>0</v>
      </c>
      <c r="AH4" s="112">
        <v>0</v>
      </c>
      <c r="AI4" s="113">
        <v>0.14199999999999999</v>
      </c>
      <c r="AJ4" s="7" t="s">
        <v>375</v>
      </c>
      <c r="AK4" s="68">
        <v>0.14199999999999999</v>
      </c>
      <c r="AL4" s="68">
        <v>51.865499999999997</v>
      </c>
      <c r="AM4" s="112">
        <v>51.865499999999997</v>
      </c>
      <c r="AN4" s="111">
        <f>IF(Level1[[#This Row],[Standardised_Normalised_Mass_kg/capita/year]]&lt;&gt;"",Level1[[#This Row],[Standardised_Normalised_Mass_kg/capita/year]],Level1[[#This Row],[Derived_Normalised_kg/capita/year]])</f>
        <v>51.865499999999997</v>
      </c>
      <c r="AO4" s="68">
        <f>IF(Level1[[#This Row],[Household]]=1,IF(Level1[[#This Row],[Household_Diary?]]=1,'Cover Sheet'!$R$31,1),1)</f>
        <v>1</v>
      </c>
      <c r="AP4" s="68">
        <f>IF(Level1[[#This Row],[Household]]=1,IF(Level1[[#This Row],[Edible_Waste_Only?]]=1,'Cover Sheet'!$R$32,1),1)</f>
        <v>1</v>
      </c>
      <c r="AQ4" s="68">
        <f>IF(Level1[[#This Row],[Food_Service]]=1,IF(Level1[[#This Row],[Edible_Waste_Only?]]=1,'Cover Sheet'!$R$33,1),1)</f>
        <v>1</v>
      </c>
      <c r="AR4" s="68">
        <f>IF(Level1[[#This Row],[Retail]]=1,IF(Level1[[#This Row],[Edible_Waste_Only?]]=1,'Cover Sheet'!$R$34,1),1)</f>
        <v>1</v>
      </c>
      <c r="AS4" s="68">
        <f>PRODUCT(Level1[[#This Row],[Household_Diary_Adjustment]:[Retail_Inedible_Adjustment]])</f>
        <v>1</v>
      </c>
      <c r="AT4" s="114">
        <f>Level1[[#This Row],[Preferred_estimate_kg/capita]]*Level1[[#This Row],[Total_Adjustment]]</f>
        <v>51.865499999999997</v>
      </c>
      <c r="AU4" s="186"/>
    </row>
    <row r="5" spans="1:47" x14ac:dyDescent="0.2">
      <c r="A5" s="115">
        <v>18</v>
      </c>
      <c r="B5" s="116" t="s">
        <v>571</v>
      </c>
      <c r="C5" s="116">
        <v>2020</v>
      </c>
      <c r="D5" s="117" t="s">
        <v>28</v>
      </c>
      <c r="E5" s="118" t="s">
        <v>99</v>
      </c>
      <c r="F5" s="116">
        <v>156</v>
      </c>
      <c r="G5" s="116" t="s">
        <v>152</v>
      </c>
      <c r="H5" s="116" t="s">
        <v>160</v>
      </c>
      <c r="I5" s="7" t="s">
        <v>163</v>
      </c>
      <c r="J5" s="7" t="s">
        <v>166</v>
      </c>
      <c r="K5" s="116" t="s">
        <v>180</v>
      </c>
      <c r="L5" s="105">
        <v>1433.7837</v>
      </c>
      <c r="M5" s="118"/>
      <c r="N5" s="116">
        <v>1</v>
      </c>
      <c r="O5" s="119"/>
      <c r="P5" s="118" t="s">
        <v>226</v>
      </c>
      <c r="Q5" s="116">
        <v>1</v>
      </c>
      <c r="R5" s="116" t="s">
        <v>258</v>
      </c>
      <c r="S5" s="120"/>
      <c r="T5" s="120"/>
      <c r="U5" s="125">
        <v>2018</v>
      </c>
      <c r="V5" s="122"/>
      <c r="W5" s="116"/>
      <c r="X5" s="131"/>
      <c r="Y5" s="127"/>
      <c r="Z5" s="123"/>
      <c r="AA5" s="7"/>
      <c r="AB5" s="109" t="s">
        <v>374</v>
      </c>
      <c r="AC5" s="109" t="s">
        <v>374</v>
      </c>
      <c r="AD5" s="124" t="s">
        <v>374</v>
      </c>
      <c r="AE5" s="111">
        <v>0</v>
      </c>
      <c r="AF5" s="110">
        <v>0</v>
      </c>
      <c r="AG5" s="110">
        <v>0</v>
      </c>
      <c r="AH5" s="112">
        <v>0</v>
      </c>
      <c r="AI5" s="113">
        <v>0.13500000000000001</v>
      </c>
      <c r="AJ5" s="116" t="s">
        <v>375</v>
      </c>
      <c r="AK5" s="68">
        <v>0.13500000000000001</v>
      </c>
      <c r="AL5" s="68">
        <v>49.308750000000003</v>
      </c>
      <c r="AM5" s="112">
        <v>49.308750000000003</v>
      </c>
      <c r="AN5" s="111">
        <f>IF(Level1[[#This Row],[Standardised_Normalised_Mass_kg/capita/year]]&lt;&gt;"",Level1[[#This Row],[Standardised_Normalised_Mass_kg/capita/year]],Level1[[#This Row],[Derived_Normalised_kg/capita/year]])</f>
        <v>49.308750000000003</v>
      </c>
      <c r="AO5" s="68">
        <f>IF(Level1[[#This Row],[Household]]=1,IF(Level1[[#This Row],[Household_Diary?]]=1,'Cover Sheet'!$R$31,1),1)</f>
        <v>1</v>
      </c>
      <c r="AP5" s="68">
        <f>IF(Level1[[#This Row],[Household]]=1,IF(Level1[[#This Row],[Edible_Waste_Only?]]=1,'Cover Sheet'!$R$32,1),1)</f>
        <v>1</v>
      </c>
      <c r="AQ5" s="68">
        <f>IF(Level1[[#This Row],[Food_Service]]=1,IF(Level1[[#This Row],[Edible_Waste_Only?]]=1,'Cover Sheet'!$R$33,1),1)</f>
        <v>1</v>
      </c>
      <c r="AR5" s="68">
        <f>IF(Level1[[#This Row],[Retail]]=1,IF(Level1[[#This Row],[Edible_Waste_Only?]]=1,'Cover Sheet'!$R$34,1),1)</f>
        <v>1</v>
      </c>
      <c r="AS5" s="68">
        <f>PRODUCT(Level1[[#This Row],[Household_Diary_Adjustment]:[Retail_Inedible_Adjustment]])</f>
        <v>1</v>
      </c>
      <c r="AT5" s="114">
        <f>Level1[[#This Row],[Preferred_estimate_kg/capita]]*Level1[[#This Row],[Total_Adjustment]]</f>
        <v>49.308750000000003</v>
      </c>
      <c r="AU5" s="186"/>
    </row>
    <row r="6" spans="1:47" x14ac:dyDescent="0.2">
      <c r="A6" s="102">
        <v>18</v>
      </c>
      <c r="B6" s="116" t="s">
        <v>571</v>
      </c>
      <c r="C6" s="7">
        <v>2020</v>
      </c>
      <c r="D6" s="103" t="s">
        <v>28</v>
      </c>
      <c r="E6" s="104" t="s">
        <v>99</v>
      </c>
      <c r="F6" s="7">
        <v>156</v>
      </c>
      <c r="G6" s="7" t="s">
        <v>152</v>
      </c>
      <c r="H6" s="7" t="s">
        <v>160</v>
      </c>
      <c r="I6" s="7" t="s">
        <v>163</v>
      </c>
      <c r="J6" s="7" t="s">
        <v>166</v>
      </c>
      <c r="K6" s="7" t="s">
        <v>181</v>
      </c>
      <c r="L6" s="105">
        <v>1433.7837</v>
      </c>
      <c r="M6" s="104"/>
      <c r="N6" s="7">
        <v>1</v>
      </c>
      <c r="O6" s="105"/>
      <c r="P6" s="104" t="s">
        <v>226</v>
      </c>
      <c r="Q6" s="7">
        <v>1</v>
      </c>
      <c r="R6" s="7" t="s">
        <v>258</v>
      </c>
      <c r="S6" s="8"/>
      <c r="T6" s="8"/>
      <c r="U6" s="128">
        <v>2018</v>
      </c>
      <c r="V6" s="107"/>
      <c r="W6" s="7"/>
      <c r="X6" s="129"/>
      <c r="Y6" s="130"/>
      <c r="Z6" s="108"/>
      <c r="AA6" s="7"/>
      <c r="AB6" s="109" t="s">
        <v>374</v>
      </c>
      <c r="AC6" s="109" t="s">
        <v>374</v>
      </c>
      <c r="AD6" s="110" t="s">
        <v>374</v>
      </c>
      <c r="AE6" s="111">
        <v>0</v>
      </c>
      <c r="AF6" s="110">
        <v>0</v>
      </c>
      <c r="AG6" s="110">
        <v>0</v>
      </c>
      <c r="AH6" s="112">
        <v>0</v>
      </c>
      <c r="AI6" s="113">
        <v>0.13</v>
      </c>
      <c r="AJ6" s="7" t="s">
        <v>375</v>
      </c>
      <c r="AK6" s="68">
        <v>0.13</v>
      </c>
      <c r="AL6" s="68">
        <v>47.482500000000002</v>
      </c>
      <c r="AM6" s="112">
        <v>47.482500000000002</v>
      </c>
      <c r="AN6" s="111">
        <f>IF(Level1[[#This Row],[Standardised_Normalised_Mass_kg/capita/year]]&lt;&gt;"",Level1[[#This Row],[Standardised_Normalised_Mass_kg/capita/year]],Level1[[#This Row],[Derived_Normalised_kg/capita/year]])</f>
        <v>47.482500000000002</v>
      </c>
      <c r="AO6" s="68">
        <f>IF(Level1[[#This Row],[Household]]=1,IF(Level1[[#This Row],[Household_Diary?]]=1,'Cover Sheet'!$R$31,1),1)</f>
        <v>1</v>
      </c>
      <c r="AP6" s="68">
        <f>IF(Level1[[#This Row],[Household]]=1,IF(Level1[[#This Row],[Edible_Waste_Only?]]=1,'Cover Sheet'!$R$32,1),1)</f>
        <v>1</v>
      </c>
      <c r="AQ6" s="68">
        <f>IF(Level1[[#This Row],[Food_Service]]=1,IF(Level1[[#This Row],[Edible_Waste_Only?]]=1,'Cover Sheet'!$R$33,1),1)</f>
        <v>1</v>
      </c>
      <c r="AR6" s="68">
        <f>IF(Level1[[#This Row],[Retail]]=1,IF(Level1[[#This Row],[Edible_Waste_Only?]]=1,'Cover Sheet'!$R$34,1),1)</f>
        <v>1</v>
      </c>
      <c r="AS6" s="68">
        <f>PRODUCT(Level1[[#This Row],[Household_Diary_Adjustment]:[Retail_Inedible_Adjustment]])</f>
        <v>1</v>
      </c>
      <c r="AT6" s="114">
        <f>Level1[[#This Row],[Preferred_estimate_kg/capita]]*Level1[[#This Row],[Total_Adjustment]]</f>
        <v>47.482500000000002</v>
      </c>
      <c r="AU6" s="186"/>
    </row>
    <row r="7" spans="1:47" x14ac:dyDescent="0.2">
      <c r="A7" s="115">
        <v>18</v>
      </c>
      <c r="B7" s="116" t="s">
        <v>571</v>
      </c>
      <c r="C7" s="116">
        <v>2020</v>
      </c>
      <c r="D7" s="117" t="s">
        <v>28</v>
      </c>
      <c r="E7" s="118" t="s">
        <v>99</v>
      </c>
      <c r="F7" s="116">
        <v>156</v>
      </c>
      <c r="G7" s="116" t="s">
        <v>152</v>
      </c>
      <c r="H7" s="116" t="s">
        <v>160</v>
      </c>
      <c r="I7" s="7" t="s">
        <v>163</v>
      </c>
      <c r="J7" s="7" t="s">
        <v>166</v>
      </c>
      <c r="K7" s="116" t="s">
        <v>178</v>
      </c>
      <c r="L7" s="105">
        <v>1433.7837</v>
      </c>
      <c r="M7" s="118"/>
      <c r="N7" s="116">
        <v>1</v>
      </c>
      <c r="O7" s="119"/>
      <c r="P7" s="118" t="s">
        <v>226</v>
      </c>
      <c r="Q7" s="116">
        <v>1</v>
      </c>
      <c r="R7" s="116" t="s">
        <v>259</v>
      </c>
      <c r="S7" s="120"/>
      <c r="T7" s="120"/>
      <c r="U7" s="125">
        <v>2018</v>
      </c>
      <c r="V7" s="122"/>
      <c r="W7" s="116"/>
      <c r="X7" s="131"/>
      <c r="Y7" s="127"/>
      <c r="Z7" s="123">
        <v>38</v>
      </c>
      <c r="AA7" s="7" t="s">
        <v>367</v>
      </c>
      <c r="AB7" s="109">
        <v>38</v>
      </c>
      <c r="AC7" s="109">
        <v>38000000</v>
      </c>
      <c r="AD7" s="124">
        <v>38000000</v>
      </c>
      <c r="AE7" s="111">
        <v>0</v>
      </c>
      <c r="AF7" s="110">
        <v>0</v>
      </c>
      <c r="AG7" s="110">
        <v>839460000</v>
      </c>
      <c r="AH7" s="112">
        <v>0</v>
      </c>
      <c r="AI7" s="113">
        <v>45</v>
      </c>
      <c r="AJ7" s="116" t="s">
        <v>377</v>
      </c>
      <c r="AK7" s="68">
        <v>45</v>
      </c>
      <c r="AL7" s="68">
        <v>45</v>
      </c>
      <c r="AM7" s="112">
        <v>45</v>
      </c>
      <c r="AN7" s="111">
        <f>IF(Level1[[#This Row],[Standardised_Normalised_Mass_kg/capita/year]]&lt;&gt;"",Level1[[#This Row],[Standardised_Normalised_Mass_kg/capita/year]],Level1[[#This Row],[Derived_Normalised_kg/capita/year]])</f>
        <v>45</v>
      </c>
      <c r="AO7" s="68">
        <f>IF(Level1[[#This Row],[Household]]=1,IF(Level1[[#This Row],[Household_Diary?]]=1,'Cover Sheet'!$R$31,1),1)</f>
        <v>1</v>
      </c>
      <c r="AP7" s="68">
        <f>IF(Level1[[#This Row],[Household]]=1,IF(Level1[[#This Row],[Edible_Waste_Only?]]=1,'Cover Sheet'!$R$32,1),1)</f>
        <v>1</v>
      </c>
      <c r="AQ7" s="68">
        <f>IF(Level1[[#This Row],[Food_Service]]=1,IF(Level1[[#This Row],[Edible_Waste_Only?]]=1,'Cover Sheet'!$R$33,1),1)</f>
        <v>1</v>
      </c>
      <c r="AR7" s="68">
        <f>IF(Level1[[#This Row],[Retail]]=1,IF(Level1[[#This Row],[Edible_Waste_Only?]]=1,'Cover Sheet'!$R$34,1),1)</f>
        <v>1</v>
      </c>
      <c r="AS7" s="68">
        <f>PRODUCT(Level1[[#This Row],[Household_Diary_Adjustment]:[Retail_Inedible_Adjustment]])</f>
        <v>1</v>
      </c>
      <c r="AT7" s="114">
        <f>Level1[[#This Row],[Preferred_estimate_kg/capita]]*Level1[[#This Row],[Total_Adjustment]]</f>
        <v>45</v>
      </c>
      <c r="AU7" s="186"/>
    </row>
    <row r="8" spans="1:47" x14ac:dyDescent="0.2">
      <c r="A8" s="102">
        <v>18</v>
      </c>
      <c r="B8" s="116" t="s">
        <v>571</v>
      </c>
      <c r="C8" s="7">
        <v>2020</v>
      </c>
      <c r="D8" s="103" t="s">
        <v>28</v>
      </c>
      <c r="E8" s="104" t="s">
        <v>99</v>
      </c>
      <c r="F8" s="7">
        <v>156</v>
      </c>
      <c r="G8" s="7" t="s">
        <v>152</v>
      </c>
      <c r="H8" s="7" t="s">
        <v>160</v>
      </c>
      <c r="I8" s="7" t="s">
        <v>163</v>
      </c>
      <c r="J8" s="7" t="s">
        <v>166</v>
      </c>
      <c r="K8" s="7" t="s">
        <v>182</v>
      </c>
      <c r="L8" s="105">
        <v>1433.7837</v>
      </c>
      <c r="M8" s="104"/>
      <c r="N8" s="7">
        <v>1</v>
      </c>
      <c r="O8" s="105"/>
      <c r="P8" s="104" t="s">
        <v>226</v>
      </c>
      <c r="Q8" s="7">
        <v>1</v>
      </c>
      <c r="R8" s="7" t="s">
        <v>258</v>
      </c>
      <c r="S8" s="8"/>
      <c r="T8" s="8"/>
      <c r="U8" s="128">
        <v>2018</v>
      </c>
      <c r="V8" s="107"/>
      <c r="W8" s="7"/>
      <c r="X8" s="129"/>
      <c r="Y8" s="130"/>
      <c r="Z8" s="108"/>
      <c r="AA8" s="7"/>
      <c r="AB8" s="109" t="s">
        <v>374</v>
      </c>
      <c r="AC8" s="109" t="s">
        <v>374</v>
      </c>
      <c r="AD8" s="110" t="s">
        <v>374</v>
      </c>
      <c r="AE8" s="111">
        <v>0</v>
      </c>
      <c r="AF8" s="110">
        <v>0</v>
      </c>
      <c r="AG8" s="110">
        <v>0</v>
      </c>
      <c r="AH8" s="112">
        <v>0</v>
      </c>
      <c r="AI8" s="113">
        <v>9.4E-2</v>
      </c>
      <c r="AJ8" s="7" t="s">
        <v>375</v>
      </c>
      <c r="AK8" s="68">
        <v>9.4E-2</v>
      </c>
      <c r="AL8" s="68">
        <v>34.333500000000001</v>
      </c>
      <c r="AM8" s="112">
        <v>34.333500000000001</v>
      </c>
      <c r="AN8" s="111">
        <f>IF(Level1[[#This Row],[Standardised_Normalised_Mass_kg/capita/year]]&lt;&gt;"",Level1[[#This Row],[Standardised_Normalised_Mass_kg/capita/year]],Level1[[#This Row],[Derived_Normalised_kg/capita/year]])</f>
        <v>34.333500000000001</v>
      </c>
      <c r="AO8" s="68">
        <f>IF(Level1[[#This Row],[Household]]=1,IF(Level1[[#This Row],[Household_Diary?]]=1,'Cover Sheet'!$R$31,1),1)</f>
        <v>1</v>
      </c>
      <c r="AP8" s="68">
        <f>IF(Level1[[#This Row],[Household]]=1,IF(Level1[[#This Row],[Edible_Waste_Only?]]=1,'Cover Sheet'!$R$32,1),1)</f>
        <v>1</v>
      </c>
      <c r="AQ8" s="68">
        <f>IF(Level1[[#This Row],[Food_Service]]=1,IF(Level1[[#This Row],[Edible_Waste_Only?]]=1,'Cover Sheet'!$R$33,1),1)</f>
        <v>1</v>
      </c>
      <c r="AR8" s="68">
        <f>IF(Level1[[#This Row],[Retail]]=1,IF(Level1[[#This Row],[Edible_Waste_Only?]]=1,'Cover Sheet'!$R$34,1),1)</f>
        <v>1</v>
      </c>
      <c r="AS8" s="68">
        <f>PRODUCT(Level1[[#This Row],[Household_Diary_Adjustment]:[Retail_Inedible_Adjustment]])</f>
        <v>1</v>
      </c>
      <c r="AT8" s="114">
        <f>Level1[[#This Row],[Preferred_estimate_kg/capita]]*Level1[[#This Row],[Total_Adjustment]]</f>
        <v>34.333500000000001</v>
      </c>
      <c r="AU8" s="186"/>
    </row>
    <row r="9" spans="1:47" x14ac:dyDescent="0.2">
      <c r="A9" s="102">
        <v>34</v>
      </c>
      <c r="B9" s="116" t="s">
        <v>600</v>
      </c>
      <c r="C9" s="7">
        <v>2020</v>
      </c>
      <c r="D9" s="105" t="s">
        <v>43</v>
      </c>
      <c r="E9" s="104" t="s">
        <v>110</v>
      </c>
      <c r="F9" s="7">
        <v>348</v>
      </c>
      <c r="G9" s="7" t="s">
        <v>156</v>
      </c>
      <c r="H9" s="7" t="s">
        <v>159</v>
      </c>
      <c r="I9" s="7" t="s">
        <v>161</v>
      </c>
      <c r="J9" s="7" t="s">
        <v>165</v>
      </c>
      <c r="K9" s="7"/>
      <c r="L9" s="105">
        <v>9.6846999999999994</v>
      </c>
      <c r="M9" s="104">
        <v>1</v>
      </c>
      <c r="N9" s="7"/>
      <c r="O9" s="105"/>
      <c r="P9" s="104" t="s">
        <v>227</v>
      </c>
      <c r="Q9" s="7">
        <v>2</v>
      </c>
      <c r="R9" s="7" t="s">
        <v>285</v>
      </c>
      <c r="S9" s="8">
        <v>1</v>
      </c>
      <c r="T9" s="8"/>
      <c r="U9" s="128">
        <v>2019</v>
      </c>
      <c r="V9" s="107"/>
      <c r="W9" s="7"/>
      <c r="X9" s="129">
        <f>48.81%+(4.16%/2)</f>
        <v>0.50890000000000002</v>
      </c>
      <c r="Y9" s="105" t="s">
        <v>505</v>
      </c>
      <c r="Z9" s="108"/>
      <c r="AA9" s="7"/>
      <c r="AB9" s="109" t="s">
        <v>374</v>
      </c>
      <c r="AC9" s="109" t="s">
        <v>374</v>
      </c>
      <c r="AD9" s="110" t="s">
        <v>374</v>
      </c>
      <c r="AE9" s="111">
        <v>0</v>
      </c>
      <c r="AF9" s="110">
        <v>0</v>
      </c>
      <c r="AG9" s="110">
        <v>0</v>
      </c>
      <c r="AH9" s="112">
        <v>0</v>
      </c>
      <c r="AI9" s="113">
        <v>65.489999999999995</v>
      </c>
      <c r="AJ9" s="7" t="s">
        <v>377</v>
      </c>
      <c r="AK9" s="68">
        <v>65.489999999999995</v>
      </c>
      <c r="AL9" s="68">
        <v>65.489999999999995</v>
      </c>
      <c r="AM9" s="112">
        <v>65.489999999999995</v>
      </c>
      <c r="AN9" s="111">
        <f>IF(Level1[[#This Row],[Standardised_Normalised_Mass_kg/capita/year]]&lt;&gt;"",Level1[[#This Row],[Standardised_Normalised_Mass_kg/capita/year]],Level1[[#This Row],[Derived_Normalised_kg/capita/year]])</f>
        <v>65.489999999999995</v>
      </c>
      <c r="AO9" s="68">
        <f>IF(Level1[[#This Row],[Household]]=1,IF(Level1[[#This Row],[Household_Diary?]]=1,'Cover Sheet'!$R$31,1),1)</f>
        <v>1.4326647564469914</v>
      </c>
      <c r="AP9" s="68">
        <f>IF(Level1[[#This Row],[Household]]=1,IF(Level1[[#This Row],[Edible_Waste_Only?]]=1,'Cover Sheet'!$R$32,1),1)</f>
        <v>1</v>
      </c>
      <c r="AQ9" s="68">
        <f>IF(Level1[[#This Row],[Food_Service]]=1,IF(Level1[[#This Row],[Edible_Waste_Only?]]=1,'Cover Sheet'!$R$33,1),1)</f>
        <v>1</v>
      </c>
      <c r="AR9" s="68">
        <f>IF(Level1[[#This Row],[Retail]]=1,IF(Level1[[#This Row],[Edible_Waste_Only?]]=1,'Cover Sheet'!$R$34,1),1)</f>
        <v>1</v>
      </c>
      <c r="AS9" s="68">
        <f>PRODUCT(Level1[[#This Row],[Household_Diary_Adjustment]:[Retail_Inedible_Adjustment]])</f>
        <v>1.4326647564469914</v>
      </c>
      <c r="AT9" s="114">
        <f>Level1[[#This Row],[Preferred_estimate_kg/capita]]*Level1[[#This Row],[Total_Adjustment]]</f>
        <v>93.825214899713458</v>
      </c>
      <c r="AU9" s="186"/>
    </row>
    <row r="10" spans="1:47" x14ac:dyDescent="0.2">
      <c r="A10" s="102">
        <v>52</v>
      </c>
      <c r="B10" s="116" t="s">
        <v>4</v>
      </c>
      <c r="C10" s="7">
        <v>2020</v>
      </c>
      <c r="D10" s="103" t="s">
        <v>61</v>
      </c>
      <c r="E10" s="104" t="s">
        <v>120</v>
      </c>
      <c r="F10" s="7">
        <v>442</v>
      </c>
      <c r="G10" s="7" t="s">
        <v>147</v>
      </c>
      <c r="H10" s="7" t="s">
        <v>159</v>
      </c>
      <c r="I10" s="7" t="s">
        <v>161</v>
      </c>
      <c r="J10" s="7" t="s">
        <v>165</v>
      </c>
      <c r="K10" s="7"/>
      <c r="L10" s="105">
        <v>0.61570000000000003</v>
      </c>
      <c r="M10" s="104"/>
      <c r="N10" s="7"/>
      <c r="O10" s="105">
        <v>1</v>
      </c>
      <c r="P10" s="104" t="s">
        <v>226</v>
      </c>
      <c r="Q10" s="7">
        <v>2</v>
      </c>
      <c r="R10" s="7" t="s">
        <v>311</v>
      </c>
      <c r="S10" s="8"/>
      <c r="T10" s="8"/>
      <c r="U10" s="128">
        <v>2019</v>
      </c>
      <c r="V10" s="107"/>
      <c r="W10" s="7"/>
      <c r="X10" s="129">
        <f>7.85/Level1[[#This Row],[Normalised_Mass_Estimate]]</f>
        <v>0.90229885057471271</v>
      </c>
      <c r="Y10" s="130" t="s">
        <v>487</v>
      </c>
      <c r="Z10" s="108">
        <v>5150</v>
      </c>
      <c r="AA10" s="7" t="s">
        <v>365</v>
      </c>
      <c r="AB10" s="109">
        <v>5150</v>
      </c>
      <c r="AC10" s="109">
        <v>5150</v>
      </c>
      <c r="AD10" s="110">
        <v>5150</v>
      </c>
      <c r="AE10" s="111">
        <v>0</v>
      </c>
      <c r="AF10" s="110">
        <v>0</v>
      </c>
      <c r="AG10" s="110">
        <v>0</v>
      </c>
      <c r="AH10" s="112">
        <v>0</v>
      </c>
      <c r="AI10" s="113">
        <v>8.6999999999999993</v>
      </c>
      <c r="AJ10" s="7" t="s">
        <v>377</v>
      </c>
      <c r="AK10" s="68">
        <v>8.6999999999999993</v>
      </c>
      <c r="AL10" s="68">
        <v>8.6999999999999993</v>
      </c>
      <c r="AM10" s="112">
        <v>8.6999999999999993</v>
      </c>
      <c r="AN10" s="111">
        <f>IF(Level1[[#This Row],[Standardised_Normalised_Mass_kg/capita/year]]&lt;&gt;"",Level1[[#This Row],[Standardised_Normalised_Mass_kg/capita/year]],Level1[[#This Row],[Derived_Normalised_kg/capita/year]])</f>
        <v>8.6999999999999993</v>
      </c>
      <c r="AO10" s="68">
        <f>IF(Level1[[#This Row],[Household]]=1,IF(Level1[[#This Row],[Household_Diary?]]=1,'Cover Sheet'!$R$31,1),1)</f>
        <v>1</v>
      </c>
      <c r="AP10" s="68">
        <f>IF(Level1[[#This Row],[Household]]=1,IF(Level1[[#This Row],[Edible_Waste_Only?]]=1,'Cover Sheet'!$R$32,1),1)</f>
        <v>1</v>
      </c>
      <c r="AQ10" s="68">
        <f>IF(Level1[[#This Row],[Food_Service]]=1,IF(Level1[[#This Row],[Edible_Waste_Only?]]=1,'Cover Sheet'!$R$33,1),1)</f>
        <v>1</v>
      </c>
      <c r="AR10" s="68">
        <f>IF(Level1[[#This Row],[Retail]]=1,IF(Level1[[#This Row],[Edible_Waste_Only?]]=1,'Cover Sheet'!$R$34,1),1)</f>
        <v>1</v>
      </c>
      <c r="AS10" s="68">
        <f>PRODUCT(Level1[[#This Row],[Household_Diary_Adjustment]:[Retail_Inedible_Adjustment]])</f>
        <v>1</v>
      </c>
      <c r="AT10" s="114">
        <f>Level1[[#This Row],[Preferred_estimate_kg/capita]]*Level1[[#This Row],[Total_Adjustment]]</f>
        <v>8.6999999999999993</v>
      </c>
      <c r="AU10" s="186"/>
    </row>
    <row r="11" spans="1:47" x14ac:dyDescent="0.2">
      <c r="A11" s="115">
        <v>52</v>
      </c>
      <c r="B11" s="116" t="s">
        <v>4</v>
      </c>
      <c r="C11" s="116">
        <v>2020</v>
      </c>
      <c r="D11" s="117" t="s">
        <v>61</v>
      </c>
      <c r="E11" s="118" t="s">
        <v>120</v>
      </c>
      <c r="F11" s="116">
        <v>442</v>
      </c>
      <c r="G11" s="116" t="s">
        <v>147</v>
      </c>
      <c r="H11" s="116" t="s">
        <v>159</v>
      </c>
      <c r="I11" s="7" t="s">
        <v>161</v>
      </c>
      <c r="J11" s="7" t="s">
        <v>165</v>
      </c>
      <c r="K11" s="116"/>
      <c r="L11" s="105">
        <v>0.61570000000000003</v>
      </c>
      <c r="M11" s="118"/>
      <c r="N11" s="116">
        <v>1</v>
      </c>
      <c r="O11" s="119"/>
      <c r="P11" s="118" t="s">
        <v>226</v>
      </c>
      <c r="Q11" s="116">
        <v>2</v>
      </c>
      <c r="R11" s="116" t="s">
        <v>311</v>
      </c>
      <c r="S11" s="120"/>
      <c r="T11" s="120"/>
      <c r="U11" s="125">
        <v>2019</v>
      </c>
      <c r="V11" s="122"/>
      <c r="W11" s="116"/>
      <c r="X11" s="131">
        <f>SUM(7.1,9.6)/Level1[[#This Row],[Normalised_Mass_Estimate]]</f>
        <v>0.799043062200957</v>
      </c>
      <c r="Y11" s="127" t="s">
        <v>489</v>
      </c>
      <c r="Z11" s="123">
        <f>SUM(5250,7100)</f>
        <v>12350</v>
      </c>
      <c r="AA11" s="7" t="s">
        <v>365</v>
      </c>
      <c r="AB11" s="109">
        <v>12350</v>
      </c>
      <c r="AC11" s="109">
        <v>12350</v>
      </c>
      <c r="AD11" s="124">
        <v>12350</v>
      </c>
      <c r="AE11" s="111">
        <v>0</v>
      </c>
      <c r="AF11" s="110">
        <v>0</v>
      </c>
      <c r="AG11" s="110">
        <v>0</v>
      </c>
      <c r="AH11" s="112">
        <v>0</v>
      </c>
      <c r="AI11" s="113">
        <f>SUM(8.9,12)</f>
        <v>20.9</v>
      </c>
      <c r="AJ11" s="116" t="s">
        <v>377</v>
      </c>
      <c r="AK11" s="68">
        <v>20.9</v>
      </c>
      <c r="AL11" s="68">
        <v>20.9</v>
      </c>
      <c r="AM11" s="112">
        <v>20.9</v>
      </c>
      <c r="AN11" s="111">
        <f>IF(Level1[[#This Row],[Standardised_Normalised_Mass_kg/capita/year]]&lt;&gt;"",Level1[[#This Row],[Standardised_Normalised_Mass_kg/capita/year]],Level1[[#This Row],[Derived_Normalised_kg/capita/year]])</f>
        <v>20.9</v>
      </c>
      <c r="AO11" s="68">
        <f>IF(Level1[[#This Row],[Household]]=1,IF(Level1[[#This Row],[Household_Diary?]]=1,'Cover Sheet'!$R$31,1),1)</f>
        <v>1</v>
      </c>
      <c r="AP11" s="68">
        <f>IF(Level1[[#This Row],[Household]]=1,IF(Level1[[#This Row],[Edible_Waste_Only?]]=1,'Cover Sheet'!$R$32,1),1)</f>
        <v>1</v>
      </c>
      <c r="AQ11" s="68">
        <f>IF(Level1[[#This Row],[Food_Service]]=1,IF(Level1[[#This Row],[Edible_Waste_Only?]]=1,'Cover Sheet'!$R$33,1),1)</f>
        <v>1</v>
      </c>
      <c r="AR11" s="68">
        <f>IF(Level1[[#This Row],[Retail]]=1,IF(Level1[[#This Row],[Edible_Waste_Only?]]=1,'Cover Sheet'!$R$34,1),1)</f>
        <v>1</v>
      </c>
      <c r="AS11" s="68">
        <f>PRODUCT(Level1[[#This Row],[Household_Diary_Adjustment]:[Retail_Inedible_Adjustment]])</f>
        <v>1</v>
      </c>
      <c r="AT11" s="114">
        <f>Level1[[#This Row],[Preferred_estimate_kg/capita]]*Level1[[#This Row],[Total_Adjustment]]</f>
        <v>20.9</v>
      </c>
      <c r="AU11" s="186"/>
    </row>
    <row r="12" spans="1:47" x14ac:dyDescent="0.2">
      <c r="A12" s="115">
        <v>52</v>
      </c>
      <c r="B12" s="116" t="s">
        <v>4</v>
      </c>
      <c r="C12" s="116">
        <v>2020</v>
      </c>
      <c r="D12" s="117" t="s">
        <v>61</v>
      </c>
      <c r="E12" s="118" t="s">
        <v>120</v>
      </c>
      <c r="F12" s="116">
        <v>442</v>
      </c>
      <c r="G12" s="116" t="s">
        <v>147</v>
      </c>
      <c r="H12" s="116" t="s">
        <v>159</v>
      </c>
      <c r="I12" s="7" t="s">
        <v>161</v>
      </c>
      <c r="J12" s="7" t="s">
        <v>165</v>
      </c>
      <c r="K12" s="116"/>
      <c r="L12" s="105">
        <v>0.61570000000000003</v>
      </c>
      <c r="M12" s="118">
        <v>1</v>
      </c>
      <c r="N12" s="116"/>
      <c r="O12" s="119"/>
      <c r="P12" s="118" t="s">
        <v>226</v>
      </c>
      <c r="Q12" s="116">
        <v>2</v>
      </c>
      <c r="R12" s="116" t="s">
        <v>310</v>
      </c>
      <c r="S12" s="120"/>
      <c r="T12" s="120"/>
      <c r="U12" s="125">
        <v>2019</v>
      </c>
      <c r="V12" s="122"/>
      <c r="W12" s="116"/>
      <c r="X12" s="131">
        <f>31%</f>
        <v>0.31</v>
      </c>
      <c r="Y12" s="127" t="s">
        <v>511</v>
      </c>
      <c r="Z12" s="123">
        <v>53270</v>
      </c>
      <c r="AA12" s="7" t="s">
        <v>365</v>
      </c>
      <c r="AB12" s="109">
        <v>53270</v>
      </c>
      <c r="AC12" s="109">
        <v>53270</v>
      </c>
      <c r="AD12" s="124">
        <v>53270</v>
      </c>
      <c r="AE12" s="111">
        <v>0</v>
      </c>
      <c r="AF12" s="110">
        <v>0</v>
      </c>
      <c r="AG12" s="110">
        <v>0</v>
      </c>
      <c r="AH12" s="112">
        <v>0</v>
      </c>
      <c r="AI12" s="113">
        <v>88.5</v>
      </c>
      <c r="AJ12" s="116" t="s">
        <v>377</v>
      </c>
      <c r="AK12" s="68">
        <v>88.5</v>
      </c>
      <c r="AL12" s="68">
        <v>88.5</v>
      </c>
      <c r="AM12" s="112">
        <v>88.5</v>
      </c>
      <c r="AN12" s="111">
        <f>IF(Level1[[#This Row],[Standardised_Normalised_Mass_kg/capita/year]]&lt;&gt;"",Level1[[#This Row],[Standardised_Normalised_Mass_kg/capita/year]],Level1[[#This Row],[Derived_Normalised_kg/capita/year]])</f>
        <v>88.5</v>
      </c>
      <c r="AO12" s="68">
        <f>IF(Level1[[#This Row],[Household]]=1,IF(Level1[[#This Row],[Household_Diary?]]=1,'Cover Sheet'!$R$31,1),1)</f>
        <v>1</v>
      </c>
      <c r="AP12" s="68">
        <f>IF(Level1[[#This Row],[Household]]=1,IF(Level1[[#This Row],[Edible_Waste_Only?]]=1,'Cover Sheet'!$R$32,1),1)</f>
        <v>1</v>
      </c>
      <c r="AQ12" s="68">
        <f>IF(Level1[[#This Row],[Food_Service]]=1,IF(Level1[[#This Row],[Edible_Waste_Only?]]=1,'Cover Sheet'!$R$33,1),1)</f>
        <v>1</v>
      </c>
      <c r="AR12" s="68">
        <f>IF(Level1[[#This Row],[Retail]]=1,IF(Level1[[#This Row],[Edible_Waste_Only?]]=1,'Cover Sheet'!$R$34,1),1)</f>
        <v>1</v>
      </c>
      <c r="AS12" s="68">
        <f>PRODUCT(Level1[[#This Row],[Household_Diary_Adjustment]:[Retail_Inedible_Adjustment]])</f>
        <v>1</v>
      </c>
      <c r="AT12" s="114">
        <f>Level1[[#This Row],[Preferred_estimate_kg/capita]]*Level1[[#This Row],[Total_Adjustment]]</f>
        <v>88.5</v>
      </c>
      <c r="AU12" s="186"/>
    </row>
    <row r="13" spans="1:47" x14ac:dyDescent="0.2">
      <c r="A13" s="115">
        <v>58</v>
      </c>
      <c r="B13" s="116" t="s">
        <v>6</v>
      </c>
      <c r="C13" s="116">
        <v>2020</v>
      </c>
      <c r="D13" s="117" t="s">
        <v>66</v>
      </c>
      <c r="E13" s="118" t="s">
        <v>125</v>
      </c>
      <c r="F13" s="116">
        <v>554</v>
      </c>
      <c r="G13" s="116" t="s">
        <v>146</v>
      </c>
      <c r="H13" s="116" t="s">
        <v>159</v>
      </c>
      <c r="I13" s="7" t="s">
        <v>161</v>
      </c>
      <c r="J13" s="7" t="s">
        <v>165</v>
      </c>
      <c r="K13" s="116"/>
      <c r="L13" s="105">
        <v>4.7831000000000001</v>
      </c>
      <c r="M13" s="118"/>
      <c r="N13" s="116"/>
      <c r="O13" s="119">
        <v>1</v>
      </c>
      <c r="P13" s="118" t="s">
        <v>225</v>
      </c>
      <c r="Q13" s="116">
        <v>1</v>
      </c>
      <c r="R13" s="116" t="s">
        <v>319</v>
      </c>
      <c r="S13" s="120"/>
      <c r="T13" s="120"/>
      <c r="U13" s="125">
        <v>2017</v>
      </c>
      <c r="V13" s="122"/>
      <c r="W13" s="116"/>
      <c r="X13" s="131"/>
      <c r="Y13" s="127"/>
      <c r="Z13" s="123">
        <f>60500*(1-SUM(15%,46%,15%))</f>
        <v>14520</v>
      </c>
      <c r="AA13" s="7" t="s">
        <v>365</v>
      </c>
      <c r="AB13" s="109">
        <v>14520</v>
      </c>
      <c r="AC13" s="109">
        <v>14520</v>
      </c>
      <c r="AD13" s="124">
        <v>14520</v>
      </c>
      <c r="AE13" s="111">
        <v>0</v>
      </c>
      <c r="AF13" s="110">
        <v>0</v>
      </c>
      <c r="AG13" s="110">
        <v>0</v>
      </c>
      <c r="AH13" s="112">
        <v>0</v>
      </c>
      <c r="AI13" s="113">
        <f>13*(1-SUM(46%,15%,15%))</f>
        <v>3.12</v>
      </c>
      <c r="AJ13" s="116" t="s">
        <v>377</v>
      </c>
      <c r="AK13" s="68">
        <v>3.12</v>
      </c>
      <c r="AL13" s="68">
        <v>3.12</v>
      </c>
      <c r="AM13" s="112">
        <v>3.12</v>
      </c>
      <c r="AN13" s="111">
        <f>IF(Level1[[#This Row],[Standardised_Normalised_Mass_kg/capita/year]]&lt;&gt;"",Level1[[#This Row],[Standardised_Normalised_Mass_kg/capita/year]],Level1[[#This Row],[Derived_Normalised_kg/capita/year]])</f>
        <v>3.12</v>
      </c>
      <c r="AO13" s="68">
        <f>IF(Level1[[#This Row],[Household]]=1,IF(Level1[[#This Row],[Household_Diary?]]=1,'Cover Sheet'!$R$31,1),1)</f>
        <v>1</v>
      </c>
      <c r="AP13" s="68">
        <f>IF(Level1[[#This Row],[Household]]=1,IF(Level1[[#This Row],[Edible_Waste_Only?]]=1,'Cover Sheet'!$R$32,1),1)</f>
        <v>1</v>
      </c>
      <c r="AQ13" s="68">
        <f>IF(Level1[[#This Row],[Food_Service]]=1,IF(Level1[[#This Row],[Edible_Waste_Only?]]=1,'Cover Sheet'!$R$33,1),1)</f>
        <v>1</v>
      </c>
      <c r="AR13" s="68">
        <f>IF(Level1[[#This Row],[Retail]]=1,IF(Level1[[#This Row],[Edible_Waste_Only?]]=1,'Cover Sheet'!$R$34,1),1)</f>
        <v>1</v>
      </c>
      <c r="AS13" s="68">
        <f>PRODUCT(Level1[[#This Row],[Household_Diary_Adjustment]:[Retail_Inedible_Adjustment]])</f>
        <v>1</v>
      </c>
      <c r="AT13" s="114">
        <f>Level1[[#This Row],[Preferred_estimate_kg/capita]]*Level1[[#This Row],[Total_Adjustment]]</f>
        <v>3.12</v>
      </c>
      <c r="AU13" s="186"/>
    </row>
    <row r="14" spans="1:47" x14ac:dyDescent="0.2">
      <c r="A14" s="115">
        <v>77</v>
      </c>
      <c r="B14" s="116" t="s">
        <v>533</v>
      </c>
      <c r="C14" s="116">
        <v>2020</v>
      </c>
      <c r="D14" s="139" t="s">
        <v>81</v>
      </c>
      <c r="E14" s="118" t="s">
        <v>138</v>
      </c>
      <c r="F14" s="116">
        <v>752</v>
      </c>
      <c r="G14" s="116" t="s">
        <v>153</v>
      </c>
      <c r="H14" s="116" t="s">
        <v>159</v>
      </c>
      <c r="I14" s="7" t="s">
        <v>161</v>
      </c>
      <c r="J14" s="7" t="s">
        <v>165</v>
      </c>
      <c r="K14" s="116"/>
      <c r="L14" s="105">
        <v>10.0364</v>
      </c>
      <c r="M14" s="118"/>
      <c r="N14" s="116"/>
      <c r="O14" s="119">
        <v>1</v>
      </c>
      <c r="P14" s="118" t="s">
        <v>390</v>
      </c>
      <c r="Q14" s="116">
        <v>1</v>
      </c>
      <c r="R14" s="116" t="s">
        <v>345</v>
      </c>
      <c r="S14" s="120"/>
      <c r="T14" s="120"/>
      <c r="U14" s="125">
        <v>2018</v>
      </c>
      <c r="V14" s="122"/>
      <c r="W14" s="116"/>
      <c r="X14" s="122"/>
      <c r="Y14" s="119"/>
      <c r="Z14" s="123">
        <v>100000</v>
      </c>
      <c r="AA14" s="7" t="s">
        <v>365</v>
      </c>
      <c r="AB14" s="109">
        <v>100000</v>
      </c>
      <c r="AC14" s="109">
        <v>100000</v>
      </c>
      <c r="AD14" s="124">
        <v>100000</v>
      </c>
      <c r="AE14" s="111">
        <v>0</v>
      </c>
      <c r="AF14" s="110">
        <v>0</v>
      </c>
      <c r="AG14" s="110">
        <v>0</v>
      </c>
      <c r="AH14" s="112">
        <v>0</v>
      </c>
      <c r="AI14" s="113">
        <v>10</v>
      </c>
      <c r="AJ14" s="116" t="s">
        <v>377</v>
      </c>
      <c r="AK14" s="68">
        <v>10</v>
      </c>
      <c r="AL14" s="68">
        <v>10</v>
      </c>
      <c r="AM14" s="112">
        <v>10</v>
      </c>
      <c r="AN14" s="111">
        <f>IF(Level1[[#This Row],[Standardised_Normalised_Mass_kg/capita/year]]&lt;&gt;"",Level1[[#This Row],[Standardised_Normalised_Mass_kg/capita/year]],Level1[[#This Row],[Derived_Normalised_kg/capita/year]])</f>
        <v>10</v>
      </c>
      <c r="AO14" s="68">
        <f>IF(Level1[[#This Row],[Household]]=1,IF(Level1[[#This Row],[Household_Diary?]]=1,'Cover Sheet'!$R$31,1),1)</f>
        <v>1</v>
      </c>
      <c r="AP14" s="68">
        <f>IF(Level1[[#This Row],[Household]]=1,IF(Level1[[#This Row],[Edible_Waste_Only?]]=1,'Cover Sheet'!$R$32,1),1)</f>
        <v>1</v>
      </c>
      <c r="AQ14" s="68">
        <f>IF(Level1[[#This Row],[Food_Service]]=1,IF(Level1[[#This Row],[Edible_Waste_Only?]]=1,'Cover Sheet'!$R$33,1),1)</f>
        <v>1</v>
      </c>
      <c r="AR14" s="68">
        <f>IF(Level1[[#This Row],[Retail]]=1,IF(Level1[[#This Row],[Edible_Waste_Only?]]=1,'Cover Sheet'!$R$34,1),1)</f>
        <v>1</v>
      </c>
      <c r="AS14" s="68">
        <f>PRODUCT(Level1[[#This Row],[Household_Diary_Adjustment]:[Retail_Inedible_Adjustment]])</f>
        <v>1</v>
      </c>
      <c r="AT14" s="114">
        <f>Level1[[#This Row],[Preferred_estimate_kg/capita]]*Level1[[#This Row],[Total_Adjustment]]</f>
        <v>10</v>
      </c>
      <c r="AU14" s="186"/>
    </row>
    <row r="15" spans="1:47" x14ac:dyDescent="0.2">
      <c r="A15" s="115">
        <v>79</v>
      </c>
      <c r="B15" s="116" t="s">
        <v>675</v>
      </c>
      <c r="C15" s="116">
        <v>2020</v>
      </c>
      <c r="D15" s="117" t="s">
        <v>83</v>
      </c>
      <c r="E15" s="118" t="s">
        <v>140</v>
      </c>
      <c r="F15" s="116">
        <v>826</v>
      </c>
      <c r="G15" s="116" t="s">
        <v>153</v>
      </c>
      <c r="H15" s="116" t="s">
        <v>159</v>
      </c>
      <c r="I15" s="7" t="s">
        <v>161</v>
      </c>
      <c r="J15" s="7" t="s">
        <v>165</v>
      </c>
      <c r="K15" s="116"/>
      <c r="L15" s="105">
        <v>67.530199999999994</v>
      </c>
      <c r="M15" s="118">
        <v>1</v>
      </c>
      <c r="N15" s="116"/>
      <c r="O15" s="119"/>
      <c r="P15" s="118" t="s">
        <v>225</v>
      </c>
      <c r="Q15" s="116">
        <v>1</v>
      </c>
      <c r="R15" s="116" t="s">
        <v>347</v>
      </c>
      <c r="S15" s="120"/>
      <c r="T15" s="120"/>
      <c r="U15" s="125">
        <v>2018</v>
      </c>
      <c r="V15" s="122"/>
      <c r="W15" s="116"/>
      <c r="X15" s="122">
        <f>4.5/6.6</f>
        <v>0.68181818181818188</v>
      </c>
      <c r="Y15" s="119" t="s">
        <v>494</v>
      </c>
      <c r="Z15" s="123">
        <f>6646*(1-23%)</f>
        <v>5117.42</v>
      </c>
      <c r="AA15" s="7" t="s">
        <v>368</v>
      </c>
      <c r="AB15" s="109">
        <v>5117.42</v>
      </c>
      <c r="AC15" s="109">
        <v>5117420</v>
      </c>
      <c r="AD15" s="124">
        <v>5117420</v>
      </c>
      <c r="AE15" s="111">
        <v>0</v>
      </c>
      <c r="AF15" s="110">
        <v>0</v>
      </c>
      <c r="AG15" s="110">
        <v>0</v>
      </c>
      <c r="AH15" s="112">
        <v>0</v>
      </c>
      <c r="AI15" s="113">
        <f>100*(1-23%)</f>
        <v>77</v>
      </c>
      <c r="AJ15" s="116" t="s">
        <v>377</v>
      </c>
      <c r="AK15" s="68">
        <v>77</v>
      </c>
      <c r="AL15" s="68">
        <v>77</v>
      </c>
      <c r="AM15" s="112">
        <v>77</v>
      </c>
      <c r="AN15" s="111">
        <f>IF(Level1[[#This Row],[Standardised_Normalised_Mass_kg/capita/year]]&lt;&gt;"",Level1[[#This Row],[Standardised_Normalised_Mass_kg/capita/year]],Level1[[#This Row],[Derived_Normalised_kg/capita/year]])</f>
        <v>77</v>
      </c>
      <c r="AO15" s="68">
        <f>IF(Level1[[#This Row],[Household]]=1,IF(Level1[[#This Row],[Household_Diary?]]=1,'Cover Sheet'!$R$31,1),1)</f>
        <v>1</v>
      </c>
      <c r="AP15" s="68">
        <f>IF(Level1[[#This Row],[Household]]=1,IF(Level1[[#This Row],[Edible_Waste_Only?]]=1,'Cover Sheet'!$R$32,1),1)</f>
        <v>1</v>
      </c>
      <c r="AQ15" s="68">
        <f>IF(Level1[[#This Row],[Food_Service]]=1,IF(Level1[[#This Row],[Edible_Waste_Only?]]=1,'Cover Sheet'!$R$33,1),1)</f>
        <v>1</v>
      </c>
      <c r="AR15" s="68">
        <f>IF(Level1[[#This Row],[Retail]]=1,IF(Level1[[#This Row],[Edible_Waste_Only?]]=1,'Cover Sheet'!$R$34,1),1)</f>
        <v>1</v>
      </c>
      <c r="AS15" s="68">
        <f>PRODUCT(Level1[[#This Row],[Household_Diary_Adjustment]:[Retail_Inedible_Adjustment]])</f>
        <v>1</v>
      </c>
      <c r="AT15" s="114">
        <f>Level1[[#This Row],[Preferred_estimate_kg/capita]]*Level1[[#This Row],[Total_Adjustment]]</f>
        <v>77</v>
      </c>
      <c r="AU15" s="186"/>
    </row>
    <row r="16" spans="1:47" x14ac:dyDescent="0.2">
      <c r="A16" s="102">
        <v>79</v>
      </c>
      <c r="B16" s="116" t="s">
        <v>675</v>
      </c>
      <c r="C16" s="7">
        <v>2020</v>
      </c>
      <c r="D16" s="103" t="s">
        <v>83</v>
      </c>
      <c r="E16" s="104" t="s">
        <v>140</v>
      </c>
      <c r="F16" s="7">
        <v>826</v>
      </c>
      <c r="G16" s="7" t="s">
        <v>153</v>
      </c>
      <c r="H16" s="7" t="s">
        <v>159</v>
      </c>
      <c r="I16" s="7" t="s">
        <v>161</v>
      </c>
      <c r="J16" s="7" t="s">
        <v>165</v>
      </c>
      <c r="K16" s="7"/>
      <c r="L16" s="105">
        <v>67.530199999999994</v>
      </c>
      <c r="M16" s="104"/>
      <c r="N16" s="7">
        <v>1</v>
      </c>
      <c r="O16" s="105"/>
      <c r="P16" s="104" t="s">
        <v>225</v>
      </c>
      <c r="Q16" s="7">
        <v>1</v>
      </c>
      <c r="R16" s="7" t="s">
        <v>348</v>
      </c>
      <c r="S16" s="8"/>
      <c r="T16" s="8"/>
      <c r="U16" s="128">
        <v>2018</v>
      </c>
      <c r="V16" s="107"/>
      <c r="W16" s="7"/>
      <c r="X16" s="107"/>
      <c r="Y16" s="105"/>
      <c r="Z16" s="108">
        <v>1098</v>
      </c>
      <c r="AA16" s="7" t="s">
        <v>368</v>
      </c>
      <c r="AB16" s="109">
        <v>1098</v>
      </c>
      <c r="AC16" s="109">
        <v>1098000</v>
      </c>
      <c r="AD16" s="110">
        <v>1098000</v>
      </c>
      <c r="AE16" s="111">
        <v>0</v>
      </c>
      <c r="AF16" s="110">
        <v>0</v>
      </c>
      <c r="AG16" s="110">
        <v>0</v>
      </c>
      <c r="AH16" s="112">
        <v>0</v>
      </c>
      <c r="AI16" s="113">
        <v>16.5</v>
      </c>
      <c r="AJ16" s="7" t="s">
        <v>377</v>
      </c>
      <c r="AK16" s="68">
        <v>16.5</v>
      </c>
      <c r="AL16" s="68">
        <v>16.5</v>
      </c>
      <c r="AM16" s="112">
        <v>16.5</v>
      </c>
      <c r="AN16" s="111">
        <f>IF(Level1[[#This Row],[Standardised_Normalised_Mass_kg/capita/year]]&lt;&gt;"",Level1[[#This Row],[Standardised_Normalised_Mass_kg/capita/year]],Level1[[#This Row],[Derived_Normalised_kg/capita/year]])</f>
        <v>16.5</v>
      </c>
      <c r="AO16" s="68">
        <f>IF(Level1[[#This Row],[Household]]=1,IF(Level1[[#This Row],[Household_Diary?]]=1,'Cover Sheet'!$R$31,1),1)</f>
        <v>1</v>
      </c>
      <c r="AP16" s="68">
        <f>IF(Level1[[#This Row],[Household]]=1,IF(Level1[[#This Row],[Edible_Waste_Only?]]=1,'Cover Sheet'!$R$32,1),1)</f>
        <v>1</v>
      </c>
      <c r="AQ16" s="68">
        <f>IF(Level1[[#This Row],[Food_Service]]=1,IF(Level1[[#This Row],[Edible_Waste_Only?]]=1,'Cover Sheet'!$R$33,1),1)</f>
        <v>1</v>
      </c>
      <c r="AR16" s="68">
        <f>IF(Level1[[#This Row],[Retail]]=1,IF(Level1[[#This Row],[Edible_Waste_Only?]]=1,'Cover Sheet'!$R$34,1),1)</f>
        <v>1</v>
      </c>
      <c r="AS16" s="68">
        <f>PRODUCT(Level1[[#This Row],[Household_Diary_Adjustment]:[Retail_Inedible_Adjustment]])</f>
        <v>1</v>
      </c>
      <c r="AT16" s="114">
        <f>Level1[[#This Row],[Preferred_estimate_kg/capita]]*Level1[[#This Row],[Total_Adjustment]]</f>
        <v>16.5</v>
      </c>
      <c r="AU16" s="186"/>
    </row>
    <row r="17" spans="1:47" x14ac:dyDescent="0.2">
      <c r="A17" s="115">
        <v>79</v>
      </c>
      <c r="B17" s="116" t="s">
        <v>675</v>
      </c>
      <c r="C17" s="116">
        <v>2020</v>
      </c>
      <c r="D17" s="117" t="s">
        <v>83</v>
      </c>
      <c r="E17" s="104" t="s">
        <v>140</v>
      </c>
      <c r="F17" s="116">
        <v>826</v>
      </c>
      <c r="G17" s="116" t="s">
        <v>153</v>
      </c>
      <c r="H17" s="116" t="s">
        <v>159</v>
      </c>
      <c r="I17" s="7" t="s">
        <v>161</v>
      </c>
      <c r="J17" s="7" t="s">
        <v>165</v>
      </c>
      <c r="K17" s="116"/>
      <c r="L17" s="105">
        <v>67.530199999999994</v>
      </c>
      <c r="M17" s="118"/>
      <c r="N17" s="116"/>
      <c r="O17" s="119">
        <v>1</v>
      </c>
      <c r="P17" s="118" t="s">
        <v>390</v>
      </c>
      <c r="Q17" s="116">
        <v>1</v>
      </c>
      <c r="R17" s="116" t="s">
        <v>349</v>
      </c>
      <c r="S17" s="120"/>
      <c r="T17" s="120"/>
      <c r="U17" s="125">
        <v>2018</v>
      </c>
      <c r="V17" s="122"/>
      <c r="W17" s="116"/>
      <c r="X17" s="122"/>
      <c r="Y17" s="119"/>
      <c r="Z17" s="123">
        <v>277</v>
      </c>
      <c r="AA17" s="7" t="s">
        <v>368</v>
      </c>
      <c r="AB17" s="109">
        <v>277</v>
      </c>
      <c r="AC17" s="109">
        <v>277000</v>
      </c>
      <c r="AD17" s="124">
        <v>277000</v>
      </c>
      <c r="AE17" s="111">
        <v>0</v>
      </c>
      <c r="AF17" s="110">
        <v>0</v>
      </c>
      <c r="AG17" s="110">
        <v>0</v>
      </c>
      <c r="AH17" s="112">
        <v>0</v>
      </c>
      <c r="AI17" s="113">
        <v>4.2</v>
      </c>
      <c r="AJ17" s="116" t="s">
        <v>377</v>
      </c>
      <c r="AK17" s="68">
        <v>4.2</v>
      </c>
      <c r="AL17" s="68">
        <v>4.2</v>
      </c>
      <c r="AM17" s="112">
        <v>4.2</v>
      </c>
      <c r="AN17" s="111">
        <f>IF(Level1[[#This Row],[Standardised_Normalised_Mass_kg/capita/year]]&lt;&gt;"",Level1[[#This Row],[Standardised_Normalised_Mass_kg/capita/year]],Level1[[#This Row],[Derived_Normalised_kg/capita/year]])</f>
        <v>4.2</v>
      </c>
      <c r="AO17" s="68">
        <f>IF(Level1[[#This Row],[Household]]=1,IF(Level1[[#This Row],[Household_Diary?]]=1,'Cover Sheet'!$R$31,1),1)</f>
        <v>1</v>
      </c>
      <c r="AP17" s="68">
        <f>IF(Level1[[#This Row],[Household]]=1,IF(Level1[[#This Row],[Edible_Waste_Only?]]=1,'Cover Sheet'!$R$32,1),1)</f>
        <v>1</v>
      </c>
      <c r="AQ17" s="68">
        <f>IF(Level1[[#This Row],[Food_Service]]=1,IF(Level1[[#This Row],[Edible_Waste_Only?]]=1,'Cover Sheet'!$R$33,1),1)</f>
        <v>1</v>
      </c>
      <c r="AR17" s="68">
        <f>IF(Level1[[#This Row],[Retail]]=1,IF(Level1[[#This Row],[Edible_Waste_Only?]]=1,'Cover Sheet'!$R$34,1),1)</f>
        <v>1</v>
      </c>
      <c r="AS17" s="68">
        <f>PRODUCT(Level1[[#This Row],[Household_Diary_Adjustment]:[Retail_Inedible_Adjustment]])</f>
        <v>1</v>
      </c>
      <c r="AT17" s="114">
        <f>Level1[[#This Row],[Preferred_estimate_kg/capita]]*Level1[[#This Row],[Total_Adjustment]]</f>
        <v>4.2</v>
      </c>
      <c r="AU17" s="186"/>
    </row>
    <row r="18" spans="1:47" x14ac:dyDescent="0.2">
      <c r="A18" s="115">
        <v>81</v>
      </c>
      <c r="B18" s="116" t="s">
        <v>10</v>
      </c>
      <c r="C18" s="116">
        <v>2020</v>
      </c>
      <c r="D18" s="117" t="s">
        <v>85</v>
      </c>
      <c r="E18" s="118" t="s">
        <v>142</v>
      </c>
      <c r="F18" s="116">
        <v>840</v>
      </c>
      <c r="G18" s="116" t="s">
        <v>151</v>
      </c>
      <c r="H18" s="116" t="s">
        <v>159</v>
      </c>
      <c r="I18" s="7" t="s">
        <v>161</v>
      </c>
      <c r="J18" s="7" t="s">
        <v>165</v>
      </c>
      <c r="K18" s="116"/>
      <c r="L18" s="105">
        <v>329.06490000000002</v>
      </c>
      <c r="M18" s="118">
        <v>1</v>
      </c>
      <c r="N18" s="116"/>
      <c r="O18" s="119"/>
      <c r="P18" s="118" t="s">
        <v>225</v>
      </c>
      <c r="Q18" s="116">
        <v>1</v>
      </c>
      <c r="R18" s="116" t="s">
        <v>351</v>
      </c>
      <c r="S18" s="120"/>
      <c r="T18" s="120"/>
      <c r="U18" s="125">
        <v>2018</v>
      </c>
      <c r="V18" s="122"/>
      <c r="W18" s="116"/>
      <c r="X18" s="131"/>
      <c r="Y18" s="127"/>
      <c r="Z18" s="123">
        <f>24954863*(1-15%)</f>
        <v>21211633.550000001</v>
      </c>
      <c r="AA18" s="7" t="s">
        <v>373</v>
      </c>
      <c r="AB18" s="109">
        <v>21211633.550000001</v>
      </c>
      <c r="AC18" s="109">
        <v>19242870.267032027</v>
      </c>
      <c r="AD18" s="124">
        <v>19242870.267032027</v>
      </c>
      <c r="AE18" s="111">
        <v>1</v>
      </c>
      <c r="AF18" s="110">
        <v>327074849.99999994</v>
      </c>
      <c r="AG18" s="110">
        <v>0</v>
      </c>
      <c r="AH18" s="112">
        <v>58.833231191673804</v>
      </c>
      <c r="AI18" s="113"/>
      <c r="AJ18" s="116"/>
      <c r="AK18" s="68" t="s">
        <v>374</v>
      </c>
      <c r="AL18" s="68" t="s">
        <v>374</v>
      </c>
      <c r="AM18" s="112" t="s">
        <v>374</v>
      </c>
      <c r="AN18" s="111">
        <f>IF(Level1[[#This Row],[Standardised_Normalised_Mass_kg/capita/year]]&lt;&gt;"",Level1[[#This Row],[Standardised_Normalised_Mass_kg/capita/year]],Level1[[#This Row],[Derived_Normalised_kg/capita/year]])</f>
        <v>58.833231191673804</v>
      </c>
      <c r="AO18" s="68">
        <f>IF(Level1[[#This Row],[Household]]=1,IF(Level1[[#This Row],[Household_Diary?]]=1,'Cover Sheet'!$R$31,1),1)</f>
        <v>1</v>
      </c>
      <c r="AP18" s="68">
        <f>IF(Level1[[#This Row],[Household]]=1,IF(Level1[[#This Row],[Edible_Waste_Only?]]=1,'Cover Sheet'!$R$32,1),1)</f>
        <v>1</v>
      </c>
      <c r="AQ18" s="68">
        <f>IF(Level1[[#This Row],[Food_Service]]=1,IF(Level1[[#This Row],[Edible_Waste_Only?]]=1,'Cover Sheet'!$R$33,1),1)</f>
        <v>1</v>
      </c>
      <c r="AR18" s="68">
        <f>IF(Level1[[#This Row],[Retail]]=1,IF(Level1[[#This Row],[Edible_Waste_Only?]]=1,'Cover Sheet'!$R$34,1),1)</f>
        <v>1</v>
      </c>
      <c r="AS18" s="68">
        <f>PRODUCT(Level1[[#This Row],[Household_Diary_Adjustment]:[Retail_Inedible_Adjustment]])</f>
        <v>1</v>
      </c>
      <c r="AT18" s="147">
        <f>Level1[[#This Row],[Preferred_estimate_kg/capita]]*Level1[[#This Row],[Total_Adjustment]]</f>
        <v>58.833231191673804</v>
      </c>
      <c r="AU18" s="186"/>
    </row>
    <row r="19" spans="1:47" x14ac:dyDescent="0.2">
      <c r="A19" s="102">
        <v>81</v>
      </c>
      <c r="B19" s="116" t="s">
        <v>10</v>
      </c>
      <c r="C19" s="7">
        <v>2020</v>
      </c>
      <c r="D19" s="103" t="s">
        <v>85</v>
      </c>
      <c r="E19" s="104" t="s">
        <v>142</v>
      </c>
      <c r="F19" s="7">
        <v>840</v>
      </c>
      <c r="G19" s="7" t="s">
        <v>151</v>
      </c>
      <c r="H19" s="7" t="s">
        <v>159</v>
      </c>
      <c r="I19" s="7" t="s">
        <v>161</v>
      </c>
      <c r="J19" s="7" t="s">
        <v>165</v>
      </c>
      <c r="K19" s="7"/>
      <c r="L19" s="105">
        <v>329.06490000000002</v>
      </c>
      <c r="M19" s="104"/>
      <c r="N19" s="7">
        <v>1</v>
      </c>
      <c r="O19" s="105"/>
      <c r="P19" s="104" t="s">
        <v>225</v>
      </c>
      <c r="Q19" s="7">
        <v>1</v>
      </c>
      <c r="R19" s="7" t="s">
        <v>352</v>
      </c>
      <c r="S19" s="8"/>
      <c r="T19" s="8"/>
      <c r="U19" s="128">
        <v>2018</v>
      </c>
      <c r="V19" s="107"/>
      <c r="W19" s="7"/>
      <c r="X19" s="129"/>
      <c r="Y19" s="130"/>
      <c r="Z19" s="108">
        <f>(SUM(1219595,17090835,38154)*(1-14%))+SUM(301576,451124,61373,4065145,440679,613106,1224353)</f>
        <v>22937138.240000002</v>
      </c>
      <c r="AA19" s="7" t="s">
        <v>373</v>
      </c>
      <c r="AB19" s="109">
        <v>22937138.240000002</v>
      </c>
      <c r="AC19" s="109">
        <v>20808221.79059846</v>
      </c>
      <c r="AD19" s="110">
        <v>20808221.79059846</v>
      </c>
      <c r="AE19" s="111">
        <v>1</v>
      </c>
      <c r="AF19" s="110">
        <v>327074849.99999994</v>
      </c>
      <c r="AG19" s="110">
        <v>0</v>
      </c>
      <c r="AH19" s="112">
        <v>63.619143418084469</v>
      </c>
      <c r="AI19" s="113"/>
      <c r="AJ19" s="7"/>
      <c r="AK19" s="68" t="s">
        <v>374</v>
      </c>
      <c r="AL19" s="68" t="s">
        <v>374</v>
      </c>
      <c r="AM19" s="112" t="s">
        <v>374</v>
      </c>
      <c r="AN19" s="111">
        <f>IF(Level1[[#This Row],[Standardised_Normalised_Mass_kg/capita/year]]&lt;&gt;"",Level1[[#This Row],[Standardised_Normalised_Mass_kg/capita/year]],Level1[[#This Row],[Derived_Normalised_kg/capita/year]])</f>
        <v>63.619143418084469</v>
      </c>
      <c r="AO19" s="68">
        <f>IF(Level1[[#This Row],[Household]]=1,IF(Level1[[#This Row],[Household_Diary?]]=1,'Cover Sheet'!$R$31,1),1)</f>
        <v>1</v>
      </c>
      <c r="AP19" s="68">
        <f>IF(Level1[[#This Row],[Household]]=1,IF(Level1[[#This Row],[Edible_Waste_Only?]]=1,'Cover Sheet'!$R$32,1),1)</f>
        <v>1</v>
      </c>
      <c r="AQ19" s="68">
        <f>IF(Level1[[#This Row],[Food_Service]]=1,IF(Level1[[#This Row],[Edible_Waste_Only?]]=1,'Cover Sheet'!$R$33,1),1)</f>
        <v>1</v>
      </c>
      <c r="AR19" s="68">
        <f>IF(Level1[[#This Row],[Retail]]=1,IF(Level1[[#This Row],[Edible_Waste_Only?]]=1,'Cover Sheet'!$R$34,1),1)</f>
        <v>1</v>
      </c>
      <c r="AS19" s="68">
        <f>PRODUCT(Level1[[#This Row],[Household_Diary_Adjustment]:[Retail_Inedible_Adjustment]])</f>
        <v>1</v>
      </c>
      <c r="AT19" s="114">
        <f>Level1[[#This Row],[Preferred_estimate_kg/capita]]*Level1[[#This Row],[Total_Adjustment]]</f>
        <v>63.619143418084469</v>
      </c>
      <c r="AU19" s="186"/>
    </row>
    <row r="20" spans="1:47" x14ac:dyDescent="0.2">
      <c r="A20" s="115">
        <v>81</v>
      </c>
      <c r="B20" s="116" t="s">
        <v>10</v>
      </c>
      <c r="C20" s="116">
        <v>2020</v>
      </c>
      <c r="D20" s="117" t="s">
        <v>85</v>
      </c>
      <c r="E20" s="118" t="s">
        <v>142</v>
      </c>
      <c r="F20" s="116">
        <v>840</v>
      </c>
      <c r="G20" s="116" t="s">
        <v>151</v>
      </c>
      <c r="H20" s="116" t="s">
        <v>159</v>
      </c>
      <c r="I20" s="7" t="s">
        <v>161</v>
      </c>
      <c r="J20" s="7" t="s">
        <v>165</v>
      </c>
      <c r="K20" s="116"/>
      <c r="L20" s="105">
        <v>329.06490000000002</v>
      </c>
      <c r="M20" s="118"/>
      <c r="N20" s="116"/>
      <c r="O20" s="119">
        <v>1</v>
      </c>
      <c r="P20" s="118" t="s">
        <v>225</v>
      </c>
      <c r="Q20" s="116">
        <v>1</v>
      </c>
      <c r="R20" s="116" t="s">
        <v>353</v>
      </c>
      <c r="S20" s="120"/>
      <c r="T20" s="120"/>
      <c r="U20" s="125">
        <v>2018</v>
      </c>
      <c r="V20" s="122"/>
      <c r="W20" s="116"/>
      <c r="X20" s="131"/>
      <c r="Y20" s="127"/>
      <c r="Z20" s="123">
        <f>(8683093*(1-21%-14%))</f>
        <v>5644010.4500000002</v>
      </c>
      <c r="AA20" s="7" t="s">
        <v>373</v>
      </c>
      <c r="AB20" s="109">
        <v>5644010.4500000002</v>
      </c>
      <c r="AC20" s="109">
        <v>5120160.1526405336</v>
      </c>
      <c r="AD20" s="124">
        <v>5120160.1526405336</v>
      </c>
      <c r="AE20" s="111">
        <v>1</v>
      </c>
      <c r="AF20" s="110">
        <v>327074849.99999994</v>
      </c>
      <c r="AG20" s="110">
        <v>0</v>
      </c>
      <c r="AH20" s="112">
        <v>15.654398840633984</v>
      </c>
      <c r="AI20" s="113"/>
      <c r="AJ20" s="116"/>
      <c r="AK20" s="68" t="s">
        <v>374</v>
      </c>
      <c r="AL20" s="68" t="s">
        <v>374</v>
      </c>
      <c r="AM20" s="112" t="s">
        <v>374</v>
      </c>
      <c r="AN20" s="111">
        <f>IF(Level1[[#This Row],[Standardised_Normalised_Mass_kg/capita/year]]&lt;&gt;"",Level1[[#This Row],[Standardised_Normalised_Mass_kg/capita/year]],Level1[[#This Row],[Derived_Normalised_kg/capita/year]])</f>
        <v>15.654398840633984</v>
      </c>
      <c r="AO20" s="68">
        <f>IF(Level1[[#This Row],[Household]]=1,IF(Level1[[#This Row],[Household_Diary?]]=1,'Cover Sheet'!$R$31,1),1)</f>
        <v>1</v>
      </c>
      <c r="AP20" s="68">
        <f>IF(Level1[[#This Row],[Household]]=1,IF(Level1[[#This Row],[Edible_Waste_Only?]]=1,'Cover Sheet'!$R$32,1),1)</f>
        <v>1</v>
      </c>
      <c r="AQ20" s="68">
        <f>IF(Level1[[#This Row],[Food_Service]]=1,IF(Level1[[#This Row],[Edible_Waste_Only?]]=1,'Cover Sheet'!$R$33,1),1)</f>
        <v>1</v>
      </c>
      <c r="AR20" s="68">
        <f>IF(Level1[[#This Row],[Retail]]=1,IF(Level1[[#This Row],[Edible_Waste_Only?]]=1,'Cover Sheet'!$R$34,1),1)</f>
        <v>1</v>
      </c>
      <c r="AS20" s="68">
        <f>PRODUCT(Level1[[#This Row],[Household_Diary_Adjustment]:[Retail_Inedible_Adjustment]])</f>
        <v>1</v>
      </c>
      <c r="AT20" s="147">
        <f>Level1[[#This Row],[Preferred_estimate_kg/capita]]*Level1[[#This Row],[Total_Adjustment]]</f>
        <v>15.654398840633984</v>
      </c>
      <c r="AU20" s="186"/>
    </row>
    <row r="21" spans="1:47" x14ac:dyDescent="0.2">
      <c r="A21" s="115">
        <v>1</v>
      </c>
      <c r="B21" s="116" t="s">
        <v>535</v>
      </c>
      <c r="C21" s="116">
        <v>2019</v>
      </c>
      <c r="D21" s="117" t="s">
        <v>11</v>
      </c>
      <c r="E21" s="118" t="s">
        <v>91</v>
      </c>
      <c r="F21" s="7">
        <v>36</v>
      </c>
      <c r="G21" s="116" t="s">
        <v>146</v>
      </c>
      <c r="H21" s="116" t="s">
        <v>159</v>
      </c>
      <c r="I21" s="7" t="s">
        <v>161</v>
      </c>
      <c r="J21" s="7" t="s">
        <v>165</v>
      </c>
      <c r="K21" s="116"/>
      <c r="L21" s="105">
        <v>25.203199999999999</v>
      </c>
      <c r="M21" s="118">
        <v>1</v>
      </c>
      <c r="N21" s="116"/>
      <c r="O21" s="119"/>
      <c r="P21" s="118" t="s">
        <v>225</v>
      </c>
      <c r="Q21" s="116">
        <v>1</v>
      </c>
      <c r="R21" s="116" t="s">
        <v>231</v>
      </c>
      <c r="S21" s="120"/>
      <c r="T21" s="120"/>
      <c r="U21" s="121">
        <v>2017</v>
      </c>
      <c r="V21" s="122"/>
      <c r="W21" s="116"/>
      <c r="X21" s="122"/>
      <c r="Y21" s="119"/>
      <c r="Z21" s="123">
        <v>2500200</v>
      </c>
      <c r="AA21" s="7" t="s">
        <v>365</v>
      </c>
      <c r="AB21" s="109">
        <v>2500200</v>
      </c>
      <c r="AC21" s="109">
        <v>2500200</v>
      </c>
      <c r="AD21" s="124">
        <v>2500200</v>
      </c>
      <c r="AE21" s="111">
        <v>1</v>
      </c>
      <c r="AF21" s="110">
        <v>24584600</v>
      </c>
      <c r="AG21" s="110">
        <v>0</v>
      </c>
      <c r="AH21" s="112">
        <v>101.6978108246626</v>
      </c>
      <c r="AI21" s="113"/>
      <c r="AJ21" s="140"/>
      <c r="AK21" s="68" t="s">
        <v>374</v>
      </c>
      <c r="AL21" s="68" t="s">
        <v>374</v>
      </c>
      <c r="AM21" s="112" t="s">
        <v>374</v>
      </c>
      <c r="AN21" s="111">
        <f>IF(Level1[[#This Row],[Standardised_Normalised_Mass_kg/capita/year]]&lt;&gt;"",Level1[[#This Row],[Standardised_Normalised_Mass_kg/capita/year]],Level1[[#This Row],[Derived_Normalised_kg/capita/year]])</f>
        <v>101.6978108246626</v>
      </c>
      <c r="AO21" s="68">
        <f>IF(Level1[[#This Row],[Household]]=1,IF(Level1[[#This Row],[Household_Diary?]]=1,'Cover Sheet'!$R$31,1),1)</f>
        <v>1</v>
      </c>
      <c r="AP21" s="68">
        <f>IF(Level1[[#This Row],[Household]]=1,IF(Level1[[#This Row],[Edible_Waste_Only?]]=1,'Cover Sheet'!$R$32,1),1)</f>
        <v>1</v>
      </c>
      <c r="AQ21" s="68">
        <f>IF(Level1[[#This Row],[Food_Service]]=1,IF(Level1[[#This Row],[Edible_Waste_Only?]]=1,'Cover Sheet'!$R$33,1),1)</f>
        <v>1</v>
      </c>
      <c r="AR21" s="68">
        <f>IF(Level1[[#This Row],[Retail]]=1,IF(Level1[[#This Row],[Edible_Waste_Only?]]=1,'Cover Sheet'!$R$34,1),1)</f>
        <v>1</v>
      </c>
      <c r="AS21" s="68">
        <f>PRODUCT(Level1[[#This Row],[Household_Diary_Adjustment]:[Retail_Inedible_Adjustment]])</f>
        <v>1</v>
      </c>
      <c r="AT21" s="114">
        <f>Level1[[#This Row],[Preferred_estimate_kg/capita]]*Level1[[#This Row],[Total_Adjustment]]</f>
        <v>101.6978108246626</v>
      </c>
      <c r="AU21" s="186"/>
    </row>
    <row r="22" spans="1:47" x14ac:dyDescent="0.2">
      <c r="A22" s="102">
        <v>1</v>
      </c>
      <c r="B22" s="116" t="s">
        <v>535</v>
      </c>
      <c r="C22" s="7">
        <v>2019</v>
      </c>
      <c r="D22" s="103" t="s">
        <v>11</v>
      </c>
      <c r="E22" s="104" t="s">
        <v>91</v>
      </c>
      <c r="F22" s="7">
        <v>36</v>
      </c>
      <c r="G22" s="7" t="s">
        <v>146</v>
      </c>
      <c r="H22" s="7" t="s">
        <v>159</v>
      </c>
      <c r="I22" s="7" t="s">
        <v>161</v>
      </c>
      <c r="J22" s="7" t="s">
        <v>165</v>
      </c>
      <c r="K22" s="7"/>
      <c r="L22" s="105">
        <v>25.203199999999999</v>
      </c>
      <c r="M22" s="104"/>
      <c r="N22" s="7">
        <v>1</v>
      </c>
      <c r="O22" s="105"/>
      <c r="P22" s="104" t="s">
        <v>390</v>
      </c>
      <c r="Q22" s="7">
        <v>1</v>
      </c>
      <c r="R22" s="7" t="s">
        <v>232</v>
      </c>
      <c r="S22" s="8"/>
      <c r="T22" s="8"/>
      <c r="U22" s="106">
        <v>2017</v>
      </c>
      <c r="V22" s="107"/>
      <c r="W22" s="7"/>
      <c r="X22" s="107"/>
      <c r="Y22" s="105"/>
      <c r="Z22" s="108">
        <f>324290+208640</f>
        <v>532930</v>
      </c>
      <c r="AA22" s="7" t="s">
        <v>365</v>
      </c>
      <c r="AB22" s="109">
        <v>532930</v>
      </c>
      <c r="AC22" s="109">
        <v>532930</v>
      </c>
      <c r="AD22" s="110">
        <v>532930</v>
      </c>
      <c r="AE22" s="111">
        <v>1</v>
      </c>
      <c r="AF22" s="110">
        <v>24584600</v>
      </c>
      <c r="AG22" s="110">
        <v>0</v>
      </c>
      <c r="AH22" s="112">
        <v>21.677391537791951</v>
      </c>
      <c r="AI22" s="113"/>
      <c r="AJ22" s="7"/>
      <c r="AK22" s="68" t="s">
        <v>374</v>
      </c>
      <c r="AL22" s="68" t="s">
        <v>374</v>
      </c>
      <c r="AM22" s="112" t="s">
        <v>374</v>
      </c>
      <c r="AN22" s="111">
        <f>IF(Level1[[#This Row],[Standardised_Normalised_Mass_kg/capita/year]]&lt;&gt;"",Level1[[#This Row],[Standardised_Normalised_Mass_kg/capita/year]],Level1[[#This Row],[Derived_Normalised_kg/capita/year]])</f>
        <v>21.677391537791951</v>
      </c>
      <c r="AO22" s="68">
        <f>IF(Level1[[#This Row],[Household]]=1,IF(Level1[[#This Row],[Household_Diary?]]=1,'Cover Sheet'!$R$31,1),1)</f>
        <v>1</v>
      </c>
      <c r="AP22" s="68">
        <f>IF(Level1[[#This Row],[Household]]=1,IF(Level1[[#This Row],[Edible_Waste_Only?]]=1,'Cover Sheet'!$R$32,1),1)</f>
        <v>1</v>
      </c>
      <c r="AQ22" s="68">
        <f>IF(Level1[[#This Row],[Food_Service]]=1,IF(Level1[[#This Row],[Edible_Waste_Only?]]=1,'Cover Sheet'!$R$33,1),1)</f>
        <v>1</v>
      </c>
      <c r="AR22" s="68">
        <f>IF(Level1[[#This Row],[Retail]]=1,IF(Level1[[#This Row],[Edible_Waste_Only?]]=1,'Cover Sheet'!$R$34,1),1)</f>
        <v>1</v>
      </c>
      <c r="AS22" s="68">
        <f>PRODUCT(Level1[[#This Row],[Household_Diary_Adjustment]:[Retail_Inedible_Adjustment]])</f>
        <v>1</v>
      </c>
      <c r="AT22" s="114">
        <f>Level1[[#This Row],[Preferred_estimate_kg/capita]]*Level1[[#This Row],[Total_Adjustment]]</f>
        <v>21.677391537791951</v>
      </c>
      <c r="AU22" s="186"/>
    </row>
    <row r="23" spans="1:47" x14ac:dyDescent="0.2">
      <c r="A23" s="115">
        <v>1</v>
      </c>
      <c r="B23" s="116" t="s">
        <v>535</v>
      </c>
      <c r="C23" s="116">
        <v>2019</v>
      </c>
      <c r="D23" s="117" t="s">
        <v>11</v>
      </c>
      <c r="E23" s="118" t="s">
        <v>91</v>
      </c>
      <c r="F23" s="116">
        <v>36</v>
      </c>
      <c r="G23" s="116" t="s">
        <v>146</v>
      </c>
      <c r="H23" s="116" t="s">
        <v>159</v>
      </c>
      <c r="I23" s="7" t="s">
        <v>161</v>
      </c>
      <c r="J23" s="7" t="s">
        <v>165</v>
      </c>
      <c r="K23" s="116"/>
      <c r="L23" s="105">
        <v>25.203199999999999</v>
      </c>
      <c r="M23" s="118"/>
      <c r="N23" s="116"/>
      <c r="O23" s="119">
        <v>1</v>
      </c>
      <c r="P23" s="118" t="s">
        <v>390</v>
      </c>
      <c r="Q23" s="116">
        <v>1</v>
      </c>
      <c r="R23" s="116" t="s">
        <v>233</v>
      </c>
      <c r="S23" s="120"/>
      <c r="T23" s="120"/>
      <c r="U23" s="121">
        <v>2017</v>
      </c>
      <c r="V23" s="122"/>
      <c r="W23" s="116"/>
      <c r="X23" s="122"/>
      <c r="Y23" s="119"/>
      <c r="Z23" s="123">
        <f>232400</f>
        <v>232400</v>
      </c>
      <c r="AA23" s="7" t="s">
        <v>365</v>
      </c>
      <c r="AB23" s="109">
        <v>232400</v>
      </c>
      <c r="AC23" s="109">
        <v>232400</v>
      </c>
      <c r="AD23" s="124">
        <v>232400</v>
      </c>
      <c r="AE23" s="111">
        <v>1</v>
      </c>
      <c r="AF23" s="110">
        <v>24584600</v>
      </c>
      <c r="AG23" s="110">
        <v>0</v>
      </c>
      <c r="AH23" s="112">
        <v>9.4530722484807566</v>
      </c>
      <c r="AI23" s="113"/>
      <c r="AJ23" s="116"/>
      <c r="AK23" s="68" t="s">
        <v>374</v>
      </c>
      <c r="AL23" s="68" t="s">
        <v>374</v>
      </c>
      <c r="AM23" s="112" t="s">
        <v>374</v>
      </c>
      <c r="AN23" s="111">
        <f>IF(Level1[[#This Row],[Standardised_Normalised_Mass_kg/capita/year]]&lt;&gt;"",Level1[[#This Row],[Standardised_Normalised_Mass_kg/capita/year]],Level1[[#This Row],[Derived_Normalised_kg/capita/year]])</f>
        <v>9.4530722484807566</v>
      </c>
      <c r="AO23" s="68">
        <f>IF(Level1[[#This Row],[Household]]=1,IF(Level1[[#This Row],[Household_Diary?]]=1,'Cover Sheet'!$R$31,1),1)</f>
        <v>1</v>
      </c>
      <c r="AP23" s="68">
        <f>IF(Level1[[#This Row],[Household]]=1,IF(Level1[[#This Row],[Edible_Waste_Only?]]=1,'Cover Sheet'!$R$32,1),1)</f>
        <v>1</v>
      </c>
      <c r="AQ23" s="68">
        <f>IF(Level1[[#This Row],[Food_Service]]=1,IF(Level1[[#This Row],[Edible_Waste_Only?]]=1,'Cover Sheet'!$R$33,1),1)</f>
        <v>1</v>
      </c>
      <c r="AR23" s="68">
        <f>IF(Level1[[#This Row],[Retail]]=1,IF(Level1[[#This Row],[Edible_Waste_Only?]]=1,'Cover Sheet'!$R$34,1),1)</f>
        <v>1</v>
      </c>
      <c r="AS23" s="68">
        <f>PRODUCT(Level1[[#This Row],[Household_Diary_Adjustment]:[Retail_Inedible_Adjustment]])</f>
        <v>1</v>
      </c>
      <c r="AT23" s="114">
        <f>Level1[[#This Row],[Preferred_estimate_kg/capita]]*Level1[[#This Row],[Total_Adjustment]]</f>
        <v>9.4530722484807566</v>
      </c>
      <c r="AU23" s="186"/>
    </row>
    <row r="24" spans="1:47" x14ac:dyDescent="0.2">
      <c r="A24" s="115">
        <v>3</v>
      </c>
      <c r="B24" s="116" t="s">
        <v>541</v>
      </c>
      <c r="C24" s="116">
        <v>2019</v>
      </c>
      <c r="D24" s="117" t="s">
        <v>13</v>
      </c>
      <c r="E24" s="118" t="s">
        <v>92</v>
      </c>
      <c r="F24" s="116">
        <v>40</v>
      </c>
      <c r="G24" s="116" t="s">
        <v>147</v>
      </c>
      <c r="H24" s="116" t="s">
        <v>159</v>
      </c>
      <c r="I24" s="7" t="s">
        <v>161</v>
      </c>
      <c r="J24" s="7" t="s">
        <v>165</v>
      </c>
      <c r="K24" s="116"/>
      <c r="L24" s="105">
        <v>8.9550999999999998</v>
      </c>
      <c r="M24" s="118"/>
      <c r="N24" s="116">
        <v>1</v>
      </c>
      <c r="O24" s="119"/>
      <c r="P24" s="118" t="s">
        <v>224</v>
      </c>
      <c r="Q24" s="116">
        <v>1</v>
      </c>
      <c r="R24" s="116" t="s">
        <v>237</v>
      </c>
      <c r="S24" s="120"/>
      <c r="T24" s="120"/>
      <c r="U24" s="125">
        <v>2014</v>
      </c>
      <c r="V24" s="122"/>
      <c r="W24" s="116"/>
      <c r="X24" s="131">
        <f>23/32</f>
        <v>0.71875</v>
      </c>
      <c r="Y24" s="127" t="s">
        <v>492</v>
      </c>
      <c r="Z24" s="123">
        <v>268735</v>
      </c>
      <c r="AA24" s="7" t="s">
        <v>365</v>
      </c>
      <c r="AB24" s="109">
        <v>268735</v>
      </c>
      <c r="AC24" s="109">
        <v>268735</v>
      </c>
      <c r="AD24" s="124">
        <v>268735</v>
      </c>
      <c r="AE24" s="111">
        <v>1</v>
      </c>
      <c r="AF24" s="110">
        <v>8644185.7142857146</v>
      </c>
      <c r="AG24" s="110">
        <v>0</v>
      </c>
      <c r="AH24" s="112">
        <v>31.088526887602402</v>
      </c>
      <c r="AI24" s="113"/>
      <c r="AJ24" s="116"/>
      <c r="AK24" s="68" t="s">
        <v>374</v>
      </c>
      <c r="AL24" s="68" t="s">
        <v>374</v>
      </c>
      <c r="AM24" s="112" t="s">
        <v>374</v>
      </c>
      <c r="AN24" s="111">
        <f>IF(Level1[[#This Row],[Standardised_Normalised_Mass_kg/capita/year]]&lt;&gt;"",Level1[[#This Row],[Standardised_Normalised_Mass_kg/capita/year]],Level1[[#This Row],[Derived_Normalised_kg/capita/year]])</f>
        <v>31.088526887602402</v>
      </c>
      <c r="AO24" s="68">
        <f>IF(Level1[[#This Row],[Household]]=1,IF(Level1[[#This Row],[Household_Diary?]]=1,'Cover Sheet'!$R$31,1),1)</f>
        <v>1</v>
      </c>
      <c r="AP24" s="68">
        <f>IF(Level1[[#This Row],[Household]]=1,IF(Level1[[#This Row],[Edible_Waste_Only?]]=1,'Cover Sheet'!$R$32,1),1)</f>
        <v>1</v>
      </c>
      <c r="AQ24" s="68">
        <f>IF(Level1[[#This Row],[Food_Service]]=1,IF(Level1[[#This Row],[Edible_Waste_Only?]]=1,'Cover Sheet'!$R$33,1),1)</f>
        <v>1</v>
      </c>
      <c r="AR24" s="68">
        <f>IF(Level1[[#This Row],[Retail]]=1,IF(Level1[[#This Row],[Edible_Waste_Only?]]=1,'Cover Sheet'!$R$34,1),1)</f>
        <v>1</v>
      </c>
      <c r="AS24" s="68">
        <f>PRODUCT(Level1[[#This Row],[Household_Diary_Adjustment]:[Retail_Inedible_Adjustment]])</f>
        <v>1</v>
      </c>
      <c r="AT24" s="114">
        <f>Level1[[#This Row],[Preferred_estimate_kg/capita]]*Level1[[#This Row],[Total_Adjustment]]</f>
        <v>31.088526887602402</v>
      </c>
      <c r="AU24" s="186"/>
    </row>
    <row r="25" spans="1:47" x14ac:dyDescent="0.2">
      <c r="A25" s="102">
        <v>3</v>
      </c>
      <c r="B25" s="116" t="s">
        <v>541</v>
      </c>
      <c r="C25" s="7">
        <v>2019</v>
      </c>
      <c r="D25" s="103" t="s">
        <v>13</v>
      </c>
      <c r="E25" s="104" t="s">
        <v>102</v>
      </c>
      <c r="F25" s="7">
        <v>233</v>
      </c>
      <c r="G25" s="7" t="s">
        <v>153</v>
      </c>
      <c r="H25" s="7" t="s">
        <v>159</v>
      </c>
      <c r="I25" s="7" t="s">
        <v>161</v>
      </c>
      <c r="J25" s="7" t="s">
        <v>165</v>
      </c>
      <c r="K25" s="7"/>
      <c r="L25" s="105">
        <v>1.3255999999999999</v>
      </c>
      <c r="M25" s="104"/>
      <c r="N25" s="7"/>
      <c r="O25" s="105">
        <v>1</v>
      </c>
      <c r="P25" s="104" t="s">
        <v>224</v>
      </c>
      <c r="Q25" s="7">
        <v>2</v>
      </c>
      <c r="R25" s="7" t="s">
        <v>265</v>
      </c>
      <c r="S25" s="8"/>
      <c r="T25" s="8"/>
      <c r="U25" s="106">
        <v>2017</v>
      </c>
      <c r="V25" s="107"/>
      <c r="W25" s="7"/>
      <c r="X25" s="129"/>
      <c r="Y25" s="130"/>
      <c r="Z25" s="108">
        <v>6200</v>
      </c>
      <c r="AA25" s="7" t="s">
        <v>365</v>
      </c>
      <c r="AB25" s="109">
        <v>6200</v>
      </c>
      <c r="AC25" s="109">
        <v>6200</v>
      </c>
      <c r="AD25" s="110">
        <v>6200</v>
      </c>
      <c r="AE25" s="111">
        <v>1</v>
      </c>
      <c r="AF25" s="110">
        <v>1319400</v>
      </c>
      <c r="AG25" s="110">
        <v>0</v>
      </c>
      <c r="AH25" s="112">
        <v>4.6991056540851899</v>
      </c>
      <c r="AI25" s="113"/>
      <c r="AJ25" s="7"/>
      <c r="AK25" s="68" t="s">
        <v>374</v>
      </c>
      <c r="AL25" s="68" t="s">
        <v>374</v>
      </c>
      <c r="AM25" s="112" t="s">
        <v>374</v>
      </c>
      <c r="AN25" s="111">
        <f>IF(Level1[[#This Row],[Standardised_Normalised_Mass_kg/capita/year]]&lt;&gt;"",Level1[[#This Row],[Standardised_Normalised_Mass_kg/capita/year]],Level1[[#This Row],[Derived_Normalised_kg/capita/year]])</f>
        <v>4.6991056540851899</v>
      </c>
      <c r="AO25" s="68">
        <f>IF(Level1[[#This Row],[Household]]=1,IF(Level1[[#This Row],[Household_Diary?]]=1,'Cover Sheet'!$R$31,1),1)</f>
        <v>1</v>
      </c>
      <c r="AP25" s="68">
        <f>IF(Level1[[#This Row],[Household]]=1,IF(Level1[[#This Row],[Edible_Waste_Only?]]=1,'Cover Sheet'!$R$32,1),1)</f>
        <v>1</v>
      </c>
      <c r="AQ25" s="68">
        <f>IF(Level1[[#This Row],[Food_Service]]=1,IF(Level1[[#This Row],[Edible_Waste_Only?]]=1,'Cover Sheet'!$R$33,1),1)</f>
        <v>1</v>
      </c>
      <c r="AR25" s="68">
        <f>IF(Level1[[#This Row],[Retail]]=1,IF(Level1[[#This Row],[Edible_Waste_Only?]]=1,'Cover Sheet'!$R$34,1),1)</f>
        <v>1</v>
      </c>
      <c r="AS25" s="68">
        <f>PRODUCT(Level1[[#This Row],[Household_Diary_Adjustment]:[Retail_Inedible_Adjustment]])</f>
        <v>1</v>
      </c>
      <c r="AT25" s="114">
        <f>Level1[[#This Row],[Preferred_estimate_kg/capita]]*Level1[[#This Row],[Total_Adjustment]]</f>
        <v>4.6991056540851899</v>
      </c>
      <c r="AU25" s="186"/>
    </row>
    <row r="26" spans="1:47" x14ac:dyDescent="0.2">
      <c r="A26" s="102">
        <v>3</v>
      </c>
      <c r="B26" s="116" t="s">
        <v>541</v>
      </c>
      <c r="C26" s="7">
        <v>2019</v>
      </c>
      <c r="D26" s="103" t="s">
        <v>13</v>
      </c>
      <c r="E26" s="104" t="s">
        <v>120</v>
      </c>
      <c r="F26" s="7">
        <v>442</v>
      </c>
      <c r="G26" s="7" t="s">
        <v>147</v>
      </c>
      <c r="H26" s="7" t="s">
        <v>159</v>
      </c>
      <c r="I26" s="7" t="s">
        <v>161</v>
      </c>
      <c r="J26" s="7" t="s">
        <v>165</v>
      </c>
      <c r="K26" s="7"/>
      <c r="L26" s="105">
        <v>0.61570000000000003</v>
      </c>
      <c r="M26" s="104"/>
      <c r="N26" s="7"/>
      <c r="O26" s="105">
        <v>1</v>
      </c>
      <c r="P26" s="104" t="s">
        <v>224</v>
      </c>
      <c r="Q26" s="7">
        <v>2</v>
      </c>
      <c r="R26" s="7" t="s">
        <v>307</v>
      </c>
      <c r="S26" s="8"/>
      <c r="T26" s="8"/>
      <c r="U26" s="128">
        <v>2013</v>
      </c>
      <c r="V26" s="107"/>
      <c r="W26" s="7"/>
      <c r="X26" s="129"/>
      <c r="Y26" s="130"/>
      <c r="Z26" s="108">
        <v>4950</v>
      </c>
      <c r="AA26" s="7" t="s">
        <v>365</v>
      </c>
      <c r="AB26" s="109">
        <v>4950</v>
      </c>
      <c r="AC26" s="109">
        <v>4950</v>
      </c>
      <c r="AD26" s="110">
        <v>4950</v>
      </c>
      <c r="AE26" s="111"/>
      <c r="AF26" s="110">
        <v>543900</v>
      </c>
      <c r="AG26" s="110">
        <v>0</v>
      </c>
      <c r="AH26" s="112"/>
      <c r="AI26" s="113">
        <v>9</v>
      </c>
      <c r="AJ26" s="7" t="s">
        <v>377</v>
      </c>
      <c r="AK26" s="68">
        <v>9</v>
      </c>
      <c r="AL26" s="68">
        <v>9</v>
      </c>
      <c r="AM26" s="112">
        <v>9</v>
      </c>
      <c r="AN26" s="111">
        <f>IF(Level1[[#This Row],[Standardised_Normalised_Mass_kg/capita/year]]&lt;&gt;"",Level1[[#This Row],[Standardised_Normalised_Mass_kg/capita/year]],Level1[[#This Row],[Derived_Normalised_kg/capita/year]])</f>
        <v>9</v>
      </c>
      <c r="AO26" s="68">
        <f>IF(Level1[[#This Row],[Household]]=1,IF(Level1[[#This Row],[Household_Diary?]]=1,'Cover Sheet'!$R$31,1),1)</f>
        <v>1</v>
      </c>
      <c r="AP26" s="68">
        <f>IF(Level1[[#This Row],[Household]]=1,IF(Level1[[#This Row],[Edible_Waste_Only?]]=1,'Cover Sheet'!$R$32,1),1)</f>
        <v>1</v>
      </c>
      <c r="AQ26" s="68">
        <f>IF(Level1[[#This Row],[Food_Service]]=1,IF(Level1[[#This Row],[Edible_Waste_Only?]]=1,'Cover Sheet'!$R$33,1),1)</f>
        <v>1</v>
      </c>
      <c r="AR26" s="68">
        <f>IF(Level1[[#This Row],[Retail]]=1,IF(Level1[[#This Row],[Edible_Waste_Only?]]=1,'Cover Sheet'!$R$34,1),1)</f>
        <v>1</v>
      </c>
      <c r="AS26" s="68">
        <f>PRODUCT(Level1[[#This Row],[Household_Diary_Adjustment]:[Retail_Inedible_Adjustment]])</f>
        <v>1</v>
      </c>
      <c r="AT26" s="114">
        <f>Level1[[#This Row],[Preferred_estimate_kg/capita]]*Level1[[#This Row],[Total_Adjustment]]</f>
        <v>9</v>
      </c>
      <c r="AU26" s="186"/>
    </row>
    <row r="27" spans="1:47" x14ac:dyDescent="0.2">
      <c r="A27" s="102">
        <v>3</v>
      </c>
      <c r="B27" s="116" t="s">
        <v>541</v>
      </c>
      <c r="C27" s="7">
        <v>2019</v>
      </c>
      <c r="D27" s="103" t="s">
        <v>13</v>
      </c>
      <c r="E27" s="104" t="s">
        <v>120</v>
      </c>
      <c r="F27" s="7">
        <v>442</v>
      </c>
      <c r="G27" s="7" t="s">
        <v>147</v>
      </c>
      <c r="H27" s="7" t="s">
        <v>159</v>
      </c>
      <c r="I27" s="7" t="s">
        <v>161</v>
      </c>
      <c r="J27" s="7" t="s">
        <v>165</v>
      </c>
      <c r="K27" s="7"/>
      <c r="L27" s="105">
        <v>0.61570000000000003</v>
      </c>
      <c r="M27" s="104">
        <v>1</v>
      </c>
      <c r="N27" s="7"/>
      <c r="O27" s="105"/>
      <c r="P27" s="104" t="s">
        <v>224</v>
      </c>
      <c r="Q27" s="7">
        <v>2</v>
      </c>
      <c r="R27" s="7" t="s">
        <v>309</v>
      </c>
      <c r="S27" s="8"/>
      <c r="T27" s="8"/>
      <c r="U27" s="128">
        <v>2013</v>
      </c>
      <c r="V27" s="107"/>
      <c r="W27" s="7"/>
      <c r="X27" s="129"/>
      <c r="Y27" s="130"/>
      <c r="Z27" s="108">
        <v>49260</v>
      </c>
      <c r="AA27" s="7" t="s">
        <v>365</v>
      </c>
      <c r="AB27" s="109">
        <v>49260</v>
      </c>
      <c r="AC27" s="109">
        <v>49260</v>
      </c>
      <c r="AD27" s="110">
        <v>49260</v>
      </c>
      <c r="AE27" s="111"/>
      <c r="AF27" s="110">
        <v>543900</v>
      </c>
      <c r="AG27" s="110">
        <v>0</v>
      </c>
      <c r="AH27" s="112"/>
      <c r="AI27" s="113">
        <v>90</v>
      </c>
      <c r="AJ27" s="7" t="s">
        <v>377</v>
      </c>
      <c r="AK27" s="68">
        <v>90</v>
      </c>
      <c r="AL27" s="68">
        <v>90</v>
      </c>
      <c r="AM27" s="112">
        <v>90</v>
      </c>
      <c r="AN27" s="111">
        <f>IF(Level1[[#This Row],[Standardised_Normalised_Mass_kg/capita/year]]&lt;&gt;"",Level1[[#This Row],[Standardised_Normalised_Mass_kg/capita/year]],Level1[[#This Row],[Derived_Normalised_kg/capita/year]])</f>
        <v>90</v>
      </c>
      <c r="AO27" s="68">
        <f>IF(Level1[[#This Row],[Household]]=1,IF(Level1[[#This Row],[Household_Diary?]]=1,'Cover Sheet'!$R$31,1),1)</f>
        <v>1</v>
      </c>
      <c r="AP27" s="68">
        <f>IF(Level1[[#This Row],[Household]]=1,IF(Level1[[#This Row],[Edible_Waste_Only?]]=1,'Cover Sheet'!$R$32,1),1)</f>
        <v>1</v>
      </c>
      <c r="AQ27" s="68">
        <f>IF(Level1[[#This Row],[Food_Service]]=1,IF(Level1[[#This Row],[Edible_Waste_Only?]]=1,'Cover Sheet'!$R$33,1),1)</f>
        <v>1</v>
      </c>
      <c r="AR27" s="68">
        <f>IF(Level1[[#This Row],[Retail]]=1,IF(Level1[[#This Row],[Edible_Waste_Only?]]=1,'Cover Sheet'!$R$34,1),1)</f>
        <v>1</v>
      </c>
      <c r="AS27" s="68">
        <f>PRODUCT(Level1[[#This Row],[Household_Diary_Adjustment]:[Retail_Inedible_Adjustment]])</f>
        <v>1</v>
      </c>
      <c r="AT27" s="114">
        <f>Level1[[#This Row],[Preferred_estimate_kg/capita]]*Level1[[#This Row],[Total_Adjustment]]</f>
        <v>90</v>
      </c>
      <c r="AU27" s="186"/>
    </row>
    <row r="28" spans="1:47" x14ac:dyDescent="0.2">
      <c r="A28" s="102">
        <v>3</v>
      </c>
      <c r="B28" s="116" t="s">
        <v>541</v>
      </c>
      <c r="C28" s="7">
        <v>2019</v>
      </c>
      <c r="D28" s="103" t="s">
        <v>13</v>
      </c>
      <c r="E28" s="104" t="s">
        <v>122</v>
      </c>
      <c r="F28" s="7">
        <v>470</v>
      </c>
      <c r="G28" s="7" t="s">
        <v>155</v>
      </c>
      <c r="H28" s="7" t="s">
        <v>159</v>
      </c>
      <c r="I28" s="7" t="s">
        <v>161</v>
      </c>
      <c r="J28" s="7" t="s">
        <v>165</v>
      </c>
      <c r="K28" s="7"/>
      <c r="L28" s="105">
        <v>0.44040000000000001</v>
      </c>
      <c r="M28" s="104">
        <v>1</v>
      </c>
      <c r="N28" s="7"/>
      <c r="O28" s="105"/>
      <c r="P28" s="104" t="s">
        <v>224</v>
      </c>
      <c r="Q28" s="7">
        <v>1</v>
      </c>
      <c r="R28" s="7" t="s">
        <v>314</v>
      </c>
      <c r="S28" s="8"/>
      <c r="T28" s="8"/>
      <c r="U28" s="128" t="s">
        <v>358</v>
      </c>
      <c r="V28" s="107"/>
      <c r="W28" s="7"/>
      <c r="X28" s="129"/>
      <c r="Y28" s="130"/>
      <c r="Z28" s="108"/>
      <c r="AA28" s="7"/>
      <c r="AB28" s="109" t="s">
        <v>374</v>
      </c>
      <c r="AC28" s="109" t="s">
        <v>374</v>
      </c>
      <c r="AD28" s="110" t="s">
        <v>374</v>
      </c>
      <c r="AE28" s="111">
        <v>0</v>
      </c>
      <c r="AF28" s="110">
        <v>0</v>
      </c>
      <c r="AG28" s="110">
        <v>0</v>
      </c>
      <c r="AH28" s="112">
        <v>0</v>
      </c>
      <c r="AI28" s="113">
        <v>129</v>
      </c>
      <c r="AJ28" s="7" t="s">
        <v>377</v>
      </c>
      <c r="AK28" s="68">
        <v>129</v>
      </c>
      <c r="AL28" s="68">
        <v>129</v>
      </c>
      <c r="AM28" s="112">
        <v>129</v>
      </c>
      <c r="AN28" s="111">
        <f>IF(Level1[[#This Row],[Standardised_Normalised_Mass_kg/capita/year]]&lt;&gt;"",Level1[[#This Row],[Standardised_Normalised_Mass_kg/capita/year]],Level1[[#This Row],[Derived_Normalised_kg/capita/year]])</f>
        <v>129</v>
      </c>
      <c r="AO28" s="68">
        <f>IF(Level1[[#This Row],[Household]]=1,IF(Level1[[#This Row],[Household_Diary?]]=1,'Cover Sheet'!$R$31,1),1)</f>
        <v>1</v>
      </c>
      <c r="AP28" s="68">
        <f>IF(Level1[[#This Row],[Household]]=1,IF(Level1[[#This Row],[Edible_Waste_Only?]]=1,'Cover Sheet'!$R$32,1),1)</f>
        <v>1</v>
      </c>
      <c r="AQ28" s="68">
        <f>IF(Level1[[#This Row],[Food_Service]]=1,IF(Level1[[#This Row],[Edible_Waste_Only?]]=1,'Cover Sheet'!$R$33,1),1)</f>
        <v>1</v>
      </c>
      <c r="AR28" s="68">
        <f>IF(Level1[[#This Row],[Retail]]=1,IF(Level1[[#This Row],[Edible_Waste_Only?]]=1,'Cover Sheet'!$R$34,1),1)</f>
        <v>1</v>
      </c>
      <c r="AS28" s="68">
        <f>PRODUCT(Level1[[#This Row],[Household_Diary_Adjustment]:[Retail_Inedible_Adjustment]])</f>
        <v>1</v>
      </c>
      <c r="AT28" s="114">
        <f>Level1[[#This Row],[Preferred_estimate_kg/capita]]*Level1[[#This Row],[Total_Adjustment]]</f>
        <v>129</v>
      </c>
      <c r="AU28" s="186"/>
    </row>
    <row r="29" spans="1:47" x14ac:dyDescent="0.2">
      <c r="A29" s="115">
        <v>3</v>
      </c>
      <c r="B29" s="116" t="s">
        <v>541</v>
      </c>
      <c r="C29" s="116">
        <v>2019</v>
      </c>
      <c r="D29" s="117" t="s">
        <v>13</v>
      </c>
      <c r="E29" s="118" t="s">
        <v>127</v>
      </c>
      <c r="F29" s="116">
        <v>578</v>
      </c>
      <c r="G29" s="116" t="s">
        <v>153</v>
      </c>
      <c r="H29" s="116" t="s">
        <v>159</v>
      </c>
      <c r="I29" s="7" t="s">
        <v>161</v>
      </c>
      <c r="J29" s="7" t="s">
        <v>165</v>
      </c>
      <c r="K29" s="116"/>
      <c r="L29" s="105">
        <v>5.3788999999999998</v>
      </c>
      <c r="M29" s="118"/>
      <c r="N29" s="116"/>
      <c r="O29" s="119">
        <v>1</v>
      </c>
      <c r="P29" s="118" t="s">
        <v>224</v>
      </c>
      <c r="Q29" s="116">
        <v>2</v>
      </c>
      <c r="R29" s="116" t="s">
        <v>321</v>
      </c>
      <c r="S29" s="120"/>
      <c r="T29" s="120">
        <v>1</v>
      </c>
      <c r="U29" s="125">
        <v>2016</v>
      </c>
      <c r="V29" s="122"/>
      <c r="W29" s="116"/>
      <c r="X29" s="131"/>
      <c r="Y29" s="127" t="s">
        <v>514</v>
      </c>
      <c r="Z29" s="123">
        <v>68499</v>
      </c>
      <c r="AA29" s="7" t="s">
        <v>365</v>
      </c>
      <c r="AB29" s="109">
        <v>68499</v>
      </c>
      <c r="AC29" s="109">
        <v>68499</v>
      </c>
      <c r="AD29" s="124">
        <v>68499</v>
      </c>
      <c r="AE29" s="111">
        <v>0</v>
      </c>
      <c r="AF29" s="110">
        <v>5237671.4285714282</v>
      </c>
      <c r="AG29" s="110">
        <v>0</v>
      </c>
      <c r="AH29" s="112">
        <v>0</v>
      </c>
      <c r="AI29" s="113">
        <v>11</v>
      </c>
      <c r="AJ29" s="116" t="s">
        <v>377</v>
      </c>
      <c r="AK29" s="68">
        <v>11</v>
      </c>
      <c r="AL29" s="68">
        <v>11</v>
      </c>
      <c r="AM29" s="112">
        <v>11</v>
      </c>
      <c r="AN29" s="111">
        <f>IF(Level1[[#This Row],[Standardised_Normalised_Mass_kg/capita/year]]&lt;&gt;"",Level1[[#This Row],[Standardised_Normalised_Mass_kg/capita/year]],Level1[[#This Row],[Derived_Normalised_kg/capita/year]])</f>
        <v>11</v>
      </c>
      <c r="AO29" s="68">
        <f>IF(Level1[[#This Row],[Household]]=1,IF(Level1[[#This Row],[Household_Diary?]]=1,'Cover Sheet'!$R$31,1),1)</f>
        <v>1</v>
      </c>
      <c r="AP29" s="68">
        <f>IF(Level1[[#This Row],[Household]]=1,IF(Level1[[#This Row],[Edible_Waste_Only?]]=1,'Cover Sheet'!$R$32,1),1)</f>
        <v>1</v>
      </c>
      <c r="AQ29" s="68">
        <f>IF(Level1[[#This Row],[Food_Service]]=1,IF(Level1[[#This Row],[Edible_Waste_Only?]]=1,'Cover Sheet'!$R$33,1),1)</f>
        <v>1</v>
      </c>
      <c r="AR29" s="68">
        <f>IF(Level1[[#This Row],[Retail]]=1,IF(Level1[[#This Row],[Edible_Waste_Only?]]=1,'Cover Sheet'!$R$34,1),1)</f>
        <v>1.1756101852337386</v>
      </c>
      <c r="AS29" s="68">
        <f>PRODUCT(Level1[[#This Row],[Household_Diary_Adjustment]:[Retail_Inedible_Adjustment]])</f>
        <v>1.1756101852337386</v>
      </c>
      <c r="AT29" s="114">
        <f>Level1[[#This Row],[Preferred_estimate_kg/capita]]*Level1[[#This Row],[Total_Adjustment]]</f>
        <v>12.931712037571124</v>
      </c>
      <c r="AU29" s="186"/>
    </row>
    <row r="30" spans="1:47" x14ac:dyDescent="0.2">
      <c r="A30" s="102">
        <v>3</v>
      </c>
      <c r="B30" s="116" t="s">
        <v>541</v>
      </c>
      <c r="C30" s="7">
        <v>2019</v>
      </c>
      <c r="D30" s="103" t="s">
        <v>13</v>
      </c>
      <c r="E30" s="104" t="s">
        <v>127</v>
      </c>
      <c r="F30" s="7">
        <v>578</v>
      </c>
      <c r="G30" s="7" t="s">
        <v>153</v>
      </c>
      <c r="H30" s="7" t="s">
        <v>159</v>
      </c>
      <c r="I30" s="7" t="s">
        <v>161</v>
      </c>
      <c r="J30" s="7" t="s">
        <v>165</v>
      </c>
      <c r="K30" s="7"/>
      <c r="L30" s="105">
        <v>5.3788999999999998</v>
      </c>
      <c r="M30" s="104"/>
      <c r="N30" s="7"/>
      <c r="O30" s="105">
        <v>1</v>
      </c>
      <c r="P30" s="104" t="s">
        <v>224</v>
      </c>
      <c r="Q30" s="7">
        <v>2</v>
      </c>
      <c r="R30" s="7" t="s">
        <v>321</v>
      </c>
      <c r="S30" s="8"/>
      <c r="T30" s="8">
        <v>1</v>
      </c>
      <c r="U30" s="128">
        <v>2015</v>
      </c>
      <c r="V30" s="107"/>
      <c r="W30" s="7"/>
      <c r="X30" s="129"/>
      <c r="Y30" s="130" t="s">
        <v>514</v>
      </c>
      <c r="Z30" s="108">
        <v>63245</v>
      </c>
      <c r="AA30" s="7" t="s">
        <v>365</v>
      </c>
      <c r="AB30" s="109">
        <v>63245</v>
      </c>
      <c r="AC30" s="109">
        <v>63245</v>
      </c>
      <c r="AD30" s="110">
        <v>63245</v>
      </c>
      <c r="AE30" s="111">
        <v>0</v>
      </c>
      <c r="AF30" s="110">
        <v>5179042.8571428573</v>
      </c>
      <c r="AG30" s="110">
        <v>0</v>
      </c>
      <c r="AH30" s="112">
        <v>0</v>
      </c>
      <c r="AI30" s="113">
        <v>12</v>
      </c>
      <c r="AJ30" s="7" t="s">
        <v>377</v>
      </c>
      <c r="AK30" s="68">
        <v>12</v>
      </c>
      <c r="AL30" s="68">
        <v>12</v>
      </c>
      <c r="AM30" s="112">
        <v>12</v>
      </c>
      <c r="AN30" s="111">
        <f>IF(Level1[[#This Row],[Standardised_Normalised_Mass_kg/capita/year]]&lt;&gt;"",Level1[[#This Row],[Standardised_Normalised_Mass_kg/capita/year]],Level1[[#This Row],[Derived_Normalised_kg/capita/year]])</f>
        <v>12</v>
      </c>
      <c r="AO30" s="68">
        <f>IF(Level1[[#This Row],[Household]]=1,IF(Level1[[#This Row],[Household_Diary?]]=1,'Cover Sheet'!$R$31,1),1)</f>
        <v>1</v>
      </c>
      <c r="AP30" s="68">
        <f>IF(Level1[[#This Row],[Household]]=1,IF(Level1[[#This Row],[Edible_Waste_Only?]]=1,'Cover Sheet'!$R$32,1),1)</f>
        <v>1</v>
      </c>
      <c r="AQ30" s="68">
        <f>IF(Level1[[#This Row],[Food_Service]]=1,IF(Level1[[#This Row],[Edible_Waste_Only?]]=1,'Cover Sheet'!$R$33,1),1)</f>
        <v>1</v>
      </c>
      <c r="AR30" s="68">
        <f>IF(Level1[[#This Row],[Retail]]=1,IF(Level1[[#This Row],[Edible_Waste_Only?]]=1,'Cover Sheet'!$R$34,1),1)</f>
        <v>1.1756101852337386</v>
      </c>
      <c r="AS30" s="68">
        <f>PRODUCT(Level1[[#This Row],[Household_Diary_Adjustment]:[Retail_Inedible_Adjustment]])</f>
        <v>1.1756101852337386</v>
      </c>
      <c r="AT30" s="114">
        <f>Level1[[#This Row],[Preferred_estimate_kg/capita]]*Level1[[#This Row],[Total_Adjustment]]</f>
        <v>14.107322222804864</v>
      </c>
      <c r="AU30" s="186"/>
    </row>
    <row r="31" spans="1:47" x14ac:dyDescent="0.2">
      <c r="A31" s="102">
        <v>3</v>
      </c>
      <c r="B31" s="116" t="s">
        <v>541</v>
      </c>
      <c r="C31" s="7">
        <v>2019</v>
      </c>
      <c r="D31" s="103" t="s">
        <v>13</v>
      </c>
      <c r="E31" s="104" t="s">
        <v>136</v>
      </c>
      <c r="F31" s="7">
        <v>724</v>
      </c>
      <c r="G31" s="7" t="s">
        <v>155</v>
      </c>
      <c r="H31" s="7" t="s">
        <v>159</v>
      </c>
      <c r="I31" s="7" t="s">
        <v>161</v>
      </c>
      <c r="J31" s="7" t="s">
        <v>165</v>
      </c>
      <c r="K31" s="7"/>
      <c r="L31" s="105">
        <v>46.736800000000002</v>
      </c>
      <c r="M31" s="104">
        <v>1</v>
      </c>
      <c r="N31" s="7"/>
      <c r="O31" s="105"/>
      <c r="P31" s="104" t="s">
        <v>224</v>
      </c>
      <c r="Q31" s="7">
        <v>2</v>
      </c>
      <c r="R31" s="7" t="s">
        <v>339</v>
      </c>
      <c r="S31" s="8">
        <v>1</v>
      </c>
      <c r="T31" s="8">
        <v>1</v>
      </c>
      <c r="U31" s="128">
        <v>2016</v>
      </c>
      <c r="V31" s="107"/>
      <c r="W31" s="7"/>
      <c r="X31" s="129"/>
      <c r="Y31" s="130" t="s">
        <v>514</v>
      </c>
      <c r="Z31" s="108">
        <v>1240000</v>
      </c>
      <c r="AA31" s="7" t="s">
        <v>365</v>
      </c>
      <c r="AB31" s="109">
        <v>1240000</v>
      </c>
      <c r="AC31" s="109">
        <v>1240000</v>
      </c>
      <c r="AD31" s="110">
        <v>1240000</v>
      </c>
      <c r="AE31" s="111">
        <v>1</v>
      </c>
      <c r="AF31" s="110">
        <v>46687914.285714284</v>
      </c>
      <c r="AG31" s="110">
        <v>0</v>
      </c>
      <c r="AH31" s="112">
        <v>26.559335943165472</v>
      </c>
      <c r="AI31" s="113"/>
      <c r="AJ31" s="7"/>
      <c r="AK31" s="68" t="s">
        <v>374</v>
      </c>
      <c r="AL31" s="68" t="s">
        <v>374</v>
      </c>
      <c r="AM31" s="112" t="s">
        <v>374</v>
      </c>
      <c r="AN31" s="111">
        <f>IF(Level1[[#This Row],[Standardised_Normalised_Mass_kg/capita/year]]&lt;&gt;"",Level1[[#This Row],[Standardised_Normalised_Mass_kg/capita/year]],Level1[[#This Row],[Derived_Normalised_kg/capita/year]])</f>
        <v>26.559335943165472</v>
      </c>
      <c r="AO31" s="68">
        <f>IF(Level1[[#This Row],[Household]]=1,IF(Level1[[#This Row],[Household_Diary?]]=1,'Cover Sheet'!$R$31,1),1)</f>
        <v>1.4326647564469914</v>
      </c>
      <c r="AP31" s="68">
        <f>IF(Level1[[#This Row],[Household]]=1,IF(Level1[[#This Row],[Edible_Waste_Only?]]=1,'Cover Sheet'!$R$32,1),1)</f>
        <v>2.0408117215309693</v>
      </c>
      <c r="AQ31" s="68">
        <f>IF(Level1[[#This Row],[Food_Service]]=1,IF(Level1[[#This Row],[Edible_Waste_Only?]]=1,'Cover Sheet'!$R$33,1),1)</f>
        <v>1</v>
      </c>
      <c r="AR31" s="68">
        <f>IF(Level1[[#This Row],[Retail]]=1,IF(Level1[[#This Row],[Edible_Waste_Only?]]=1,'Cover Sheet'!$R$34,1),1)</f>
        <v>1</v>
      </c>
      <c r="AS31" s="68">
        <f>PRODUCT(Level1[[#This Row],[Household_Diary_Adjustment]:[Retail_Inedible_Adjustment]])</f>
        <v>2.9237990279813313</v>
      </c>
      <c r="AT31" s="114">
        <f>Level1[[#This Row],[Preferred_estimate_kg/capita]]*Level1[[#This Row],[Total_Adjustment]]</f>
        <v>77.654160614456842</v>
      </c>
      <c r="AU31" s="186"/>
    </row>
    <row r="32" spans="1:47" x14ac:dyDescent="0.2">
      <c r="A32" s="115">
        <v>3</v>
      </c>
      <c r="B32" s="116" t="s">
        <v>541</v>
      </c>
      <c r="C32" s="116">
        <v>2019</v>
      </c>
      <c r="D32" s="117" t="s">
        <v>13</v>
      </c>
      <c r="E32" s="118" t="s">
        <v>136</v>
      </c>
      <c r="F32" s="116">
        <v>724</v>
      </c>
      <c r="G32" s="116" t="s">
        <v>155</v>
      </c>
      <c r="H32" s="116" t="s">
        <v>159</v>
      </c>
      <c r="I32" s="7" t="s">
        <v>161</v>
      </c>
      <c r="J32" s="7" t="s">
        <v>165</v>
      </c>
      <c r="K32" s="116"/>
      <c r="L32" s="105">
        <v>46.736800000000002</v>
      </c>
      <c r="M32" s="118">
        <v>1</v>
      </c>
      <c r="N32" s="116"/>
      <c r="O32" s="119"/>
      <c r="P32" s="118" t="s">
        <v>224</v>
      </c>
      <c r="Q32" s="116">
        <v>2</v>
      </c>
      <c r="R32" s="116" t="s">
        <v>340</v>
      </c>
      <c r="S32" s="120">
        <v>1</v>
      </c>
      <c r="T32" s="120">
        <v>1</v>
      </c>
      <c r="U32" s="125">
        <v>2016</v>
      </c>
      <c r="V32" s="122"/>
      <c r="W32" s="116"/>
      <c r="X32" s="131"/>
      <c r="Y32" s="127" t="s">
        <v>514</v>
      </c>
      <c r="Z32" s="123">
        <v>1229509</v>
      </c>
      <c r="AA32" s="7" t="s">
        <v>365</v>
      </c>
      <c r="AB32" s="109">
        <v>1229509</v>
      </c>
      <c r="AC32" s="109">
        <v>1229509</v>
      </c>
      <c r="AD32" s="124">
        <v>1229509</v>
      </c>
      <c r="AE32" s="111">
        <v>1</v>
      </c>
      <c r="AF32" s="110">
        <v>46687914.285714284</v>
      </c>
      <c r="AG32" s="110">
        <v>0</v>
      </c>
      <c r="AH32" s="112">
        <v>26.334631109794707</v>
      </c>
      <c r="AI32" s="113"/>
      <c r="AJ32" s="116"/>
      <c r="AK32" s="68" t="s">
        <v>374</v>
      </c>
      <c r="AL32" s="68" t="s">
        <v>374</v>
      </c>
      <c r="AM32" s="112" t="s">
        <v>374</v>
      </c>
      <c r="AN32" s="111">
        <f>IF(Level1[[#This Row],[Standardised_Normalised_Mass_kg/capita/year]]&lt;&gt;"",Level1[[#This Row],[Standardised_Normalised_Mass_kg/capita/year]],Level1[[#This Row],[Derived_Normalised_kg/capita/year]])</f>
        <v>26.334631109794707</v>
      </c>
      <c r="AO32" s="68">
        <f>IF(Level1[[#This Row],[Household]]=1,IF(Level1[[#This Row],[Household_Diary?]]=1,'Cover Sheet'!$R$31,1),1)</f>
        <v>1.4326647564469914</v>
      </c>
      <c r="AP32" s="68">
        <f>IF(Level1[[#This Row],[Household]]=1,IF(Level1[[#This Row],[Edible_Waste_Only?]]=1,'Cover Sheet'!$R$32,1),1)</f>
        <v>2.0408117215309693</v>
      </c>
      <c r="AQ32" s="68">
        <f>IF(Level1[[#This Row],[Food_Service]]=1,IF(Level1[[#This Row],[Edible_Waste_Only?]]=1,'Cover Sheet'!$R$33,1),1)</f>
        <v>1</v>
      </c>
      <c r="AR32" s="68">
        <f>IF(Level1[[#This Row],[Retail]]=1,IF(Level1[[#This Row],[Edible_Waste_Only?]]=1,'Cover Sheet'!$R$34,1),1)</f>
        <v>1</v>
      </c>
      <c r="AS32" s="68">
        <f>PRODUCT(Level1[[#This Row],[Household_Diary_Adjustment]:[Retail_Inedible_Adjustment]])</f>
        <v>2.9237990279813313</v>
      </c>
      <c r="AT32" s="114">
        <f>Level1[[#This Row],[Preferred_estimate_kg/capita]]*Level1[[#This Row],[Total_Adjustment]]</f>
        <v>76.997168841064692</v>
      </c>
      <c r="AU32" s="186"/>
    </row>
    <row r="33" spans="1:47" x14ac:dyDescent="0.2">
      <c r="A33" s="102">
        <v>11</v>
      </c>
      <c r="B33" s="116" t="s">
        <v>2</v>
      </c>
      <c r="C33" s="7">
        <v>2019</v>
      </c>
      <c r="D33" s="103" t="s">
        <v>21</v>
      </c>
      <c r="E33" s="104" t="s">
        <v>98</v>
      </c>
      <c r="F33" s="7">
        <v>124</v>
      </c>
      <c r="G33" s="7" t="s">
        <v>151</v>
      </c>
      <c r="H33" s="7" t="s">
        <v>159</v>
      </c>
      <c r="I33" s="7" t="s">
        <v>161</v>
      </c>
      <c r="J33" s="7" t="s">
        <v>165</v>
      </c>
      <c r="K33" s="7"/>
      <c r="L33" s="105">
        <v>37.411000000000001</v>
      </c>
      <c r="M33" s="104">
        <v>1</v>
      </c>
      <c r="N33" s="7"/>
      <c r="O33" s="105"/>
      <c r="P33" s="104" t="s">
        <v>225</v>
      </c>
      <c r="Q33" s="7">
        <v>1</v>
      </c>
      <c r="R33" s="7" t="s">
        <v>250</v>
      </c>
      <c r="S33" s="8"/>
      <c r="T33" s="8"/>
      <c r="U33" s="128">
        <v>2016</v>
      </c>
      <c r="V33" s="107">
        <v>0.28000000000000003</v>
      </c>
      <c r="W33" s="7" t="s">
        <v>361</v>
      </c>
      <c r="X33" s="129"/>
      <c r="Y33" s="137"/>
      <c r="Z33" s="108">
        <f>10.2*Level1[[#This Row],[FW_Share_estimate]]</f>
        <v>2.8559999999999999</v>
      </c>
      <c r="AA33" s="7" t="s">
        <v>367</v>
      </c>
      <c r="AB33" s="109">
        <v>2.8559999999999999</v>
      </c>
      <c r="AC33" s="109">
        <v>2856000</v>
      </c>
      <c r="AD33" s="110">
        <v>2856000</v>
      </c>
      <c r="AE33" s="111">
        <v>1</v>
      </c>
      <c r="AF33" s="110">
        <v>36362885.714285716</v>
      </c>
      <c r="AG33" s="110">
        <v>0</v>
      </c>
      <c r="AH33" s="112">
        <v>78.541621323468746</v>
      </c>
      <c r="AI33" s="113"/>
      <c r="AJ33" s="138"/>
      <c r="AK33" s="68" t="s">
        <v>374</v>
      </c>
      <c r="AL33" s="68" t="s">
        <v>374</v>
      </c>
      <c r="AM33" s="112" t="s">
        <v>374</v>
      </c>
      <c r="AN33" s="111">
        <f>IF(Level1[[#This Row],[Standardised_Normalised_Mass_kg/capita/year]]&lt;&gt;"",Level1[[#This Row],[Standardised_Normalised_Mass_kg/capita/year]],Level1[[#This Row],[Derived_Normalised_kg/capita/year]])</f>
        <v>78.541621323468746</v>
      </c>
      <c r="AO33" s="68">
        <f>IF(Level1[[#This Row],[Household]]=1,IF(Level1[[#This Row],[Household_Diary?]]=1,'Cover Sheet'!$R$31,1),1)</f>
        <v>1</v>
      </c>
      <c r="AP33" s="68">
        <f>IF(Level1[[#This Row],[Household]]=1,IF(Level1[[#This Row],[Edible_Waste_Only?]]=1,'Cover Sheet'!$R$32,1),1)</f>
        <v>1</v>
      </c>
      <c r="AQ33" s="68">
        <f>IF(Level1[[#This Row],[Food_Service]]=1,IF(Level1[[#This Row],[Edible_Waste_Only?]]=1,'Cover Sheet'!$R$33,1),1)</f>
        <v>1</v>
      </c>
      <c r="AR33" s="68">
        <f>IF(Level1[[#This Row],[Retail]]=1,IF(Level1[[#This Row],[Edible_Waste_Only?]]=1,'Cover Sheet'!$R$34,1),1)</f>
        <v>1</v>
      </c>
      <c r="AS33" s="68">
        <f>PRODUCT(Level1[[#This Row],[Household_Diary_Adjustment]:[Retail_Inedible_Adjustment]])</f>
        <v>1</v>
      </c>
      <c r="AT33" s="114">
        <f>Level1[[#This Row],[Preferred_estimate_kg/capita]]*Level1[[#This Row],[Total_Adjustment]]</f>
        <v>78.541621323468746</v>
      </c>
      <c r="AU33" s="186"/>
    </row>
    <row r="34" spans="1:47" x14ac:dyDescent="0.2">
      <c r="A34" s="115">
        <v>31</v>
      </c>
      <c r="B34" s="116" t="s">
        <v>594</v>
      </c>
      <c r="C34" s="116">
        <v>2019</v>
      </c>
      <c r="D34" s="117" t="s">
        <v>40</v>
      </c>
      <c r="E34" s="118" t="s">
        <v>107</v>
      </c>
      <c r="F34" s="116">
        <v>276</v>
      </c>
      <c r="G34" s="116" t="s">
        <v>147</v>
      </c>
      <c r="H34" s="116" t="s">
        <v>159</v>
      </c>
      <c r="I34" s="7" t="s">
        <v>161</v>
      </c>
      <c r="J34" s="7" t="s">
        <v>165</v>
      </c>
      <c r="K34" s="116"/>
      <c r="L34" s="105">
        <v>83.516999999999996</v>
      </c>
      <c r="M34" s="118"/>
      <c r="N34" s="116"/>
      <c r="O34" s="119">
        <v>1</v>
      </c>
      <c r="P34" s="118" t="s">
        <v>224</v>
      </c>
      <c r="Q34" s="116">
        <v>1</v>
      </c>
      <c r="R34" s="116" t="s">
        <v>280</v>
      </c>
      <c r="S34" s="120"/>
      <c r="T34" s="120"/>
      <c r="U34" s="125">
        <v>2015</v>
      </c>
      <c r="V34" s="122"/>
      <c r="W34" s="116"/>
      <c r="X34" s="131">
        <f>0.41/Level1[[#This Row],[Mass_estimate]]</f>
        <v>0.83673469387755095</v>
      </c>
      <c r="Y34" s="127" t="s">
        <v>488</v>
      </c>
      <c r="Z34" s="123">
        <v>0.49</v>
      </c>
      <c r="AA34" s="7" t="s">
        <v>367</v>
      </c>
      <c r="AB34" s="109">
        <v>0.49</v>
      </c>
      <c r="AC34" s="109">
        <v>490000</v>
      </c>
      <c r="AD34" s="124">
        <v>490000</v>
      </c>
      <c r="AE34" s="111">
        <v>1</v>
      </c>
      <c r="AF34" s="110">
        <v>82135142.857142851</v>
      </c>
      <c r="AG34" s="110">
        <v>0</v>
      </c>
      <c r="AH34" s="112">
        <v>5.9657776556407045</v>
      </c>
      <c r="AI34" s="113"/>
      <c r="AJ34" s="116"/>
      <c r="AK34" s="68" t="s">
        <v>374</v>
      </c>
      <c r="AL34" s="68" t="s">
        <v>374</v>
      </c>
      <c r="AM34" s="112" t="s">
        <v>374</v>
      </c>
      <c r="AN34" s="111">
        <f>IF(Level1[[#This Row],[Standardised_Normalised_Mass_kg/capita/year]]&lt;&gt;"",Level1[[#This Row],[Standardised_Normalised_Mass_kg/capita/year]],Level1[[#This Row],[Derived_Normalised_kg/capita/year]])</f>
        <v>5.9657776556407045</v>
      </c>
      <c r="AO34" s="68">
        <f>IF(Level1[[#This Row],[Household]]=1,IF(Level1[[#This Row],[Household_Diary?]]=1,'Cover Sheet'!$R$31,1),1)</f>
        <v>1</v>
      </c>
      <c r="AP34" s="68">
        <f>IF(Level1[[#This Row],[Household]]=1,IF(Level1[[#This Row],[Edible_Waste_Only?]]=1,'Cover Sheet'!$R$32,1),1)</f>
        <v>1</v>
      </c>
      <c r="AQ34" s="68">
        <f>IF(Level1[[#This Row],[Food_Service]]=1,IF(Level1[[#This Row],[Edible_Waste_Only?]]=1,'Cover Sheet'!$R$33,1),1)</f>
        <v>1</v>
      </c>
      <c r="AR34" s="68">
        <f>IF(Level1[[#This Row],[Retail]]=1,IF(Level1[[#This Row],[Edible_Waste_Only?]]=1,'Cover Sheet'!$R$34,1),1)</f>
        <v>1</v>
      </c>
      <c r="AS34" s="68">
        <f>PRODUCT(Level1[[#This Row],[Household_Diary_Adjustment]:[Retail_Inedible_Adjustment]])</f>
        <v>1</v>
      </c>
      <c r="AT34" s="114">
        <f>Level1[[#This Row],[Preferred_estimate_kg/capita]]*Level1[[#This Row],[Total_Adjustment]]</f>
        <v>5.9657776556407045</v>
      </c>
      <c r="AU34" s="186"/>
    </row>
    <row r="35" spans="1:47" x14ac:dyDescent="0.2">
      <c r="A35" s="102">
        <v>31</v>
      </c>
      <c r="B35" s="116" t="s">
        <v>594</v>
      </c>
      <c r="C35" s="7">
        <v>2019</v>
      </c>
      <c r="D35" s="103" t="s">
        <v>40</v>
      </c>
      <c r="E35" s="104" t="s">
        <v>107</v>
      </c>
      <c r="F35" s="7">
        <v>276</v>
      </c>
      <c r="G35" s="7" t="s">
        <v>147</v>
      </c>
      <c r="H35" s="7" t="s">
        <v>159</v>
      </c>
      <c r="I35" s="7" t="s">
        <v>161</v>
      </c>
      <c r="J35" s="7" t="s">
        <v>165</v>
      </c>
      <c r="K35" s="7"/>
      <c r="L35" s="105">
        <v>83.516999999999996</v>
      </c>
      <c r="M35" s="104"/>
      <c r="N35" s="7">
        <v>1</v>
      </c>
      <c r="O35" s="105"/>
      <c r="P35" s="104" t="s">
        <v>224</v>
      </c>
      <c r="Q35" s="7">
        <v>1</v>
      </c>
      <c r="R35" s="7" t="s">
        <v>281</v>
      </c>
      <c r="S35" s="8"/>
      <c r="T35" s="8"/>
      <c r="U35" s="128">
        <v>2015</v>
      </c>
      <c r="V35" s="107"/>
      <c r="W35" s="7"/>
      <c r="X35" s="129">
        <f>1.22/Level1[[#This Row],[Mass_estimate]]</f>
        <v>0.72189349112426038</v>
      </c>
      <c r="Y35" s="130" t="s">
        <v>491</v>
      </c>
      <c r="Z35" s="108">
        <v>1.69</v>
      </c>
      <c r="AA35" s="7" t="s">
        <v>367</v>
      </c>
      <c r="AB35" s="109">
        <v>1.69</v>
      </c>
      <c r="AC35" s="109">
        <v>1690000</v>
      </c>
      <c r="AD35" s="110">
        <v>1690000</v>
      </c>
      <c r="AE35" s="111">
        <v>1</v>
      </c>
      <c r="AF35" s="110">
        <v>82135142.857142851</v>
      </c>
      <c r="AG35" s="110">
        <v>0</v>
      </c>
      <c r="AH35" s="112">
        <v>20.575845383740386</v>
      </c>
      <c r="AI35" s="113"/>
      <c r="AJ35" s="7"/>
      <c r="AK35" s="68" t="s">
        <v>374</v>
      </c>
      <c r="AL35" s="68" t="s">
        <v>374</v>
      </c>
      <c r="AM35" s="112" t="s">
        <v>374</v>
      </c>
      <c r="AN35" s="111">
        <f>IF(Level1[[#This Row],[Standardised_Normalised_Mass_kg/capita/year]]&lt;&gt;"",Level1[[#This Row],[Standardised_Normalised_Mass_kg/capita/year]],Level1[[#This Row],[Derived_Normalised_kg/capita/year]])</f>
        <v>20.575845383740386</v>
      </c>
      <c r="AO35" s="68">
        <f>IF(Level1[[#This Row],[Household]]=1,IF(Level1[[#This Row],[Household_Diary?]]=1,'Cover Sheet'!$R$31,1),1)</f>
        <v>1</v>
      </c>
      <c r="AP35" s="68">
        <f>IF(Level1[[#This Row],[Household]]=1,IF(Level1[[#This Row],[Edible_Waste_Only?]]=1,'Cover Sheet'!$R$32,1),1)</f>
        <v>1</v>
      </c>
      <c r="AQ35" s="68">
        <f>IF(Level1[[#This Row],[Food_Service]]=1,IF(Level1[[#This Row],[Edible_Waste_Only?]]=1,'Cover Sheet'!$R$33,1),1)</f>
        <v>1</v>
      </c>
      <c r="AR35" s="68">
        <f>IF(Level1[[#This Row],[Retail]]=1,IF(Level1[[#This Row],[Edible_Waste_Only?]]=1,'Cover Sheet'!$R$34,1),1)</f>
        <v>1</v>
      </c>
      <c r="AS35" s="68">
        <f>PRODUCT(Level1[[#This Row],[Household_Diary_Adjustment]:[Retail_Inedible_Adjustment]])</f>
        <v>1</v>
      </c>
      <c r="AT35" s="114">
        <f>Level1[[#This Row],[Preferred_estimate_kg/capita]]*Level1[[#This Row],[Total_Adjustment]]</f>
        <v>20.575845383740386</v>
      </c>
      <c r="AU35" s="186"/>
    </row>
    <row r="36" spans="1:47" x14ac:dyDescent="0.2">
      <c r="A36" s="102">
        <v>31</v>
      </c>
      <c r="B36" s="116" t="s">
        <v>594</v>
      </c>
      <c r="C36" s="7">
        <v>2019</v>
      </c>
      <c r="D36" s="103" t="s">
        <v>40</v>
      </c>
      <c r="E36" s="104" t="s">
        <v>107</v>
      </c>
      <c r="F36" s="7">
        <v>276</v>
      </c>
      <c r="G36" s="7" t="s">
        <v>147</v>
      </c>
      <c r="H36" s="7" t="s">
        <v>159</v>
      </c>
      <c r="I36" s="7" t="s">
        <v>161</v>
      </c>
      <c r="J36" s="7" t="s">
        <v>165</v>
      </c>
      <c r="K36" s="7"/>
      <c r="L36" s="105">
        <v>83.516999999999996</v>
      </c>
      <c r="M36" s="104">
        <v>1</v>
      </c>
      <c r="N36" s="7"/>
      <c r="O36" s="105"/>
      <c r="P36" s="104" t="s">
        <v>224</v>
      </c>
      <c r="Q36" s="7">
        <v>1</v>
      </c>
      <c r="R36" s="7" t="s">
        <v>279</v>
      </c>
      <c r="S36" s="8"/>
      <c r="T36" s="8"/>
      <c r="U36" s="128">
        <v>2015</v>
      </c>
      <c r="V36" s="107"/>
      <c r="W36" s="7"/>
      <c r="X36" s="129">
        <f>2.69/Level1[[#This Row],[Mass_estimate]]</f>
        <v>0.43811074918566778</v>
      </c>
      <c r="Y36" s="130" t="s">
        <v>508</v>
      </c>
      <c r="Z36" s="108">
        <v>6.14</v>
      </c>
      <c r="AA36" s="7" t="s">
        <v>367</v>
      </c>
      <c r="AB36" s="109">
        <v>6.14</v>
      </c>
      <c r="AC36" s="109">
        <v>6140000</v>
      </c>
      <c r="AD36" s="110">
        <v>6140000</v>
      </c>
      <c r="AE36" s="111">
        <v>0</v>
      </c>
      <c r="AF36" s="110">
        <v>82135142.857142851</v>
      </c>
      <c r="AG36" s="110">
        <v>0</v>
      </c>
      <c r="AH36" s="112">
        <v>0</v>
      </c>
      <c r="AI36" s="113">
        <v>75</v>
      </c>
      <c r="AJ36" s="7" t="s">
        <v>377</v>
      </c>
      <c r="AK36" s="68">
        <v>75</v>
      </c>
      <c r="AL36" s="68">
        <v>75</v>
      </c>
      <c r="AM36" s="112">
        <v>75</v>
      </c>
      <c r="AN36" s="111">
        <f>IF(Level1[[#This Row],[Standardised_Normalised_Mass_kg/capita/year]]&lt;&gt;"",Level1[[#This Row],[Standardised_Normalised_Mass_kg/capita/year]],Level1[[#This Row],[Derived_Normalised_kg/capita/year]])</f>
        <v>75</v>
      </c>
      <c r="AO36" s="68">
        <f>IF(Level1[[#This Row],[Household]]=1,IF(Level1[[#This Row],[Household_Diary?]]=1,'Cover Sheet'!$R$31,1),1)</f>
        <v>1</v>
      </c>
      <c r="AP36" s="68">
        <f>IF(Level1[[#This Row],[Household]]=1,IF(Level1[[#This Row],[Edible_Waste_Only?]]=1,'Cover Sheet'!$R$32,1),1)</f>
        <v>1</v>
      </c>
      <c r="AQ36" s="68">
        <f>IF(Level1[[#This Row],[Food_Service]]=1,IF(Level1[[#This Row],[Edible_Waste_Only?]]=1,'Cover Sheet'!$R$33,1),1)</f>
        <v>1</v>
      </c>
      <c r="AR36" s="68">
        <f>IF(Level1[[#This Row],[Retail]]=1,IF(Level1[[#This Row],[Edible_Waste_Only?]]=1,'Cover Sheet'!$R$34,1),1)</f>
        <v>1</v>
      </c>
      <c r="AS36" s="68">
        <f>PRODUCT(Level1[[#This Row],[Household_Diary_Adjustment]:[Retail_Inedible_Adjustment]])</f>
        <v>1</v>
      </c>
      <c r="AT36" s="114">
        <f>Level1[[#This Row],[Preferred_estimate_kg/capita]]*Level1[[#This Row],[Total_Adjustment]]</f>
        <v>75</v>
      </c>
      <c r="AU36" s="186"/>
    </row>
    <row r="37" spans="1:47" x14ac:dyDescent="0.2">
      <c r="A37" s="115">
        <v>45</v>
      </c>
      <c r="B37" s="116" t="s">
        <v>621</v>
      </c>
      <c r="C37" s="116">
        <v>2019</v>
      </c>
      <c r="D37" s="117" t="s">
        <v>54</v>
      </c>
      <c r="E37" s="118" t="s">
        <v>115</v>
      </c>
      <c r="F37" s="116">
        <v>376</v>
      </c>
      <c r="G37" s="116" t="s">
        <v>148</v>
      </c>
      <c r="H37" s="116" t="s">
        <v>159</v>
      </c>
      <c r="I37" s="7" t="s">
        <v>161</v>
      </c>
      <c r="J37" s="7" t="s">
        <v>165</v>
      </c>
      <c r="K37" s="116"/>
      <c r="L37" s="105">
        <v>8.5193999999999992</v>
      </c>
      <c r="M37" s="118">
        <v>1</v>
      </c>
      <c r="N37" s="116"/>
      <c r="O37" s="119"/>
      <c r="P37" s="118" t="s">
        <v>226</v>
      </c>
      <c r="Q37" s="116">
        <v>2</v>
      </c>
      <c r="R37" s="116" t="s">
        <v>297</v>
      </c>
      <c r="S37" s="120"/>
      <c r="T37" s="120"/>
      <c r="U37" s="125">
        <v>2018</v>
      </c>
      <c r="V37" s="122"/>
      <c r="W37" s="116"/>
      <c r="X37" s="122"/>
      <c r="Y37" s="119"/>
      <c r="Z37" s="123">
        <v>1940</v>
      </c>
      <c r="AA37" s="7" t="s">
        <v>371</v>
      </c>
      <c r="AB37" s="109">
        <v>1940</v>
      </c>
      <c r="AC37" s="109">
        <v>879968.48</v>
      </c>
      <c r="AD37" s="124">
        <v>879968.48</v>
      </c>
      <c r="AE37" s="111">
        <v>1</v>
      </c>
      <c r="AF37" s="110">
        <v>8381599.9999999991</v>
      </c>
      <c r="AG37" s="110">
        <v>0</v>
      </c>
      <c r="AH37" s="112">
        <v>104.98812637205307</v>
      </c>
      <c r="AI37" s="113"/>
      <c r="AJ37" s="116"/>
      <c r="AK37" s="68" t="s">
        <v>374</v>
      </c>
      <c r="AL37" s="68" t="s">
        <v>374</v>
      </c>
      <c r="AM37" s="112" t="s">
        <v>374</v>
      </c>
      <c r="AN37" s="111">
        <f>IF(Level1[[#This Row],[Standardised_Normalised_Mass_kg/capita/year]]&lt;&gt;"",Level1[[#This Row],[Standardised_Normalised_Mass_kg/capita/year]],Level1[[#This Row],[Derived_Normalised_kg/capita/year]])</f>
        <v>104.98812637205307</v>
      </c>
      <c r="AO37" s="68">
        <f>IF(Level1[[#This Row],[Household]]=1,IF(Level1[[#This Row],[Household_Diary?]]=1,'Cover Sheet'!$R$31,1),1)</f>
        <v>1</v>
      </c>
      <c r="AP37" s="68">
        <f>IF(Level1[[#This Row],[Household]]=1,IF(Level1[[#This Row],[Edible_Waste_Only?]]=1,'Cover Sheet'!$R$32,1),1)</f>
        <v>1</v>
      </c>
      <c r="AQ37" s="68">
        <f>IF(Level1[[#This Row],[Food_Service]]=1,IF(Level1[[#This Row],[Edible_Waste_Only?]]=1,'Cover Sheet'!$R$33,1),1)</f>
        <v>1</v>
      </c>
      <c r="AR37" s="68">
        <f>IF(Level1[[#This Row],[Retail]]=1,IF(Level1[[#This Row],[Edible_Waste_Only?]]=1,'Cover Sheet'!$R$34,1),1)</f>
        <v>1</v>
      </c>
      <c r="AS37" s="68">
        <f>PRODUCT(Level1[[#This Row],[Household_Diary_Adjustment]:[Retail_Inedible_Adjustment]])</f>
        <v>1</v>
      </c>
      <c r="AT37" s="114">
        <f>Level1[[#This Row],[Preferred_estimate_kg/capita]]*Level1[[#This Row],[Total_Adjustment]]</f>
        <v>104.98812637205307</v>
      </c>
      <c r="AU37" s="186"/>
    </row>
    <row r="38" spans="1:47" x14ac:dyDescent="0.2">
      <c r="A38" s="102">
        <v>45</v>
      </c>
      <c r="B38" s="116" t="s">
        <v>621</v>
      </c>
      <c r="C38" s="7">
        <v>2019</v>
      </c>
      <c r="D38" s="103" t="s">
        <v>54</v>
      </c>
      <c r="E38" s="104" t="s">
        <v>115</v>
      </c>
      <c r="F38" s="7">
        <v>376</v>
      </c>
      <c r="G38" s="7" t="s">
        <v>148</v>
      </c>
      <c r="H38" s="7" t="s">
        <v>159</v>
      </c>
      <c r="I38" s="7" t="s">
        <v>161</v>
      </c>
      <c r="J38" s="7" t="s">
        <v>165</v>
      </c>
      <c r="K38" s="7"/>
      <c r="L38" s="105">
        <v>8.5193999999999992</v>
      </c>
      <c r="M38" s="104"/>
      <c r="N38" s="7"/>
      <c r="O38" s="105">
        <v>1</v>
      </c>
      <c r="P38" s="104" t="s">
        <v>226</v>
      </c>
      <c r="Q38" s="7">
        <v>2</v>
      </c>
      <c r="R38" s="7" t="s">
        <v>297</v>
      </c>
      <c r="S38" s="8"/>
      <c r="T38" s="8"/>
      <c r="U38" s="128">
        <v>2018</v>
      </c>
      <c r="V38" s="107"/>
      <c r="W38" s="7"/>
      <c r="X38" s="107"/>
      <c r="Y38" s="105"/>
      <c r="Z38" s="108">
        <v>950</v>
      </c>
      <c r="AA38" s="7" t="s">
        <v>371</v>
      </c>
      <c r="AB38" s="109">
        <v>950</v>
      </c>
      <c r="AC38" s="109">
        <v>430912.39999999997</v>
      </c>
      <c r="AD38" s="110">
        <v>430912.39999999997</v>
      </c>
      <c r="AE38" s="111">
        <v>1</v>
      </c>
      <c r="AF38" s="110">
        <v>8381599.9999999991</v>
      </c>
      <c r="AG38" s="110">
        <v>0</v>
      </c>
      <c r="AH38" s="112">
        <v>51.411711367757945</v>
      </c>
      <c r="AI38" s="113"/>
      <c r="AJ38" s="7"/>
      <c r="AK38" s="68" t="s">
        <v>374</v>
      </c>
      <c r="AL38" s="68" t="s">
        <v>374</v>
      </c>
      <c r="AM38" s="112" t="s">
        <v>374</v>
      </c>
      <c r="AN38" s="111">
        <f>IF(Level1[[#This Row],[Standardised_Normalised_Mass_kg/capita/year]]&lt;&gt;"",Level1[[#This Row],[Standardised_Normalised_Mass_kg/capita/year]],Level1[[#This Row],[Derived_Normalised_kg/capita/year]])</f>
        <v>51.411711367757945</v>
      </c>
      <c r="AO38" s="68">
        <f>IF(Level1[[#This Row],[Household]]=1,IF(Level1[[#This Row],[Household_Diary?]]=1,'Cover Sheet'!$R$31,1),1)</f>
        <v>1</v>
      </c>
      <c r="AP38" s="68">
        <f>IF(Level1[[#This Row],[Household]]=1,IF(Level1[[#This Row],[Edible_Waste_Only?]]=1,'Cover Sheet'!$R$32,1),1)</f>
        <v>1</v>
      </c>
      <c r="AQ38" s="68">
        <f>IF(Level1[[#This Row],[Food_Service]]=1,IF(Level1[[#This Row],[Edible_Waste_Only?]]=1,'Cover Sheet'!$R$33,1),1)</f>
        <v>1</v>
      </c>
      <c r="AR38" s="68">
        <f>IF(Level1[[#This Row],[Retail]]=1,IF(Level1[[#This Row],[Edible_Waste_Only?]]=1,'Cover Sheet'!$R$34,1),1)</f>
        <v>1</v>
      </c>
      <c r="AS38" s="68">
        <f>PRODUCT(Level1[[#This Row],[Household_Diary_Adjustment]:[Retail_Inedible_Adjustment]])</f>
        <v>1</v>
      </c>
      <c r="AT38" s="114">
        <f>Level1[[#This Row],[Preferred_estimate_kg/capita]]*Level1[[#This Row],[Total_Adjustment]]</f>
        <v>51.411711367757945</v>
      </c>
      <c r="AU38" s="186"/>
    </row>
    <row r="39" spans="1:47" x14ac:dyDescent="0.2">
      <c r="A39" s="115">
        <v>45</v>
      </c>
      <c r="B39" s="116" t="s">
        <v>621</v>
      </c>
      <c r="C39" s="116">
        <v>2019</v>
      </c>
      <c r="D39" s="117" t="s">
        <v>54</v>
      </c>
      <c r="E39" s="118" t="s">
        <v>115</v>
      </c>
      <c r="F39" s="116">
        <v>376</v>
      </c>
      <c r="G39" s="116" t="s">
        <v>148</v>
      </c>
      <c r="H39" s="116" t="s">
        <v>159</v>
      </c>
      <c r="I39" s="7" t="s">
        <v>161</v>
      </c>
      <c r="J39" s="7" t="s">
        <v>165</v>
      </c>
      <c r="K39" s="116"/>
      <c r="L39" s="105">
        <v>8.5193999999999992</v>
      </c>
      <c r="M39" s="118"/>
      <c r="N39" s="116">
        <v>1</v>
      </c>
      <c r="O39" s="119"/>
      <c r="P39" s="118" t="s">
        <v>226</v>
      </c>
      <c r="Q39" s="116">
        <v>2</v>
      </c>
      <c r="R39" s="116" t="s">
        <v>297</v>
      </c>
      <c r="S39" s="120"/>
      <c r="T39" s="120"/>
      <c r="U39" s="125">
        <v>2018</v>
      </c>
      <c r="V39" s="122"/>
      <c r="W39" s="116"/>
      <c r="X39" s="122"/>
      <c r="Y39" s="119"/>
      <c r="Z39" s="123">
        <v>507</v>
      </c>
      <c r="AA39" s="7" t="s">
        <v>371</v>
      </c>
      <c r="AB39" s="109">
        <v>507</v>
      </c>
      <c r="AC39" s="109">
        <v>229971.144</v>
      </c>
      <c r="AD39" s="124">
        <v>229971.144</v>
      </c>
      <c r="AE39" s="111">
        <v>1</v>
      </c>
      <c r="AF39" s="110">
        <v>8381599.9999999991</v>
      </c>
      <c r="AG39" s="110">
        <v>0</v>
      </c>
      <c r="AH39" s="112">
        <v>27.437618593108716</v>
      </c>
      <c r="AI39" s="113"/>
      <c r="AJ39" s="116"/>
      <c r="AK39" s="68" t="s">
        <v>374</v>
      </c>
      <c r="AL39" s="68" t="s">
        <v>374</v>
      </c>
      <c r="AM39" s="112" t="s">
        <v>374</v>
      </c>
      <c r="AN39" s="111">
        <f>IF(Level1[[#This Row],[Standardised_Normalised_Mass_kg/capita/year]]&lt;&gt;"",Level1[[#This Row],[Standardised_Normalised_Mass_kg/capita/year]],Level1[[#This Row],[Derived_Normalised_kg/capita/year]])</f>
        <v>27.437618593108716</v>
      </c>
      <c r="AO39" s="68">
        <f>IF(Level1[[#This Row],[Household]]=1,IF(Level1[[#This Row],[Household_Diary?]]=1,'Cover Sheet'!$R$31,1),1)</f>
        <v>1</v>
      </c>
      <c r="AP39" s="68">
        <f>IF(Level1[[#This Row],[Household]]=1,IF(Level1[[#This Row],[Edible_Waste_Only?]]=1,'Cover Sheet'!$R$32,1),1)</f>
        <v>1</v>
      </c>
      <c r="AQ39" s="68">
        <f>IF(Level1[[#This Row],[Food_Service]]=1,IF(Level1[[#This Row],[Edible_Waste_Only?]]=1,'Cover Sheet'!$R$33,1),1)</f>
        <v>1</v>
      </c>
      <c r="AR39" s="68">
        <f>IF(Level1[[#This Row],[Retail]]=1,IF(Level1[[#This Row],[Edible_Waste_Only?]]=1,'Cover Sheet'!$R$34,1),1)</f>
        <v>1</v>
      </c>
      <c r="AS39" s="68">
        <f>PRODUCT(Level1[[#This Row],[Household_Diary_Adjustment]:[Retail_Inedible_Adjustment]])</f>
        <v>1</v>
      </c>
      <c r="AT39" s="114">
        <f>Level1[[#This Row],[Preferred_estimate_kg/capita]]*Level1[[#This Row],[Total_Adjustment]]</f>
        <v>27.437618593108716</v>
      </c>
      <c r="AU39" s="186"/>
    </row>
    <row r="40" spans="1:47" x14ac:dyDescent="0.2">
      <c r="A40" s="115">
        <v>46</v>
      </c>
      <c r="B40" s="116" t="s">
        <v>623</v>
      </c>
      <c r="C40" s="116">
        <v>2019</v>
      </c>
      <c r="D40" s="117" t="s">
        <v>56</v>
      </c>
      <c r="E40" s="118" t="s">
        <v>116</v>
      </c>
      <c r="F40" s="116">
        <v>380</v>
      </c>
      <c r="G40" s="116" t="s">
        <v>155</v>
      </c>
      <c r="H40" s="116" t="s">
        <v>159</v>
      </c>
      <c r="I40" s="7" t="s">
        <v>161</v>
      </c>
      <c r="J40" s="7" t="s">
        <v>165</v>
      </c>
      <c r="K40" s="116"/>
      <c r="L40" s="105">
        <v>60.5501</v>
      </c>
      <c r="M40" s="118"/>
      <c r="N40" s="116"/>
      <c r="O40" s="119">
        <v>1</v>
      </c>
      <c r="P40" s="118" t="s">
        <v>225</v>
      </c>
      <c r="Q40" s="116">
        <v>1</v>
      </c>
      <c r="R40" s="116" t="s">
        <v>299</v>
      </c>
      <c r="S40" s="120"/>
      <c r="T40" s="120"/>
      <c r="U40" s="125">
        <v>2017</v>
      </c>
      <c r="V40" s="122"/>
      <c r="W40" s="116"/>
      <c r="X40" s="131"/>
      <c r="Y40" s="144"/>
      <c r="Z40" s="123">
        <v>220000</v>
      </c>
      <c r="AA40" s="7" t="s">
        <v>365</v>
      </c>
      <c r="AB40" s="109">
        <v>220000</v>
      </c>
      <c r="AC40" s="109">
        <v>220000</v>
      </c>
      <c r="AD40" s="124">
        <v>220000</v>
      </c>
      <c r="AE40" s="111">
        <v>1</v>
      </c>
      <c r="AF40" s="110">
        <v>60673700</v>
      </c>
      <c r="AG40" s="110">
        <v>0</v>
      </c>
      <c r="AH40" s="112">
        <v>3.6259532548699025</v>
      </c>
      <c r="AI40" s="113"/>
      <c r="AJ40" s="116"/>
      <c r="AK40" s="68" t="s">
        <v>374</v>
      </c>
      <c r="AL40" s="68" t="s">
        <v>374</v>
      </c>
      <c r="AM40" s="112" t="s">
        <v>374</v>
      </c>
      <c r="AN40" s="111">
        <f>IF(Level1[[#This Row],[Standardised_Normalised_Mass_kg/capita/year]]&lt;&gt;"",Level1[[#This Row],[Standardised_Normalised_Mass_kg/capita/year]],Level1[[#This Row],[Derived_Normalised_kg/capita/year]])</f>
        <v>3.6259532548699025</v>
      </c>
      <c r="AO40" s="68">
        <f>IF(Level1[[#This Row],[Household]]=1,IF(Level1[[#This Row],[Household_Diary?]]=1,'Cover Sheet'!$R$31,1),1)</f>
        <v>1</v>
      </c>
      <c r="AP40" s="68">
        <f>IF(Level1[[#This Row],[Household]]=1,IF(Level1[[#This Row],[Edible_Waste_Only?]]=1,'Cover Sheet'!$R$32,1),1)</f>
        <v>1</v>
      </c>
      <c r="AQ40" s="68">
        <f>IF(Level1[[#This Row],[Food_Service]]=1,IF(Level1[[#This Row],[Edible_Waste_Only?]]=1,'Cover Sheet'!$R$33,1),1)</f>
        <v>1</v>
      </c>
      <c r="AR40" s="68">
        <f>IF(Level1[[#This Row],[Retail]]=1,IF(Level1[[#This Row],[Edible_Waste_Only?]]=1,'Cover Sheet'!$R$34,1),1)</f>
        <v>1</v>
      </c>
      <c r="AS40" s="68">
        <f>PRODUCT(Level1[[#This Row],[Household_Diary_Adjustment]:[Retail_Inedible_Adjustment]])</f>
        <v>1</v>
      </c>
      <c r="AT40" s="114">
        <f>Level1[[#This Row],[Preferred_estimate_kg/capita]]*Level1[[#This Row],[Total_Adjustment]]</f>
        <v>3.6259532548699025</v>
      </c>
      <c r="AU40" s="186"/>
    </row>
    <row r="41" spans="1:47" x14ac:dyDescent="0.2">
      <c r="A41" s="102">
        <v>47</v>
      </c>
      <c r="B41" s="116" t="s">
        <v>625</v>
      </c>
      <c r="C41" s="7">
        <v>2019</v>
      </c>
      <c r="D41" s="103" t="s">
        <v>55</v>
      </c>
      <c r="E41" s="104" t="s">
        <v>116</v>
      </c>
      <c r="F41" s="7">
        <v>380</v>
      </c>
      <c r="G41" s="7" t="s">
        <v>155</v>
      </c>
      <c r="H41" s="7" t="s">
        <v>159</v>
      </c>
      <c r="I41" s="7" t="s">
        <v>161</v>
      </c>
      <c r="J41" s="7" t="s">
        <v>165</v>
      </c>
      <c r="K41" s="7"/>
      <c r="L41" s="105">
        <v>60.5501</v>
      </c>
      <c r="M41" s="104">
        <v>1</v>
      </c>
      <c r="N41" s="7"/>
      <c r="O41" s="105"/>
      <c r="P41" s="104" t="s">
        <v>227</v>
      </c>
      <c r="Q41" s="7">
        <v>2</v>
      </c>
      <c r="R41" s="7" t="s">
        <v>298</v>
      </c>
      <c r="S41" s="8">
        <v>1</v>
      </c>
      <c r="T41" s="8"/>
      <c r="U41" s="128">
        <v>2017</v>
      </c>
      <c r="V41" s="107"/>
      <c r="W41" s="7"/>
      <c r="X41" s="129">
        <f>0.53/Level1[[#This Row],[Normalised_Mass_Estimate]]</f>
        <v>0.58888888888888891</v>
      </c>
      <c r="Y41" s="145" t="s">
        <v>499</v>
      </c>
      <c r="Z41" s="108">
        <v>2.86</v>
      </c>
      <c r="AA41" s="7" t="s">
        <v>367</v>
      </c>
      <c r="AB41" s="109">
        <v>2.86</v>
      </c>
      <c r="AC41" s="109">
        <v>2860000</v>
      </c>
      <c r="AD41" s="110">
        <v>2860000</v>
      </c>
      <c r="AE41" s="111">
        <v>0</v>
      </c>
      <c r="AF41" s="110">
        <v>60673700</v>
      </c>
      <c r="AG41" s="110">
        <v>0</v>
      </c>
      <c r="AH41" s="112">
        <v>0</v>
      </c>
      <c r="AI41" s="113">
        <v>0.9</v>
      </c>
      <c r="AJ41" s="146" t="s">
        <v>382</v>
      </c>
      <c r="AK41" s="68">
        <v>0.9</v>
      </c>
      <c r="AL41" s="68">
        <v>46.800000000000004</v>
      </c>
      <c r="AM41" s="112">
        <v>46.800000000000004</v>
      </c>
      <c r="AN41" s="111">
        <f>IF(Level1[[#This Row],[Standardised_Normalised_Mass_kg/capita/year]]&lt;&gt;"",Level1[[#This Row],[Standardised_Normalised_Mass_kg/capita/year]],Level1[[#This Row],[Derived_Normalised_kg/capita/year]])</f>
        <v>46.800000000000004</v>
      </c>
      <c r="AO41" s="68">
        <f>IF(Level1[[#This Row],[Household]]=1,IF(Level1[[#This Row],[Household_Diary?]]=1,'Cover Sheet'!$R$31,1),1)</f>
        <v>1.4326647564469914</v>
      </c>
      <c r="AP41" s="68">
        <f>IF(Level1[[#This Row],[Household]]=1,IF(Level1[[#This Row],[Edible_Waste_Only?]]=1,'Cover Sheet'!$R$32,1),1)</f>
        <v>1</v>
      </c>
      <c r="AQ41" s="68">
        <f>IF(Level1[[#This Row],[Food_Service]]=1,IF(Level1[[#This Row],[Edible_Waste_Only?]]=1,'Cover Sheet'!$R$33,1),1)</f>
        <v>1</v>
      </c>
      <c r="AR41" s="68">
        <f>IF(Level1[[#This Row],[Retail]]=1,IF(Level1[[#This Row],[Edible_Waste_Only?]]=1,'Cover Sheet'!$R$34,1),1)</f>
        <v>1</v>
      </c>
      <c r="AS41" s="68">
        <f>PRODUCT(Level1[[#This Row],[Household_Diary_Adjustment]:[Retail_Inedible_Adjustment]])</f>
        <v>1.4326647564469914</v>
      </c>
      <c r="AT41" s="114">
        <f>Level1[[#This Row],[Preferred_estimate_kg/capita]]*Level1[[#This Row],[Total_Adjustment]]</f>
        <v>67.048710601719208</v>
      </c>
      <c r="AU41" s="186"/>
    </row>
    <row r="42" spans="1:47" x14ac:dyDescent="0.2">
      <c r="A42" s="102">
        <v>50</v>
      </c>
      <c r="B42" s="116" t="s">
        <v>629</v>
      </c>
      <c r="C42" s="7">
        <v>2019</v>
      </c>
      <c r="D42" s="105" t="s">
        <v>59</v>
      </c>
      <c r="E42" s="104" t="s">
        <v>118</v>
      </c>
      <c r="F42" s="7">
        <v>404</v>
      </c>
      <c r="G42" s="7" t="s">
        <v>154</v>
      </c>
      <c r="H42" s="7" t="s">
        <v>160</v>
      </c>
      <c r="I42" s="7" t="s">
        <v>162</v>
      </c>
      <c r="J42" s="7" t="s">
        <v>166</v>
      </c>
      <c r="K42" s="7" t="s">
        <v>195</v>
      </c>
      <c r="L42" s="105">
        <v>52.573999999999998</v>
      </c>
      <c r="M42" s="104">
        <v>1</v>
      </c>
      <c r="N42" s="7"/>
      <c r="O42" s="105"/>
      <c r="P42" s="104" t="s">
        <v>225</v>
      </c>
      <c r="Q42" s="7">
        <v>2</v>
      </c>
      <c r="R42" s="7" t="s">
        <v>303</v>
      </c>
      <c r="S42" s="8"/>
      <c r="T42" s="8"/>
      <c r="U42" s="128"/>
      <c r="V42" s="107">
        <f>(55%*13%)+(54%*35%)+(58%*52%)</f>
        <v>0.56210000000000004</v>
      </c>
      <c r="W42" s="7" t="s">
        <v>361</v>
      </c>
      <c r="X42" s="129"/>
      <c r="Y42" s="130"/>
      <c r="Z42" s="108">
        <v>1259</v>
      </c>
      <c r="AA42" s="7" t="s">
        <v>366</v>
      </c>
      <c r="AB42" s="109">
        <v>459849.75</v>
      </c>
      <c r="AC42" s="109">
        <v>459849.75</v>
      </c>
      <c r="AD42" s="110">
        <v>459849.75</v>
      </c>
      <c r="AE42" s="111">
        <v>0</v>
      </c>
      <c r="AF42" s="110">
        <v>0</v>
      </c>
      <c r="AG42" s="110">
        <v>0</v>
      </c>
      <c r="AH42" s="112">
        <v>0</v>
      </c>
      <c r="AI42" s="113">
        <f>SUM((0.62*55%*13%),(0.89*54%*35%),(0.19*58%*52%))</f>
        <v>0.26984400000000003</v>
      </c>
      <c r="AJ42" s="7" t="s">
        <v>375</v>
      </c>
      <c r="AK42" s="68">
        <v>0.26984400000000003</v>
      </c>
      <c r="AL42" s="68">
        <v>98.560521000000008</v>
      </c>
      <c r="AM42" s="112">
        <v>98.560521000000008</v>
      </c>
      <c r="AN42" s="111">
        <f>IF(Level1[[#This Row],[Standardised_Normalised_Mass_kg/capita/year]]&lt;&gt;"",Level1[[#This Row],[Standardised_Normalised_Mass_kg/capita/year]],Level1[[#This Row],[Derived_Normalised_kg/capita/year]])</f>
        <v>98.560521000000008</v>
      </c>
      <c r="AO42" s="68">
        <f>IF(Level1[[#This Row],[Household]]=1,IF(Level1[[#This Row],[Household_Diary?]]=1,'Cover Sheet'!$R$31,1),1)</f>
        <v>1</v>
      </c>
      <c r="AP42" s="68">
        <f>IF(Level1[[#This Row],[Household]]=1,IF(Level1[[#This Row],[Edible_Waste_Only?]]=1,'Cover Sheet'!$R$32,1),1)</f>
        <v>1</v>
      </c>
      <c r="AQ42" s="68">
        <f>IF(Level1[[#This Row],[Food_Service]]=1,IF(Level1[[#This Row],[Edible_Waste_Only?]]=1,'Cover Sheet'!$R$33,1),1)</f>
        <v>1</v>
      </c>
      <c r="AR42" s="68">
        <f>IF(Level1[[#This Row],[Retail]]=1,IF(Level1[[#This Row],[Edible_Waste_Only?]]=1,'Cover Sheet'!$R$34,1),1)</f>
        <v>1</v>
      </c>
      <c r="AS42" s="68">
        <f>PRODUCT(Level1[[#This Row],[Household_Diary_Adjustment]:[Retail_Inedible_Adjustment]])</f>
        <v>1</v>
      </c>
      <c r="AT42" s="114">
        <f>Level1[[#This Row],[Preferred_estimate_kg/capita]]*Level1[[#This Row],[Total_Adjustment]]</f>
        <v>98.560521000000008</v>
      </c>
      <c r="AU42" s="186"/>
    </row>
    <row r="43" spans="1:47" x14ac:dyDescent="0.2">
      <c r="A43" s="115">
        <v>51</v>
      </c>
      <c r="B43" s="116" t="s">
        <v>631</v>
      </c>
      <c r="C43" s="116">
        <v>2019</v>
      </c>
      <c r="D43" s="119" t="s">
        <v>60</v>
      </c>
      <c r="E43" s="118" t="s">
        <v>119</v>
      </c>
      <c r="F43" s="116">
        <v>422</v>
      </c>
      <c r="G43" s="116" t="s">
        <v>148</v>
      </c>
      <c r="H43" s="116" t="s">
        <v>160</v>
      </c>
      <c r="I43" s="7" t="s">
        <v>163</v>
      </c>
      <c r="J43" s="7" t="s">
        <v>166</v>
      </c>
      <c r="K43" s="116" t="s">
        <v>196</v>
      </c>
      <c r="L43" s="105">
        <v>6.8556999999999997</v>
      </c>
      <c r="M43" s="118">
        <v>1</v>
      </c>
      <c r="N43" s="116"/>
      <c r="O43" s="119"/>
      <c r="P43" s="118" t="s">
        <v>227</v>
      </c>
      <c r="Q43" s="116">
        <v>2</v>
      </c>
      <c r="R43" s="116" t="s">
        <v>306</v>
      </c>
      <c r="S43" s="120">
        <v>1</v>
      </c>
      <c r="T43" s="120"/>
      <c r="U43" s="125">
        <v>2016</v>
      </c>
      <c r="V43" s="122"/>
      <c r="W43" s="116"/>
      <c r="X43" s="122"/>
      <c r="Y43" s="119"/>
      <c r="Z43" s="123"/>
      <c r="AA43" s="7"/>
      <c r="AB43" s="109" t="s">
        <v>374</v>
      </c>
      <c r="AC43" s="109" t="s">
        <v>374</v>
      </c>
      <c r="AD43" s="124" t="s">
        <v>374</v>
      </c>
      <c r="AE43" s="111">
        <v>0</v>
      </c>
      <c r="AF43" s="110">
        <v>0</v>
      </c>
      <c r="AG43" s="110">
        <v>0</v>
      </c>
      <c r="AH43" s="112">
        <v>0</v>
      </c>
      <c r="AI43" s="113">
        <v>0.2</v>
      </c>
      <c r="AJ43" s="116" t="s">
        <v>375</v>
      </c>
      <c r="AK43" s="68">
        <v>0.2</v>
      </c>
      <c r="AL43" s="68">
        <v>73.05</v>
      </c>
      <c r="AM43" s="112">
        <v>73.05</v>
      </c>
      <c r="AN43" s="111">
        <f>IF(Level1[[#This Row],[Standardised_Normalised_Mass_kg/capita/year]]&lt;&gt;"",Level1[[#This Row],[Standardised_Normalised_Mass_kg/capita/year]],Level1[[#This Row],[Derived_Normalised_kg/capita/year]])</f>
        <v>73.05</v>
      </c>
      <c r="AO43" s="68">
        <f>IF(Level1[[#This Row],[Household]]=1,IF(Level1[[#This Row],[Household_Diary?]]=1,'Cover Sheet'!$R$31,1),1)</f>
        <v>1.4326647564469914</v>
      </c>
      <c r="AP43" s="68">
        <f>IF(Level1[[#This Row],[Household]]=1,IF(Level1[[#This Row],[Edible_Waste_Only?]]=1,'Cover Sheet'!$R$32,1),1)</f>
        <v>1</v>
      </c>
      <c r="AQ43" s="68">
        <f>IF(Level1[[#This Row],[Food_Service]]=1,IF(Level1[[#This Row],[Edible_Waste_Only?]]=1,'Cover Sheet'!$R$33,1),1)</f>
        <v>1</v>
      </c>
      <c r="AR43" s="68">
        <f>IF(Level1[[#This Row],[Retail]]=1,IF(Level1[[#This Row],[Edible_Waste_Only?]]=1,'Cover Sheet'!$R$34,1),1)</f>
        <v>1</v>
      </c>
      <c r="AS43" s="68">
        <f>PRODUCT(Level1[[#This Row],[Household_Diary_Adjustment]:[Retail_Inedible_Adjustment]])</f>
        <v>1.4326647564469914</v>
      </c>
      <c r="AT43" s="114">
        <f>Level1[[#This Row],[Preferred_estimate_kg/capita]]*Level1[[#This Row],[Total_Adjustment]]</f>
        <v>104.65616045845272</v>
      </c>
      <c r="AU43" s="186"/>
    </row>
    <row r="44" spans="1:47" x14ac:dyDescent="0.2">
      <c r="A44" s="115">
        <v>55</v>
      </c>
      <c r="B44" s="116" t="s">
        <v>638</v>
      </c>
      <c r="C44" s="116">
        <v>2019</v>
      </c>
      <c r="D44" s="117" t="s">
        <v>413</v>
      </c>
      <c r="E44" s="118" t="s">
        <v>123</v>
      </c>
      <c r="F44" s="116">
        <v>484</v>
      </c>
      <c r="G44" s="116" t="s">
        <v>150</v>
      </c>
      <c r="H44" s="116" t="s">
        <v>160</v>
      </c>
      <c r="I44" s="7" t="s">
        <v>163</v>
      </c>
      <c r="J44" s="7" t="s">
        <v>165</v>
      </c>
      <c r="K44" s="116"/>
      <c r="L44" s="105">
        <v>127.57550000000001</v>
      </c>
      <c r="M44" s="118">
        <v>1</v>
      </c>
      <c r="N44" s="116"/>
      <c r="O44" s="119"/>
      <c r="P44" s="118" t="s">
        <v>224</v>
      </c>
      <c r="Q44" s="116">
        <v>2</v>
      </c>
      <c r="R44" s="116" t="s">
        <v>315</v>
      </c>
      <c r="S44" s="120"/>
      <c r="T44" s="120"/>
      <c r="U44" s="121">
        <v>2012</v>
      </c>
      <c r="V44" s="122"/>
      <c r="W44" s="116"/>
      <c r="X44" s="122"/>
      <c r="Y44" s="119"/>
      <c r="Z44" s="123">
        <v>11</v>
      </c>
      <c r="AA44" s="7" t="s">
        <v>367</v>
      </c>
      <c r="AB44" s="109">
        <v>11</v>
      </c>
      <c r="AC44" s="109">
        <v>11000000</v>
      </c>
      <c r="AD44" s="124">
        <v>11000000</v>
      </c>
      <c r="AE44" s="111">
        <v>1</v>
      </c>
      <c r="AF44" s="110">
        <v>117145657.14285715</v>
      </c>
      <c r="AG44" s="110">
        <v>0</v>
      </c>
      <c r="AH44" s="112">
        <v>93.900194580714896</v>
      </c>
      <c r="AI44" s="113"/>
      <c r="AJ44" s="116"/>
      <c r="AK44" s="68" t="s">
        <v>374</v>
      </c>
      <c r="AL44" s="68" t="s">
        <v>374</v>
      </c>
      <c r="AM44" s="112" t="s">
        <v>374</v>
      </c>
      <c r="AN44" s="111">
        <f>IF(Level1[[#This Row],[Standardised_Normalised_Mass_kg/capita/year]]&lt;&gt;"",Level1[[#This Row],[Standardised_Normalised_Mass_kg/capita/year]],Level1[[#This Row],[Derived_Normalised_kg/capita/year]])</f>
        <v>93.900194580714896</v>
      </c>
      <c r="AO44" s="68">
        <f>IF(Level1[[#This Row],[Household]]=1,IF(Level1[[#This Row],[Household_Diary?]]=1,'Cover Sheet'!$R$31,1),1)</f>
        <v>1</v>
      </c>
      <c r="AP44" s="68">
        <f>IF(Level1[[#This Row],[Household]]=1,IF(Level1[[#This Row],[Edible_Waste_Only?]]=1,'Cover Sheet'!$R$32,1),1)</f>
        <v>1</v>
      </c>
      <c r="AQ44" s="68">
        <f>IF(Level1[[#This Row],[Food_Service]]=1,IF(Level1[[#This Row],[Edible_Waste_Only?]]=1,'Cover Sheet'!$R$33,1),1)</f>
        <v>1</v>
      </c>
      <c r="AR44" s="68">
        <f>IF(Level1[[#This Row],[Retail]]=1,IF(Level1[[#This Row],[Edible_Waste_Only?]]=1,'Cover Sheet'!$R$34,1),1)</f>
        <v>1</v>
      </c>
      <c r="AS44" s="68">
        <f>PRODUCT(Level1[[#This Row],[Household_Diary_Adjustment]:[Retail_Inedible_Adjustment]])</f>
        <v>1</v>
      </c>
      <c r="AT44" s="114">
        <f>Level1[[#This Row],[Preferred_estimate_kg/capita]]*Level1[[#This Row],[Total_Adjustment]]</f>
        <v>93.900194580714896</v>
      </c>
      <c r="AU44" s="186"/>
    </row>
    <row r="45" spans="1:47" x14ac:dyDescent="0.2">
      <c r="A45" s="115">
        <v>56</v>
      </c>
      <c r="B45" s="116" t="s">
        <v>640</v>
      </c>
      <c r="C45" s="116">
        <v>2019</v>
      </c>
      <c r="D45" s="117" t="s">
        <v>64</v>
      </c>
      <c r="E45" s="118" t="s">
        <v>124</v>
      </c>
      <c r="F45" s="116">
        <v>528</v>
      </c>
      <c r="G45" s="116" t="s">
        <v>147</v>
      </c>
      <c r="H45" s="116" t="s">
        <v>159</v>
      </c>
      <c r="I45" s="7" t="s">
        <v>161</v>
      </c>
      <c r="J45" s="7" t="s">
        <v>165</v>
      </c>
      <c r="K45" s="116"/>
      <c r="L45" s="105">
        <v>17.097100000000001</v>
      </c>
      <c r="M45" s="118">
        <v>1</v>
      </c>
      <c r="N45" s="116"/>
      <c r="O45" s="119"/>
      <c r="P45" s="118" t="s">
        <v>226</v>
      </c>
      <c r="Q45" s="116">
        <v>1</v>
      </c>
      <c r="R45" s="116" t="s">
        <v>317</v>
      </c>
      <c r="S45" s="120"/>
      <c r="T45" s="120"/>
      <c r="U45" s="125">
        <v>2019</v>
      </c>
      <c r="V45" s="122"/>
      <c r="W45" s="116"/>
      <c r="X45" s="131">
        <f>34.3/Level1[[#This Row],[Normalised_Mass_Estimate]]</f>
        <v>0.68599999999999994</v>
      </c>
      <c r="Y45" s="127" t="s">
        <v>388</v>
      </c>
      <c r="Z45" s="123"/>
      <c r="AA45" s="7"/>
      <c r="AB45" s="109" t="s">
        <v>374</v>
      </c>
      <c r="AC45" s="109" t="s">
        <v>374</v>
      </c>
      <c r="AD45" s="124" t="s">
        <v>374</v>
      </c>
      <c r="AE45" s="111">
        <v>0</v>
      </c>
      <c r="AF45" s="110">
        <v>0</v>
      </c>
      <c r="AG45" s="110">
        <v>0</v>
      </c>
      <c r="AH45" s="112">
        <v>0</v>
      </c>
      <c r="AI45" s="113">
        <f>SUM(34.3,15.7)</f>
        <v>50</v>
      </c>
      <c r="AJ45" s="116" t="s">
        <v>377</v>
      </c>
      <c r="AK45" s="68">
        <v>50</v>
      </c>
      <c r="AL45" s="68">
        <v>50</v>
      </c>
      <c r="AM45" s="112">
        <v>50</v>
      </c>
      <c r="AN45" s="111">
        <f>IF(Level1[[#This Row],[Standardised_Normalised_Mass_kg/capita/year]]&lt;&gt;"",Level1[[#This Row],[Standardised_Normalised_Mass_kg/capita/year]],Level1[[#This Row],[Derived_Normalised_kg/capita/year]])</f>
        <v>50</v>
      </c>
      <c r="AO45" s="68">
        <f>IF(Level1[[#This Row],[Household]]=1,IF(Level1[[#This Row],[Household_Diary?]]=1,'Cover Sheet'!$R$31,1),1)</f>
        <v>1</v>
      </c>
      <c r="AP45" s="68">
        <f>IF(Level1[[#This Row],[Household]]=1,IF(Level1[[#This Row],[Edible_Waste_Only?]]=1,'Cover Sheet'!$R$32,1),1)</f>
        <v>1</v>
      </c>
      <c r="AQ45" s="68">
        <f>IF(Level1[[#This Row],[Food_Service]]=1,IF(Level1[[#This Row],[Edible_Waste_Only?]]=1,'Cover Sheet'!$R$33,1),1)</f>
        <v>1</v>
      </c>
      <c r="AR45" s="68">
        <f>IF(Level1[[#This Row],[Retail]]=1,IF(Level1[[#This Row],[Edible_Waste_Only?]]=1,'Cover Sheet'!$R$34,1),1)</f>
        <v>1</v>
      </c>
      <c r="AS45" s="68">
        <f>PRODUCT(Level1[[#This Row],[Household_Diary_Adjustment]:[Retail_Inedible_Adjustment]])</f>
        <v>1</v>
      </c>
      <c r="AT45" s="114">
        <f>Level1[[#This Row],[Preferred_estimate_kg/capita]]*Level1[[#This Row],[Total_Adjustment]]</f>
        <v>50</v>
      </c>
      <c r="AU45" s="186"/>
    </row>
    <row r="46" spans="1:47" x14ac:dyDescent="0.2">
      <c r="A46" s="115">
        <v>61</v>
      </c>
      <c r="B46" s="116" t="s">
        <v>647</v>
      </c>
      <c r="C46" s="116">
        <v>2019</v>
      </c>
      <c r="D46" s="117" t="s">
        <v>70</v>
      </c>
      <c r="E46" s="118" t="s">
        <v>127</v>
      </c>
      <c r="F46" s="116">
        <v>578</v>
      </c>
      <c r="G46" s="116" t="s">
        <v>153</v>
      </c>
      <c r="H46" s="116" t="s">
        <v>159</v>
      </c>
      <c r="I46" s="7" t="s">
        <v>161</v>
      </c>
      <c r="J46" s="7" t="s">
        <v>165</v>
      </c>
      <c r="K46" s="116"/>
      <c r="L46" s="105">
        <v>5.3788999999999998</v>
      </c>
      <c r="M46" s="118"/>
      <c r="N46" s="116">
        <v>1</v>
      </c>
      <c r="O46" s="119"/>
      <c r="P46" s="118" t="s">
        <v>224</v>
      </c>
      <c r="Q46" s="116">
        <v>2</v>
      </c>
      <c r="R46" s="116" t="s">
        <v>323</v>
      </c>
      <c r="S46" s="120"/>
      <c r="T46" s="120">
        <v>1</v>
      </c>
      <c r="U46" s="125">
        <v>2018</v>
      </c>
      <c r="V46" s="122">
        <v>0.05</v>
      </c>
      <c r="W46" s="116" t="s">
        <v>364</v>
      </c>
      <c r="X46" s="131"/>
      <c r="Y46" s="127"/>
      <c r="Z46" s="123">
        <v>17600</v>
      </c>
      <c r="AA46" s="7" t="s">
        <v>365</v>
      </c>
      <c r="AB46" s="109">
        <v>17600</v>
      </c>
      <c r="AC46" s="109">
        <v>17600</v>
      </c>
      <c r="AD46" s="124">
        <v>17600</v>
      </c>
      <c r="AE46" s="111">
        <v>1</v>
      </c>
      <c r="AF46" s="110">
        <v>5337600</v>
      </c>
      <c r="AG46" s="110">
        <v>0</v>
      </c>
      <c r="AH46" s="112">
        <v>3.2973621103117505</v>
      </c>
      <c r="AI46" s="113"/>
      <c r="AJ46" s="116"/>
      <c r="AK46" s="68" t="s">
        <v>374</v>
      </c>
      <c r="AL46" s="68" t="s">
        <v>374</v>
      </c>
      <c r="AM46" s="112" t="s">
        <v>374</v>
      </c>
      <c r="AN46" s="111">
        <f>IF(Level1[[#This Row],[Standardised_Normalised_Mass_kg/capita/year]]&lt;&gt;"",Level1[[#This Row],[Standardised_Normalised_Mass_kg/capita/year]],Level1[[#This Row],[Derived_Normalised_kg/capita/year]])</f>
        <v>3.2973621103117505</v>
      </c>
      <c r="AO46" s="68">
        <f>IF(Level1[[#This Row],[Household]]=1,IF(Level1[[#This Row],[Household_Diary?]]=1,'Cover Sheet'!$R$31,1),1)</f>
        <v>1</v>
      </c>
      <c r="AP46" s="68">
        <f>IF(Level1[[#This Row],[Household]]=1,IF(Level1[[#This Row],[Edible_Waste_Only?]]=1,'Cover Sheet'!$R$32,1),1)</f>
        <v>1</v>
      </c>
      <c r="AQ46" s="68">
        <f>IF(Level1[[#This Row],[Food_Service]]=1,IF(Level1[[#This Row],[Edible_Waste_Only?]]=1,'Cover Sheet'!$R$33,1),1)</f>
        <v>1.5045789123242672</v>
      </c>
      <c r="AR46" s="68">
        <f>IF(Level1[[#This Row],[Retail]]=1,IF(Level1[[#This Row],[Edible_Waste_Only?]]=1,'Cover Sheet'!$R$34,1),1)</f>
        <v>1</v>
      </c>
      <c r="AS46" s="68">
        <f>PRODUCT(Level1[[#This Row],[Household_Diary_Adjustment]:[Retail_Inedible_Adjustment]])</f>
        <v>1.5045789123242672</v>
      </c>
      <c r="AT46" s="114">
        <f>Level1[[#This Row],[Preferred_estimate_kg/capita]]*Level1[[#This Row],[Total_Adjustment]]</f>
        <v>4.961141497472104</v>
      </c>
      <c r="AU46" s="186"/>
    </row>
    <row r="47" spans="1:47" x14ac:dyDescent="0.2">
      <c r="A47" s="102">
        <v>61</v>
      </c>
      <c r="B47" s="116" t="s">
        <v>647</v>
      </c>
      <c r="C47" s="7">
        <v>2019</v>
      </c>
      <c r="D47" s="103" t="s">
        <v>70</v>
      </c>
      <c r="E47" s="104" t="s">
        <v>127</v>
      </c>
      <c r="F47" s="7">
        <v>578</v>
      </c>
      <c r="G47" s="7" t="s">
        <v>153</v>
      </c>
      <c r="H47" s="7" t="s">
        <v>159</v>
      </c>
      <c r="I47" s="7" t="s">
        <v>161</v>
      </c>
      <c r="J47" s="7" t="s">
        <v>165</v>
      </c>
      <c r="K47" s="7"/>
      <c r="L47" s="105">
        <v>5.3788999999999998</v>
      </c>
      <c r="M47" s="104"/>
      <c r="N47" s="7"/>
      <c r="O47" s="105">
        <v>1</v>
      </c>
      <c r="P47" s="104" t="s">
        <v>224</v>
      </c>
      <c r="Q47" s="7">
        <v>2</v>
      </c>
      <c r="R47" s="7" t="s">
        <v>324</v>
      </c>
      <c r="S47" s="8"/>
      <c r="T47" s="8">
        <v>1</v>
      </c>
      <c r="U47" s="128">
        <v>2018</v>
      </c>
      <c r="V47" s="107">
        <v>0.16</v>
      </c>
      <c r="W47" s="7" t="s">
        <v>364</v>
      </c>
      <c r="X47" s="129"/>
      <c r="Y47" s="130"/>
      <c r="Z47" s="108">
        <v>62050</v>
      </c>
      <c r="AA47" s="7" t="s">
        <v>365</v>
      </c>
      <c r="AB47" s="109">
        <v>62050</v>
      </c>
      <c r="AC47" s="109">
        <v>62050</v>
      </c>
      <c r="AD47" s="110">
        <v>62050</v>
      </c>
      <c r="AE47" s="111">
        <v>1</v>
      </c>
      <c r="AF47" s="110">
        <v>5337600</v>
      </c>
      <c r="AG47" s="110">
        <v>0</v>
      </c>
      <c r="AH47" s="112">
        <v>11.625074940047961</v>
      </c>
      <c r="AI47" s="113"/>
      <c r="AJ47" s="7"/>
      <c r="AK47" s="68" t="s">
        <v>374</v>
      </c>
      <c r="AL47" s="68" t="s">
        <v>374</v>
      </c>
      <c r="AM47" s="112" t="s">
        <v>374</v>
      </c>
      <c r="AN47" s="111">
        <f>IF(Level1[[#This Row],[Standardised_Normalised_Mass_kg/capita/year]]&lt;&gt;"",Level1[[#This Row],[Standardised_Normalised_Mass_kg/capita/year]],Level1[[#This Row],[Derived_Normalised_kg/capita/year]])</f>
        <v>11.625074940047961</v>
      </c>
      <c r="AO47" s="68">
        <f>IF(Level1[[#This Row],[Household]]=1,IF(Level1[[#This Row],[Household_Diary?]]=1,'Cover Sheet'!$R$31,1),1)</f>
        <v>1</v>
      </c>
      <c r="AP47" s="68">
        <f>IF(Level1[[#This Row],[Household]]=1,IF(Level1[[#This Row],[Edible_Waste_Only?]]=1,'Cover Sheet'!$R$32,1),1)</f>
        <v>1</v>
      </c>
      <c r="AQ47" s="68">
        <f>IF(Level1[[#This Row],[Food_Service]]=1,IF(Level1[[#This Row],[Edible_Waste_Only?]]=1,'Cover Sheet'!$R$33,1),1)</f>
        <v>1</v>
      </c>
      <c r="AR47" s="68">
        <f>IF(Level1[[#This Row],[Retail]]=1,IF(Level1[[#This Row],[Edible_Waste_Only?]]=1,'Cover Sheet'!$R$34,1),1)</f>
        <v>1.1756101852337386</v>
      </c>
      <c r="AS47" s="68">
        <f>PRODUCT(Level1[[#This Row],[Household_Diary_Adjustment]:[Retail_Inedible_Adjustment]])</f>
        <v>1.1756101852337386</v>
      </c>
      <c r="AT47" s="114">
        <f>Level1[[#This Row],[Preferred_estimate_kg/capita]]*Level1[[#This Row],[Total_Adjustment]]</f>
        <v>13.666556503625877</v>
      </c>
      <c r="AU47" s="186"/>
    </row>
    <row r="48" spans="1:47" x14ac:dyDescent="0.2">
      <c r="A48" s="102">
        <v>65</v>
      </c>
      <c r="B48" s="116" t="s">
        <v>8</v>
      </c>
      <c r="C48" s="7">
        <v>2019</v>
      </c>
      <c r="D48" s="103" t="s">
        <v>72</v>
      </c>
      <c r="E48" s="104" t="s">
        <v>130</v>
      </c>
      <c r="F48" s="7">
        <v>643</v>
      </c>
      <c r="G48" s="7" t="s">
        <v>156</v>
      </c>
      <c r="H48" s="7" t="s">
        <v>159</v>
      </c>
      <c r="I48" s="7" t="s">
        <v>163</v>
      </c>
      <c r="J48" s="7" t="s">
        <v>165</v>
      </c>
      <c r="K48" s="7"/>
      <c r="L48" s="105">
        <v>145.8723</v>
      </c>
      <c r="M48" s="104">
        <v>1</v>
      </c>
      <c r="N48" s="7"/>
      <c r="O48" s="105"/>
      <c r="P48" s="104" t="s">
        <v>224</v>
      </c>
      <c r="Q48" s="7">
        <v>2</v>
      </c>
      <c r="R48" s="7" t="s">
        <v>328</v>
      </c>
      <c r="S48" s="8"/>
      <c r="T48" s="8"/>
      <c r="U48" s="106">
        <v>2017</v>
      </c>
      <c r="V48" s="107">
        <f>11.8/41.3</f>
        <v>0.28571428571428575</v>
      </c>
      <c r="W48" s="7" t="s">
        <v>364</v>
      </c>
      <c r="X48" s="129"/>
      <c r="Y48" s="130"/>
      <c r="Z48" s="108">
        <f>17*Level1[[#This Row],[FW_Share_estimate]]</f>
        <v>4.8571428571428577</v>
      </c>
      <c r="AA48" s="7" t="s">
        <v>367</v>
      </c>
      <c r="AB48" s="109">
        <v>4.8571428571428577</v>
      </c>
      <c r="AC48" s="109">
        <v>4857142.8571428573</v>
      </c>
      <c r="AD48" s="110">
        <v>4857142.8571428573</v>
      </c>
      <c r="AE48" s="111">
        <v>1</v>
      </c>
      <c r="AF48" s="110">
        <v>145530100</v>
      </c>
      <c r="AG48" s="110">
        <v>0</v>
      </c>
      <c r="AH48" s="112">
        <v>33.375520645851665</v>
      </c>
      <c r="AI48" s="113"/>
      <c r="AJ48" s="7"/>
      <c r="AK48" s="68" t="s">
        <v>374</v>
      </c>
      <c r="AL48" s="68" t="s">
        <v>374</v>
      </c>
      <c r="AM48" s="112" t="s">
        <v>374</v>
      </c>
      <c r="AN48" s="111">
        <f>IF(Level1[[#This Row],[Standardised_Normalised_Mass_kg/capita/year]]&lt;&gt;"",Level1[[#This Row],[Standardised_Normalised_Mass_kg/capita/year]],Level1[[#This Row],[Derived_Normalised_kg/capita/year]])</f>
        <v>33.375520645851665</v>
      </c>
      <c r="AO48" s="68">
        <f>IF(Level1[[#This Row],[Household]]=1,IF(Level1[[#This Row],[Household_Diary?]]=1,'Cover Sheet'!$R$31,1),1)</f>
        <v>1</v>
      </c>
      <c r="AP48" s="68">
        <f>IF(Level1[[#This Row],[Household]]=1,IF(Level1[[#This Row],[Edible_Waste_Only?]]=1,'Cover Sheet'!$R$32,1),1)</f>
        <v>1</v>
      </c>
      <c r="AQ48" s="68">
        <f>IF(Level1[[#This Row],[Food_Service]]=1,IF(Level1[[#This Row],[Edible_Waste_Only?]]=1,'Cover Sheet'!$R$33,1),1)</f>
        <v>1</v>
      </c>
      <c r="AR48" s="68">
        <f>IF(Level1[[#This Row],[Retail]]=1,IF(Level1[[#This Row],[Edible_Waste_Only?]]=1,'Cover Sheet'!$R$34,1),1)</f>
        <v>1</v>
      </c>
      <c r="AS48" s="68">
        <f>PRODUCT(Level1[[#This Row],[Household_Diary_Adjustment]:[Retail_Inedible_Adjustment]])</f>
        <v>1</v>
      </c>
      <c r="AT48" s="114">
        <f>Level1[[#This Row],[Preferred_estimate_kg/capita]]*Level1[[#This Row],[Total_Adjustment]]</f>
        <v>33.375520645851665</v>
      </c>
      <c r="AU48" s="186"/>
    </row>
    <row r="49" spans="1:47" x14ac:dyDescent="0.2">
      <c r="A49" s="115">
        <v>65</v>
      </c>
      <c r="B49" s="116" t="s">
        <v>8</v>
      </c>
      <c r="C49" s="116">
        <v>2019</v>
      </c>
      <c r="D49" s="117" t="s">
        <v>72</v>
      </c>
      <c r="E49" s="118" t="s">
        <v>130</v>
      </c>
      <c r="F49" s="116">
        <v>643</v>
      </c>
      <c r="G49" s="116" t="s">
        <v>156</v>
      </c>
      <c r="H49" s="116" t="s">
        <v>159</v>
      </c>
      <c r="I49" s="7" t="s">
        <v>163</v>
      </c>
      <c r="J49" s="7" t="s">
        <v>165</v>
      </c>
      <c r="K49" s="116"/>
      <c r="L49" s="105">
        <v>145.8723</v>
      </c>
      <c r="M49" s="118"/>
      <c r="N49" s="116"/>
      <c r="O49" s="119">
        <v>1</v>
      </c>
      <c r="P49" s="118" t="s">
        <v>224</v>
      </c>
      <c r="Q49" s="116">
        <v>2</v>
      </c>
      <c r="R49" s="116" t="s">
        <v>328</v>
      </c>
      <c r="S49" s="120"/>
      <c r="T49" s="120"/>
      <c r="U49" s="121">
        <v>2017</v>
      </c>
      <c r="V49" s="122">
        <f>4.85/41.3</f>
        <v>0.11743341404358354</v>
      </c>
      <c r="W49" s="116" t="s">
        <v>364</v>
      </c>
      <c r="X49" s="131"/>
      <c r="Y49" s="127"/>
      <c r="Z49" s="123">
        <f>17*Level1[[#This Row],[FW_Share_estimate]]</f>
        <v>1.9963680387409202</v>
      </c>
      <c r="AA49" s="7" t="s">
        <v>367</v>
      </c>
      <c r="AB49" s="109">
        <v>1.9963680387409202</v>
      </c>
      <c r="AC49" s="109">
        <v>1996368.0387409201</v>
      </c>
      <c r="AD49" s="124">
        <v>1996368.0387409201</v>
      </c>
      <c r="AE49" s="111">
        <v>1</v>
      </c>
      <c r="AF49" s="110">
        <v>145530100</v>
      </c>
      <c r="AG49" s="110">
        <v>0</v>
      </c>
      <c r="AH49" s="112">
        <v>13.71790467223564</v>
      </c>
      <c r="AI49" s="113"/>
      <c r="AJ49" s="116"/>
      <c r="AK49" s="68" t="s">
        <v>374</v>
      </c>
      <c r="AL49" s="68" t="s">
        <v>374</v>
      </c>
      <c r="AM49" s="112" t="s">
        <v>374</v>
      </c>
      <c r="AN49" s="111">
        <f>IF(Level1[[#This Row],[Standardised_Normalised_Mass_kg/capita/year]]&lt;&gt;"",Level1[[#This Row],[Standardised_Normalised_Mass_kg/capita/year]],Level1[[#This Row],[Derived_Normalised_kg/capita/year]])</f>
        <v>13.71790467223564</v>
      </c>
      <c r="AO49" s="68">
        <f>IF(Level1[[#This Row],[Household]]=1,IF(Level1[[#This Row],[Household_Diary?]]=1,'Cover Sheet'!$R$31,1),1)</f>
        <v>1</v>
      </c>
      <c r="AP49" s="68">
        <f>IF(Level1[[#This Row],[Household]]=1,IF(Level1[[#This Row],[Edible_Waste_Only?]]=1,'Cover Sheet'!$R$32,1),1)</f>
        <v>1</v>
      </c>
      <c r="AQ49" s="68">
        <f>IF(Level1[[#This Row],[Food_Service]]=1,IF(Level1[[#This Row],[Edible_Waste_Only?]]=1,'Cover Sheet'!$R$33,1),1)</f>
        <v>1</v>
      </c>
      <c r="AR49" s="68">
        <f>IF(Level1[[#This Row],[Retail]]=1,IF(Level1[[#This Row],[Edible_Waste_Only?]]=1,'Cover Sheet'!$R$34,1),1)</f>
        <v>1</v>
      </c>
      <c r="AS49" s="68">
        <f>PRODUCT(Level1[[#This Row],[Household_Diary_Adjustment]:[Retail_Inedible_Adjustment]])</f>
        <v>1</v>
      </c>
      <c r="AT49" s="114">
        <f>Level1[[#This Row],[Preferred_estimate_kg/capita]]*Level1[[#This Row],[Total_Adjustment]]</f>
        <v>13.71790467223564</v>
      </c>
      <c r="AU49" s="186"/>
    </row>
    <row r="50" spans="1:47" x14ac:dyDescent="0.2">
      <c r="A50" s="115">
        <v>67</v>
      </c>
      <c r="B50" s="116" t="s">
        <v>656</v>
      </c>
      <c r="C50" s="116">
        <v>2019</v>
      </c>
      <c r="D50" s="117" t="s">
        <v>74</v>
      </c>
      <c r="E50" s="118" t="s">
        <v>132</v>
      </c>
      <c r="F50" s="116">
        <v>682</v>
      </c>
      <c r="G50" s="116" t="s">
        <v>148</v>
      </c>
      <c r="H50" s="116" t="s">
        <v>160</v>
      </c>
      <c r="I50" s="7" t="s">
        <v>161</v>
      </c>
      <c r="J50" s="7" t="s">
        <v>165</v>
      </c>
      <c r="K50" s="116"/>
      <c r="L50" s="105">
        <v>34.268500000000003</v>
      </c>
      <c r="M50" s="118">
        <v>1</v>
      </c>
      <c r="N50" s="116"/>
      <c r="O50" s="119"/>
      <c r="P50" s="118" t="s">
        <v>225</v>
      </c>
      <c r="Q50" s="116">
        <v>1</v>
      </c>
      <c r="R50" s="116" t="s">
        <v>330</v>
      </c>
      <c r="S50" s="120"/>
      <c r="T50" s="120"/>
      <c r="U50" s="121">
        <v>2017</v>
      </c>
      <c r="V50" s="122"/>
      <c r="W50" s="116"/>
      <c r="X50" s="122"/>
      <c r="Y50" s="119"/>
      <c r="Z50" s="123">
        <f>57%*4.066</f>
        <v>2.3176199999999998</v>
      </c>
      <c r="AA50" s="7" t="s">
        <v>367</v>
      </c>
      <c r="AB50" s="109">
        <v>2.3176199999999998</v>
      </c>
      <c r="AC50" s="109">
        <v>2317620</v>
      </c>
      <c r="AD50" s="124">
        <v>2317620</v>
      </c>
      <c r="AE50" s="111">
        <v>0</v>
      </c>
      <c r="AF50" s="110">
        <v>33101200</v>
      </c>
      <c r="AG50" s="110">
        <v>0</v>
      </c>
      <c r="AH50" s="112">
        <v>0</v>
      </c>
      <c r="AI50" s="113">
        <f>184*57%</f>
        <v>104.88</v>
      </c>
      <c r="AJ50" s="116" t="s">
        <v>377</v>
      </c>
      <c r="AK50" s="68">
        <v>104.88</v>
      </c>
      <c r="AL50" s="68">
        <v>104.88</v>
      </c>
      <c r="AM50" s="112">
        <v>104.88</v>
      </c>
      <c r="AN50" s="111">
        <f>IF(Level1[[#This Row],[Standardised_Normalised_Mass_kg/capita/year]]&lt;&gt;"",Level1[[#This Row],[Standardised_Normalised_Mass_kg/capita/year]],Level1[[#This Row],[Derived_Normalised_kg/capita/year]])</f>
        <v>104.88</v>
      </c>
      <c r="AO50" s="68">
        <f>IF(Level1[[#This Row],[Household]]=1,IF(Level1[[#This Row],[Household_Diary?]]=1,'Cover Sheet'!$R$31,1),1)</f>
        <v>1</v>
      </c>
      <c r="AP50" s="68">
        <f>IF(Level1[[#This Row],[Household]]=1,IF(Level1[[#This Row],[Edible_Waste_Only?]]=1,'Cover Sheet'!$R$32,1),1)</f>
        <v>1</v>
      </c>
      <c r="AQ50" s="68">
        <f>IF(Level1[[#This Row],[Food_Service]]=1,IF(Level1[[#This Row],[Edible_Waste_Only?]]=1,'Cover Sheet'!$R$33,1),1)</f>
        <v>1</v>
      </c>
      <c r="AR50" s="68">
        <f>IF(Level1[[#This Row],[Retail]]=1,IF(Level1[[#This Row],[Edible_Waste_Only?]]=1,'Cover Sheet'!$R$34,1),1)</f>
        <v>1</v>
      </c>
      <c r="AS50" s="68">
        <f>PRODUCT(Level1[[#This Row],[Household_Diary_Adjustment]:[Retail_Inedible_Adjustment]])</f>
        <v>1</v>
      </c>
      <c r="AT50" s="114">
        <f>Level1[[#This Row],[Preferred_estimate_kg/capita]]*Level1[[#This Row],[Total_Adjustment]]</f>
        <v>104.88</v>
      </c>
      <c r="AU50" s="186"/>
    </row>
    <row r="51" spans="1:47" x14ac:dyDescent="0.2">
      <c r="A51" s="102">
        <v>67</v>
      </c>
      <c r="B51" s="116" t="s">
        <v>656</v>
      </c>
      <c r="C51" s="7">
        <v>2019</v>
      </c>
      <c r="D51" s="103" t="s">
        <v>74</v>
      </c>
      <c r="E51" s="104" t="s">
        <v>132</v>
      </c>
      <c r="F51" s="7">
        <v>682</v>
      </c>
      <c r="G51" s="7" t="s">
        <v>148</v>
      </c>
      <c r="H51" s="7" t="s">
        <v>160</v>
      </c>
      <c r="I51" s="7" t="s">
        <v>161</v>
      </c>
      <c r="J51" s="7" t="s">
        <v>165</v>
      </c>
      <c r="K51" s="7"/>
      <c r="L51" s="105">
        <v>34.268500000000003</v>
      </c>
      <c r="M51" s="104"/>
      <c r="N51" s="7"/>
      <c r="O51" s="105">
        <v>1</v>
      </c>
      <c r="P51" s="104" t="s">
        <v>225</v>
      </c>
      <c r="Q51" s="7">
        <v>1</v>
      </c>
      <c r="R51" s="7" t="s">
        <v>331</v>
      </c>
      <c r="S51" s="8"/>
      <c r="T51" s="8"/>
      <c r="U51" s="106">
        <v>2017</v>
      </c>
      <c r="V51" s="107"/>
      <c r="W51" s="7"/>
      <c r="X51" s="107"/>
      <c r="Y51" s="105"/>
      <c r="Z51" s="108">
        <f>16%*4.066</f>
        <v>0.65056000000000003</v>
      </c>
      <c r="AA51" s="7" t="s">
        <v>367</v>
      </c>
      <c r="AB51" s="109">
        <v>0.65056000000000003</v>
      </c>
      <c r="AC51" s="109">
        <v>650560</v>
      </c>
      <c r="AD51" s="110">
        <v>650560</v>
      </c>
      <c r="AE51" s="111">
        <v>1</v>
      </c>
      <c r="AF51" s="110">
        <v>33101200</v>
      </c>
      <c r="AG51" s="110">
        <v>0</v>
      </c>
      <c r="AH51" s="112">
        <v>19.653668144961511</v>
      </c>
      <c r="AI51" s="113"/>
      <c r="AJ51" s="7"/>
      <c r="AK51" s="68" t="s">
        <v>374</v>
      </c>
      <c r="AL51" s="68" t="s">
        <v>374</v>
      </c>
      <c r="AM51" s="112" t="s">
        <v>374</v>
      </c>
      <c r="AN51" s="111">
        <f>IF(Level1[[#This Row],[Standardised_Normalised_Mass_kg/capita/year]]&lt;&gt;"",Level1[[#This Row],[Standardised_Normalised_Mass_kg/capita/year]],Level1[[#This Row],[Derived_Normalised_kg/capita/year]])</f>
        <v>19.653668144961511</v>
      </c>
      <c r="AO51" s="68">
        <f>IF(Level1[[#This Row],[Household]]=1,IF(Level1[[#This Row],[Household_Diary?]]=1,'Cover Sheet'!$R$31,1),1)</f>
        <v>1</v>
      </c>
      <c r="AP51" s="68">
        <f>IF(Level1[[#This Row],[Household]]=1,IF(Level1[[#This Row],[Edible_Waste_Only?]]=1,'Cover Sheet'!$R$32,1),1)</f>
        <v>1</v>
      </c>
      <c r="AQ51" s="68">
        <f>IF(Level1[[#This Row],[Food_Service]]=1,IF(Level1[[#This Row],[Edible_Waste_Only?]]=1,'Cover Sheet'!$R$33,1),1)</f>
        <v>1</v>
      </c>
      <c r="AR51" s="68">
        <f>IF(Level1[[#This Row],[Retail]]=1,IF(Level1[[#This Row],[Edible_Waste_Only?]]=1,'Cover Sheet'!$R$34,1),1)</f>
        <v>1</v>
      </c>
      <c r="AS51" s="68">
        <f>PRODUCT(Level1[[#This Row],[Household_Diary_Adjustment]:[Retail_Inedible_Adjustment]])</f>
        <v>1</v>
      </c>
      <c r="AT51" s="114">
        <f>Level1[[#This Row],[Preferred_estimate_kg/capita]]*Level1[[#This Row],[Total_Adjustment]]</f>
        <v>19.653668144961511</v>
      </c>
      <c r="AU51" s="186"/>
    </row>
    <row r="52" spans="1:47" x14ac:dyDescent="0.2">
      <c r="A52" s="115">
        <v>68</v>
      </c>
      <c r="B52" s="116" t="s">
        <v>9</v>
      </c>
      <c r="C52" s="116">
        <v>2019</v>
      </c>
      <c r="D52" s="117" t="s">
        <v>75</v>
      </c>
      <c r="E52" s="118" t="s">
        <v>133</v>
      </c>
      <c r="F52" s="116">
        <v>688</v>
      </c>
      <c r="G52" s="116" t="s">
        <v>155</v>
      </c>
      <c r="H52" s="116" t="s">
        <v>159</v>
      </c>
      <c r="I52" s="7" t="s">
        <v>163</v>
      </c>
      <c r="J52" s="7" t="s">
        <v>165</v>
      </c>
      <c r="K52" s="116"/>
      <c r="L52" s="105">
        <v>8.7721999999999998</v>
      </c>
      <c r="M52" s="118"/>
      <c r="N52" s="116">
        <v>1</v>
      </c>
      <c r="O52" s="119"/>
      <c r="P52" s="118" t="s">
        <v>228</v>
      </c>
      <c r="Q52" s="116">
        <v>2</v>
      </c>
      <c r="R52" s="116" t="s">
        <v>332</v>
      </c>
      <c r="S52" s="120"/>
      <c r="T52" s="120"/>
      <c r="U52" s="125">
        <v>2018</v>
      </c>
      <c r="V52" s="122"/>
      <c r="W52" s="116"/>
      <c r="X52" s="131"/>
      <c r="Y52" s="127"/>
      <c r="Z52" s="123">
        <f>39+0.2+0.2</f>
        <v>39.400000000000006</v>
      </c>
      <c r="AA52" s="7" t="s">
        <v>368</v>
      </c>
      <c r="AB52" s="109">
        <v>39.400000000000006</v>
      </c>
      <c r="AC52" s="109">
        <v>39400.000000000007</v>
      </c>
      <c r="AD52" s="124">
        <v>39400.000000000007</v>
      </c>
      <c r="AE52" s="111">
        <v>0</v>
      </c>
      <c r="AF52" s="110">
        <v>0</v>
      </c>
      <c r="AG52" s="110">
        <v>0</v>
      </c>
      <c r="AH52" s="112">
        <v>0</v>
      </c>
      <c r="AI52" s="113">
        <v>6</v>
      </c>
      <c r="AJ52" s="116" t="s">
        <v>377</v>
      </c>
      <c r="AK52" s="68">
        <v>6</v>
      </c>
      <c r="AL52" s="68">
        <v>6</v>
      </c>
      <c r="AM52" s="112">
        <v>6</v>
      </c>
      <c r="AN52" s="111">
        <f>IF(Level1[[#This Row],[Standardised_Normalised_Mass_kg/capita/year]]&lt;&gt;"",Level1[[#This Row],[Standardised_Normalised_Mass_kg/capita/year]],Level1[[#This Row],[Derived_Normalised_kg/capita/year]])</f>
        <v>6</v>
      </c>
      <c r="AO52" s="68">
        <f>IF(Level1[[#This Row],[Household]]=1,IF(Level1[[#This Row],[Household_Diary?]]=1,'Cover Sheet'!$R$31,1),1)</f>
        <v>1</v>
      </c>
      <c r="AP52" s="68">
        <f>IF(Level1[[#This Row],[Household]]=1,IF(Level1[[#This Row],[Edible_Waste_Only?]]=1,'Cover Sheet'!$R$32,1),1)</f>
        <v>1</v>
      </c>
      <c r="AQ52" s="68">
        <f>IF(Level1[[#This Row],[Food_Service]]=1,IF(Level1[[#This Row],[Edible_Waste_Only?]]=1,'Cover Sheet'!$R$33,1),1)</f>
        <v>1</v>
      </c>
      <c r="AR52" s="68">
        <f>IF(Level1[[#This Row],[Retail]]=1,IF(Level1[[#This Row],[Edible_Waste_Only?]]=1,'Cover Sheet'!$R$34,1),1)</f>
        <v>1</v>
      </c>
      <c r="AS52" s="68">
        <f>PRODUCT(Level1[[#This Row],[Household_Diary_Adjustment]:[Retail_Inedible_Adjustment]])</f>
        <v>1</v>
      </c>
      <c r="AT52" s="114">
        <f>Level1[[#This Row],[Preferred_estimate_kg/capita]]*Level1[[#This Row],[Total_Adjustment]]</f>
        <v>6</v>
      </c>
      <c r="AU52" s="186"/>
    </row>
    <row r="53" spans="1:47" x14ac:dyDescent="0.2">
      <c r="A53" s="115">
        <v>70</v>
      </c>
      <c r="B53" s="116" t="s">
        <v>661</v>
      </c>
      <c r="C53" s="116">
        <v>2019</v>
      </c>
      <c r="D53" s="117" t="s">
        <v>416</v>
      </c>
      <c r="E53" s="118" t="s">
        <v>134</v>
      </c>
      <c r="F53" s="116">
        <v>705</v>
      </c>
      <c r="G53" s="116" t="s">
        <v>155</v>
      </c>
      <c r="H53" s="116" t="s">
        <v>159</v>
      </c>
      <c r="I53" s="7" t="s">
        <v>161</v>
      </c>
      <c r="J53" s="7" t="s">
        <v>165</v>
      </c>
      <c r="K53" s="116"/>
      <c r="L53" s="105">
        <v>2.0787</v>
      </c>
      <c r="M53" s="118">
        <v>1</v>
      </c>
      <c r="N53" s="116"/>
      <c r="O53" s="119"/>
      <c r="P53" s="118" t="s">
        <v>229</v>
      </c>
      <c r="Q53" s="116">
        <v>2</v>
      </c>
      <c r="R53" s="116" t="s">
        <v>333</v>
      </c>
      <c r="S53" s="120"/>
      <c r="T53" s="120"/>
      <c r="U53" s="125">
        <v>2018</v>
      </c>
      <c r="V53" s="122">
        <v>0.11</v>
      </c>
      <c r="W53" s="116" t="s">
        <v>362</v>
      </c>
      <c r="X53" s="131"/>
      <c r="Y53" s="127" t="s">
        <v>484</v>
      </c>
      <c r="Z53" s="123">
        <f>73182</f>
        <v>73182</v>
      </c>
      <c r="AA53" s="7" t="s">
        <v>365</v>
      </c>
      <c r="AB53" s="109">
        <v>73182</v>
      </c>
      <c r="AC53" s="109">
        <v>73182</v>
      </c>
      <c r="AD53" s="124">
        <v>73182</v>
      </c>
      <c r="AE53" s="111">
        <v>0</v>
      </c>
      <c r="AF53" s="110">
        <v>2077550</v>
      </c>
      <c r="AG53" s="110">
        <v>0</v>
      </c>
      <c r="AH53" s="112">
        <v>0</v>
      </c>
      <c r="AI53" s="113">
        <f>(68/139856)*Z53</f>
        <v>35.58214163139229</v>
      </c>
      <c r="AJ53" s="116" t="s">
        <v>377</v>
      </c>
      <c r="AK53" s="68">
        <v>35.58214163139229</v>
      </c>
      <c r="AL53" s="68">
        <v>35.58214163139229</v>
      </c>
      <c r="AM53" s="112">
        <v>35.58214163139229</v>
      </c>
      <c r="AN53" s="111">
        <f>IF(Level1[[#This Row],[Standardised_Normalised_Mass_kg/capita/year]]&lt;&gt;"",Level1[[#This Row],[Standardised_Normalised_Mass_kg/capita/year]],Level1[[#This Row],[Derived_Normalised_kg/capita/year]])</f>
        <v>35.58214163139229</v>
      </c>
      <c r="AO53" s="68">
        <f>IF(Level1[[#This Row],[Household]]=1,IF(Level1[[#This Row],[Household_Diary?]]=1,'Cover Sheet'!$R$31,1),1)</f>
        <v>1</v>
      </c>
      <c r="AP53" s="68">
        <f>IF(Level1[[#This Row],[Household]]=1,IF(Level1[[#This Row],[Edible_Waste_Only?]]=1,'Cover Sheet'!$R$32,1),1)</f>
        <v>1</v>
      </c>
      <c r="AQ53" s="68">
        <f>IF(Level1[[#This Row],[Food_Service]]=1,IF(Level1[[#This Row],[Edible_Waste_Only?]]=1,'Cover Sheet'!$R$33,1),1)</f>
        <v>1</v>
      </c>
      <c r="AR53" s="68">
        <f>IF(Level1[[#This Row],[Retail]]=1,IF(Level1[[#This Row],[Edible_Waste_Only?]]=1,'Cover Sheet'!$R$34,1),1)</f>
        <v>1</v>
      </c>
      <c r="AS53" s="68">
        <f>PRODUCT(Level1[[#This Row],[Household_Diary_Adjustment]:[Retail_Inedible_Adjustment]])</f>
        <v>1</v>
      </c>
      <c r="AT53" s="114">
        <f>Level1[[#This Row],[Preferred_estimate_kg/capita]]*Level1[[#This Row],[Total_Adjustment]]</f>
        <v>35.58214163139229</v>
      </c>
      <c r="AU53" s="186"/>
    </row>
    <row r="54" spans="1:47" x14ac:dyDescent="0.2">
      <c r="A54" s="115">
        <v>70</v>
      </c>
      <c r="B54" s="116" t="s">
        <v>661</v>
      </c>
      <c r="C54" s="116">
        <v>2019</v>
      </c>
      <c r="D54" s="117" t="s">
        <v>416</v>
      </c>
      <c r="E54" s="118" t="s">
        <v>134</v>
      </c>
      <c r="F54" s="116">
        <v>705</v>
      </c>
      <c r="G54" s="116" t="s">
        <v>155</v>
      </c>
      <c r="H54" s="116" t="s">
        <v>159</v>
      </c>
      <c r="I54" s="7" t="s">
        <v>161</v>
      </c>
      <c r="J54" s="7" t="s">
        <v>165</v>
      </c>
      <c r="K54" s="116"/>
      <c r="L54" s="105">
        <v>2.0787</v>
      </c>
      <c r="M54" s="118"/>
      <c r="N54" s="116">
        <v>1</v>
      </c>
      <c r="O54" s="119"/>
      <c r="P54" s="118" t="s">
        <v>229</v>
      </c>
      <c r="Q54" s="116">
        <v>2</v>
      </c>
      <c r="R54" s="116" t="s">
        <v>333</v>
      </c>
      <c r="S54" s="120"/>
      <c r="T54" s="120"/>
      <c r="U54" s="125">
        <v>2018</v>
      </c>
      <c r="V54" s="122"/>
      <c r="W54" s="116"/>
      <c r="X54" s="131"/>
      <c r="Y54" s="127" t="s">
        <v>484</v>
      </c>
      <c r="Z54" s="123">
        <v>42071</v>
      </c>
      <c r="AA54" s="7" t="s">
        <v>365</v>
      </c>
      <c r="AB54" s="109">
        <v>42071</v>
      </c>
      <c r="AC54" s="109">
        <v>42071</v>
      </c>
      <c r="AD54" s="124">
        <v>42071</v>
      </c>
      <c r="AE54" s="111"/>
      <c r="AF54" s="110">
        <v>2077550</v>
      </c>
      <c r="AG54" s="110">
        <v>0</v>
      </c>
      <c r="AH54" s="112"/>
      <c r="AI54" s="113">
        <f>(68/139856)*Z54</f>
        <v>20.455525683560232</v>
      </c>
      <c r="AJ54" s="116" t="s">
        <v>377</v>
      </c>
      <c r="AK54" s="68">
        <v>20.455525683560232</v>
      </c>
      <c r="AL54" s="68">
        <v>20.455525683560232</v>
      </c>
      <c r="AM54" s="112">
        <v>20.455525683560232</v>
      </c>
      <c r="AN54" s="111">
        <f>IF(Level1[[#This Row],[Standardised_Normalised_Mass_kg/capita/year]]&lt;&gt;"",Level1[[#This Row],[Standardised_Normalised_Mass_kg/capita/year]],Level1[[#This Row],[Derived_Normalised_kg/capita/year]])</f>
        <v>20.455525683560232</v>
      </c>
      <c r="AO54" s="68">
        <f>IF(Level1[[#This Row],[Household]]=1,IF(Level1[[#This Row],[Household_Diary?]]=1,'Cover Sheet'!$R$31,1),1)</f>
        <v>1</v>
      </c>
      <c r="AP54" s="68">
        <f>IF(Level1[[#This Row],[Household]]=1,IF(Level1[[#This Row],[Edible_Waste_Only?]]=1,'Cover Sheet'!$R$32,1),1)</f>
        <v>1</v>
      </c>
      <c r="AQ54" s="68">
        <f>IF(Level1[[#This Row],[Food_Service]]=1,IF(Level1[[#This Row],[Edible_Waste_Only?]]=1,'Cover Sheet'!$R$33,1),1)</f>
        <v>1</v>
      </c>
      <c r="AR54" s="68">
        <f>IF(Level1[[#This Row],[Retail]]=1,IF(Level1[[#This Row],[Edible_Waste_Only?]]=1,'Cover Sheet'!$R$34,1),1)</f>
        <v>1</v>
      </c>
      <c r="AS54" s="68">
        <f>PRODUCT(Level1[[#This Row],[Household_Diary_Adjustment]:[Retail_Inedible_Adjustment]])</f>
        <v>1</v>
      </c>
      <c r="AT54" s="114">
        <f>Level1[[#This Row],[Preferred_estimate_kg/capita]]*Level1[[#This Row],[Total_Adjustment]]</f>
        <v>20.455525683560232</v>
      </c>
      <c r="AU54" s="186"/>
    </row>
    <row r="55" spans="1:47" x14ac:dyDescent="0.2">
      <c r="A55" s="102">
        <v>70</v>
      </c>
      <c r="B55" s="116" t="s">
        <v>661</v>
      </c>
      <c r="C55" s="7">
        <v>2019</v>
      </c>
      <c r="D55" s="103" t="s">
        <v>416</v>
      </c>
      <c r="E55" s="104" t="s">
        <v>134</v>
      </c>
      <c r="F55" s="7">
        <v>705</v>
      </c>
      <c r="G55" s="7" t="s">
        <v>155</v>
      </c>
      <c r="H55" s="7" t="s">
        <v>159</v>
      </c>
      <c r="I55" s="7" t="s">
        <v>161</v>
      </c>
      <c r="J55" s="7" t="s">
        <v>165</v>
      </c>
      <c r="K55" s="7"/>
      <c r="L55" s="105">
        <v>2.0787</v>
      </c>
      <c r="M55" s="104"/>
      <c r="N55" s="7"/>
      <c r="O55" s="105">
        <v>1</v>
      </c>
      <c r="P55" s="104" t="s">
        <v>229</v>
      </c>
      <c r="Q55" s="7">
        <v>2</v>
      </c>
      <c r="R55" s="7" t="s">
        <v>333</v>
      </c>
      <c r="S55" s="8"/>
      <c r="T55" s="8"/>
      <c r="U55" s="128">
        <v>2018</v>
      </c>
      <c r="V55" s="107"/>
      <c r="W55" s="7"/>
      <c r="X55" s="129"/>
      <c r="Y55" s="130" t="s">
        <v>484</v>
      </c>
      <c r="Z55" s="108">
        <v>13763</v>
      </c>
      <c r="AA55" s="7" t="s">
        <v>365</v>
      </c>
      <c r="AB55" s="109">
        <v>13763</v>
      </c>
      <c r="AC55" s="109">
        <v>13763</v>
      </c>
      <c r="AD55" s="110">
        <v>13763</v>
      </c>
      <c r="AE55" s="111"/>
      <c r="AF55" s="110">
        <v>2077550</v>
      </c>
      <c r="AG55" s="110">
        <v>0</v>
      </c>
      <c r="AH55" s="112"/>
      <c r="AI55" s="113">
        <f>(68/139856)*Z55</f>
        <v>6.6917686763528197</v>
      </c>
      <c r="AJ55" s="7" t="s">
        <v>377</v>
      </c>
      <c r="AK55" s="68">
        <v>6.6917686763528197</v>
      </c>
      <c r="AL55" s="68">
        <v>6.6917686763528197</v>
      </c>
      <c r="AM55" s="112">
        <v>6.6917686763528197</v>
      </c>
      <c r="AN55" s="111">
        <f>IF(Level1[[#This Row],[Standardised_Normalised_Mass_kg/capita/year]]&lt;&gt;"",Level1[[#This Row],[Standardised_Normalised_Mass_kg/capita/year]],Level1[[#This Row],[Derived_Normalised_kg/capita/year]])</f>
        <v>6.6917686763528197</v>
      </c>
      <c r="AO55" s="68">
        <f>IF(Level1[[#This Row],[Household]]=1,IF(Level1[[#This Row],[Household_Diary?]]=1,'Cover Sheet'!$R$31,1),1)</f>
        <v>1</v>
      </c>
      <c r="AP55" s="68">
        <f>IF(Level1[[#This Row],[Household]]=1,IF(Level1[[#This Row],[Edible_Waste_Only?]]=1,'Cover Sheet'!$R$32,1),1)</f>
        <v>1</v>
      </c>
      <c r="AQ55" s="68">
        <f>IF(Level1[[#This Row],[Food_Service]]=1,IF(Level1[[#This Row],[Edible_Waste_Only?]]=1,'Cover Sheet'!$R$33,1),1)</f>
        <v>1</v>
      </c>
      <c r="AR55" s="68">
        <f>IF(Level1[[#This Row],[Retail]]=1,IF(Level1[[#This Row],[Edible_Waste_Only?]]=1,'Cover Sheet'!$R$34,1),1)</f>
        <v>1</v>
      </c>
      <c r="AS55" s="68">
        <f>PRODUCT(Level1[[#This Row],[Household_Diary_Adjustment]:[Retail_Inedible_Adjustment]])</f>
        <v>1</v>
      </c>
      <c r="AT55" s="114">
        <f>Level1[[#This Row],[Preferred_estimate_kg/capita]]*Level1[[#This Row],[Total_Adjustment]]</f>
        <v>6.6917686763528197</v>
      </c>
      <c r="AU55" s="186"/>
    </row>
    <row r="56" spans="1:47" x14ac:dyDescent="0.2">
      <c r="A56" s="115">
        <v>83</v>
      </c>
      <c r="B56" s="116" t="s">
        <v>682</v>
      </c>
      <c r="C56" s="116">
        <v>2019</v>
      </c>
      <c r="D56" s="117" t="s">
        <v>87</v>
      </c>
      <c r="E56" s="118" t="s">
        <v>143</v>
      </c>
      <c r="F56" s="116">
        <v>704</v>
      </c>
      <c r="G56" s="116" t="s">
        <v>157</v>
      </c>
      <c r="H56" s="116" t="s">
        <v>160</v>
      </c>
      <c r="I56" s="7" t="s">
        <v>162</v>
      </c>
      <c r="J56" s="7" t="s">
        <v>166</v>
      </c>
      <c r="K56" s="116" t="s">
        <v>218</v>
      </c>
      <c r="L56" s="105">
        <v>96.462100000000007</v>
      </c>
      <c r="M56" s="118">
        <v>1</v>
      </c>
      <c r="N56" s="116"/>
      <c r="O56" s="119"/>
      <c r="P56" s="118" t="s">
        <v>225</v>
      </c>
      <c r="Q56" s="116">
        <v>2</v>
      </c>
      <c r="R56" s="116" t="s">
        <v>355</v>
      </c>
      <c r="S56" s="120"/>
      <c r="T56" s="120"/>
      <c r="U56" s="125">
        <v>2018</v>
      </c>
      <c r="V56" s="122">
        <v>0.61709999999999998</v>
      </c>
      <c r="W56" s="116" t="s">
        <v>361</v>
      </c>
      <c r="X56" s="131"/>
      <c r="Y56" s="127"/>
      <c r="Z56" s="123">
        <v>69088.509999999995</v>
      </c>
      <c r="AA56" s="7" t="s">
        <v>365</v>
      </c>
      <c r="AB56" s="109">
        <v>69088.509999999995</v>
      </c>
      <c r="AC56" s="109">
        <v>69088.509999999995</v>
      </c>
      <c r="AD56" s="124">
        <v>69088.509999999995</v>
      </c>
      <c r="AE56" s="111">
        <v>0</v>
      </c>
      <c r="AF56" s="110">
        <v>0</v>
      </c>
      <c r="AG56" s="110">
        <v>0</v>
      </c>
      <c r="AH56" s="112">
        <v>0</v>
      </c>
      <c r="AI56" s="113">
        <f>297*Level1[[#This Row],[FW_Share_estimate]]</f>
        <v>183.27869999999999</v>
      </c>
      <c r="AJ56" s="116" t="s">
        <v>378</v>
      </c>
      <c r="AK56" s="68">
        <v>0.18327869999999999</v>
      </c>
      <c r="AL56" s="68">
        <v>66.942545174999992</v>
      </c>
      <c r="AM56" s="112">
        <v>66.942545174999992</v>
      </c>
      <c r="AN56" s="111">
        <f>IF(Level1[[#This Row],[Standardised_Normalised_Mass_kg/capita/year]]&lt;&gt;"",Level1[[#This Row],[Standardised_Normalised_Mass_kg/capita/year]],Level1[[#This Row],[Derived_Normalised_kg/capita/year]])</f>
        <v>66.942545174999992</v>
      </c>
      <c r="AO56" s="68">
        <f>IF(Level1[[#This Row],[Household]]=1,IF(Level1[[#This Row],[Household_Diary?]]=1,'Cover Sheet'!$R$31,1),1)</f>
        <v>1</v>
      </c>
      <c r="AP56" s="68">
        <f>IF(Level1[[#This Row],[Household]]=1,IF(Level1[[#This Row],[Edible_Waste_Only?]]=1,'Cover Sheet'!$R$32,1),1)</f>
        <v>1</v>
      </c>
      <c r="AQ56" s="68">
        <f>IF(Level1[[#This Row],[Food_Service]]=1,IF(Level1[[#This Row],[Edible_Waste_Only?]]=1,'Cover Sheet'!$R$33,1),1)</f>
        <v>1</v>
      </c>
      <c r="AR56" s="68">
        <f>IF(Level1[[#This Row],[Retail]]=1,IF(Level1[[#This Row],[Edible_Waste_Only?]]=1,'Cover Sheet'!$R$34,1),1)</f>
        <v>1</v>
      </c>
      <c r="AS56" s="68">
        <f>PRODUCT(Level1[[#This Row],[Household_Diary_Adjustment]:[Retail_Inedible_Adjustment]])</f>
        <v>1</v>
      </c>
      <c r="AT56" s="114">
        <f>Level1[[#This Row],[Preferred_estimate_kg/capita]]*Level1[[#This Row],[Total_Adjustment]]</f>
        <v>66.942545174999992</v>
      </c>
      <c r="AU56" s="186"/>
    </row>
    <row r="57" spans="1:47" x14ac:dyDescent="0.2">
      <c r="A57" s="102">
        <v>4</v>
      </c>
      <c r="B57" s="116" t="s">
        <v>542</v>
      </c>
      <c r="C57" s="7">
        <v>2018</v>
      </c>
      <c r="D57" s="103" t="s">
        <v>14</v>
      </c>
      <c r="E57" s="104" t="s">
        <v>93</v>
      </c>
      <c r="F57" s="7">
        <v>48</v>
      </c>
      <c r="G57" s="7" t="s">
        <v>148</v>
      </c>
      <c r="H57" s="7" t="s">
        <v>160</v>
      </c>
      <c r="I57" s="7" t="s">
        <v>161</v>
      </c>
      <c r="J57" s="7" t="s">
        <v>165</v>
      </c>
      <c r="K57" s="7"/>
      <c r="L57" s="105">
        <v>1.6412</v>
      </c>
      <c r="M57" s="104">
        <v>1</v>
      </c>
      <c r="N57" s="7"/>
      <c r="O57" s="105"/>
      <c r="P57" s="104" t="s">
        <v>225</v>
      </c>
      <c r="Q57" s="7">
        <v>2</v>
      </c>
      <c r="R57" s="7" t="s">
        <v>238</v>
      </c>
      <c r="S57" s="8"/>
      <c r="T57" s="8"/>
      <c r="U57" s="128">
        <v>2017</v>
      </c>
      <c r="V57" s="107">
        <v>0.35199999999999998</v>
      </c>
      <c r="W57" s="7" t="s">
        <v>361</v>
      </c>
      <c r="X57" s="132"/>
      <c r="Y57" s="133"/>
      <c r="Z57" s="108">
        <f>559053*Level1[[#This Row],[FW_Share_estimate]]</f>
        <v>196786.65599999999</v>
      </c>
      <c r="AA57" s="7" t="s">
        <v>365</v>
      </c>
      <c r="AB57" s="109">
        <v>196786.65600000002</v>
      </c>
      <c r="AC57" s="109">
        <v>196786.65600000002</v>
      </c>
      <c r="AD57" s="110">
        <v>196786.65600000002</v>
      </c>
      <c r="AE57" s="111">
        <v>1</v>
      </c>
      <c r="AF57" s="110">
        <v>1494100</v>
      </c>
      <c r="AG57" s="110">
        <v>0</v>
      </c>
      <c r="AH57" s="112">
        <v>131.70916002944918</v>
      </c>
      <c r="AI57" s="113"/>
      <c r="AJ57" s="7"/>
      <c r="AK57" s="68" t="s">
        <v>374</v>
      </c>
      <c r="AL57" s="68" t="s">
        <v>374</v>
      </c>
      <c r="AM57" s="112" t="s">
        <v>374</v>
      </c>
      <c r="AN57" s="111">
        <f>IF(Level1[[#This Row],[Standardised_Normalised_Mass_kg/capita/year]]&lt;&gt;"",Level1[[#This Row],[Standardised_Normalised_Mass_kg/capita/year]],Level1[[#This Row],[Derived_Normalised_kg/capita/year]])</f>
        <v>131.70916002944918</v>
      </c>
      <c r="AO57" s="68">
        <f>IF(Level1[[#This Row],[Household]]=1,IF(Level1[[#This Row],[Household_Diary?]]=1,'Cover Sheet'!$R$31,1),1)</f>
        <v>1</v>
      </c>
      <c r="AP57" s="68">
        <f>IF(Level1[[#This Row],[Household]]=1,IF(Level1[[#This Row],[Edible_Waste_Only?]]=1,'Cover Sheet'!$R$32,1),1)</f>
        <v>1</v>
      </c>
      <c r="AQ57" s="68">
        <f>IF(Level1[[#This Row],[Food_Service]]=1,IF(Level1[[#This Row],[Edible_Waste_Only?]]=1,'Cover Sheet'!$R$33,1),1)</f>
        <v>1</v>
      </c>
      <c r="AR57" s="68">
        <f>IF(Level1[[#This Row],[Retail]]=1,IF(Level1[[#This Row],[Edible_Waste_Only?]]=1,'Cover Sheet'!$R$34,1),1)</f>
        <v>1</v>
      </c>
      <c r="AS57" s="68">
        <f>PRODUCT(Level1[[#This Row],[Household_Diary_Adjustment]:[Retail_Inedible_Adjustment]])</f>
        <v>1</v>
      </c>
      <c r="AT57" s="114">
        <f>Level1[[#This Row],[Preferred_estimate_kg/capita]]*Level1[[#This Row],[Total_Adjustment]]</f>
        <v>131.70916002944918</v>
      </c>
      <c r="AU57" s="186"/>
    </row>
    <row r="58" spans="1:47" x14ac:dyDescent="0.2">
      <c r="A58" s="115">
        <v>10</v>
      </c>
      <c r="B58" s="116" t="s">
        <v>556</v>
      </c>
      <c r="C58" s="116">
        <v>2018</v>
      </c>
      <c r="D58" s="117" t="s">
        <v>20</v>
      </c>
      <c r="E58" s="118" t="s">
        <v>97</v>
      </c>
      <c r="F58" s="116">
        <v>76</v>
      </c>
      <c r="G58" s="116" t="s">
        <v>150</v>
      </c>
      <c r="H58" s="116" t="s">
        <v>160</v>
      </c>
      <c r="I58" s="7" t="s">
        <v>163</v>
      </c>
      <c r="J58" s="7" t="s">
        <v>165</v>
      </c>
      <c r="K58" s="116"/>
      <c r="L58" s="105">
        <v>211.04949999999999</v>
      </c>
      <c r="M58" s="118">
        <v>1</v>
      </c>
      <c r="N58" s="116"/>
      <c r="O58" s="119"/>
      <c r="P58" s="118" t="s">
        <v>227</v>
      </c>
      <c r="Q58" s="116">
        <v>2</v>
      </c>
      <c r="R58" s="116" t="s">
        <v>249</v>
      </c>
      <c r="S58" s="120">
        <v>1</v>
      </c>
      <c r="T58" s="120"/>
      <c r="U58" s="125"/>
      <c r="V58" s="122"/>
      <c r="W58" s="116"/>
      <c r="X58" s="131"/>
      <c r="Y58" s="127"/>
      <c r="Z58" s="123"/>
      <c r="AA58" s="7"/>
      <c r="AB58" s="109" t="s">
        <v>374</v>
      </c>
      <c r="AC58" s="109" t="s">
        <v>374</v>
      </c>
      <c r="AD58" s="124" t="s">
        <v>374</v>
      </c>
      <c r="AE58" s="111">
        <v>0</v>
      </c>
      <c r="AF58" s="110">
        <v>0</v>
      </c>
      <c r="AG58" s="110">
        <v>0</v>
      </c>
      <c r="AH58" s="112">
        <v>0</v>
      </c>
      <c r="AI58" s="113">
        <v>41.6</v>
      </c>
      <c r="AJ58" s="116" t="s">
        <v>377</v>
      </c>
      <c r="AK58" s="68">
        <v>41.6</v>
      </c>
      <c r="AL58" s="68">
        <v>41.6</v>
      </c>
      <c r="AM58" s="112">
        <v>41.6</v>
      </c>
      <c r="AN58" s="111">
        <f>IF(Level1[[#This Row],[Standardised_Normalised_Mass_kg/capita/year]]&lt;&gt;"",Level1[[#This Row],[Standardised_Normalised_Mass_kg/capita/year]],Level1[[#This Row],[Derived_Normalised_kg/capita/year]])</f>
        <v>41.6</v>
      </c>
      <c r="AO58" s="68">
        <f>IF(Level1[[#This Row],[Household]]=1,IF(Level1[[#This Row],[Household_Diary?]]=1,'Cover Sheet'!$R$31,1),1)</f>
        <v>1.4326647564469914</v>
      </c>
      <c r="AP58" s="68">
        <f>IF(Level1[[#This Row],[Household]]=1,IF(Level1[[#This Row],[Edible_Waste_Only?]]=1,'Cover Sheet'!$R$32,1),1)</f>
        <v>1</v>
      </c>
      <c r="AQ58" s="68">
        <f>IF(Level1[[#This Row],[Food_Service]]=1,IF(Level1[[#This Row],[Edible_Waste_Only?]]=1,'Cover Sheet'!$R$33,1),1)</f>
        <v>1</v>
      </c>
      <c r="AR58" s="68">
        <f>IF(Level1[[#This Row],[Retail]]=1,IF(Level1[[#This Row],[Edible_Waste_Only?]]=1,'Cover Sheet'!$R$34,1),1)</f>
        <v>1</v>
      </c>
      <c r="AS58" s="68">
        <f>PRODUCT(Level1[[#This Row],[Household_Diary_Adjustment]:[Retail_Inedible_Adjustment]])</f>
        <v>1.4326647564469914</v>
      </c>
      <c r="AT58" s="114">
        <f>Level1[[#This Row],[Preferred_estimate_kg/capita]]*Level1[[#This Row],[Total_Adjustment]]</f>
        <v>59.598853868194844</v>
      </c>
      <c r="AU58" s="186"/>
    </row>
    <row r="59" spans="1:47" x14ac:dyDescent="0.2">
      <c r="A59" s="115">
        <v>22</v>
      </c>
      <c r="B59" s="116" t="s">
        <v>577</v>
      </c>
      <c r="C59" s="116">
        <v>2018</v>
      </c>
      <c r="D59" s="117" t="s">
        <v>30</v>
      </c>
      <c r="E59" s="118" t="s">
        <v>101</v>
      </c>
      <c r="F59" s="116">
        <v>208</v>
      </c>
      <c r="G59" s="116" t="s">
        <v>153</v>
      </c>
      <c r="H59" s="116" t="s">
        <v>159</v>
      </c>
      <c r="I59" s="7" t="s">
        <v>161</v>
      </c>
      <c r="J59" s="7" t="s">
        <v>165</v>
      </c>
      <c r="K59" s="116"/>
      <c r="L59" s="105">
        <v>5.7718999999999996</v>
      </c>
      <c r="M59" s="118">
        <v>1</v>
      </c>
      <c r="N59" s="116"/>
      <c r="O59" s="119"/>
      <c r="P59" s="118" t="s">
        <v>225</v>
      </c>
      <c r="Q59" s="116">
        <v>1</v>
      </c>
      <c r="R59" s="116" t="s">
        <v>262</v>
      </c>
      <c r="S59" s="120"/>
      <c r="T59" s="120"/>
      <c r="U59" s="125">
        <v>2017</v>
      </c>
      <c r="V59" s="122">
        <f>24.8%+21%</f>
        <v>0.45799999999999996</v>
      </c>
      <c r="W59" s="116" t="s">
        <v>361</v>
      </c>
      <c r="X59" s="122">
        <f>246977/Level1[[#This Row],[Mass_estimate]]</f>
        <v>0.54217623905393508</v>
      </c>
      <c r="Y59" s="119" t="s">
        <v>502</v>
      </c>
      <c r="Z59" s="123">
        <v>455529</v>
      </c>
      <c r="AA59" s="7" t="s">
        <v>365</v>
      </c>
      <c r="AB59" s="109">
        <v>455529</v>
      </c>
      <c r="AC59" s="109">
        <v>455529</v>
      </c>
      <c r="AD59" s="124">
        <v>455529</v>
      </c>
      <c r="AE59" s="111">
        <v>1</v>
      </c>
      <c r="AF59" s="110">
        <v>5732300</v>
      </c>
      <c r="AG59" s="110">
        <v>0</v>
      </c>
      <c r="AH59" s="112">
        <v>79.4670551087696</v>
      </c>
      <c r="AI59" s="113"/>
      <c r="AJ59" s="140"/>
      <c r="AK59" s="68" t="s">
        <v>374</v>
      </c>
      <c r="AL59" s="68" t="s">
        <v>374</v>
      </c>
      <c r="AM59" s="112" t="s">
        <v>374</v>
      </c>
      <c r="AN59" s="111">
        <f>IF(Level1[[#This Row],[Standardised_Normalised_Mass_kg/capita/year]]&lt;&gt;"",Level1[[#This Row],[Standardised_Normalised_Mass_kg/capita/year]],Level1[[#This Row],[Derived_Normalised_kg/capita/year]])</f>
        <v>79.4670551087696</v>
      </c>
      <c r="AO59" s="68">
        <f>IF(Level1[[#This Row],[Household]]=1,IF(Level1[[#This Row],[Household_Diary?]]=1,'Cover Sheet'!$R$31,1),1)</f>
        <v>1</v>
      </c>
      <c r="AP59" s="68">
        <f>IF(Level1[[#This Row],[Household]]=1,IF(Level1[[#This Row],[Edible_Waste_Only?]]=1,'Cover Sheet'!$R$32,1),1)</f>
        <v>1</v>
      </c>
      <c r="AQ59" s="68">
        <f>IF(Level1[[#This Row],[Food_Service]]=1,IF(Level1[[#This Row],[Edible_Waste_Only?]]=1,'Cover Sheet'!$R$33,1),1)</f>
        <v>1</v>
      </c>
      <c r="AR59" s="68">
        <f>IF(Level1[[#This Row],[Retail]]=1,IF(Level1[[#This Row],[Edible_Waste_Only?]]=1,'Cover Sheet'!$R$34,1),1)</f>
        <v>1</v>
      </c>
      <c r="AS59" s="68">
        <f>PRODUCT(Level1[[#This Row],[Household_Diary_Adjustment]:[Retail_Inedible_Adjustment]])</f>
        <v>1</v>
      </c>
      <c r="AT59" s="114">
        <f>Level1[[#This Row],[Preferred_estimate_kg/capita]]*Level1[[#This Row],[Total_Adjustment]]</f>
        <v>79.4670551087696</v>
      </c>
      <c r="AU59" s="186"/>
    </row>
    <row r="60" spans="1:47" x14ac:dyDescent="0.2">
      <c r="A60" s="102">
        <v>44</v>
      </c>
      <c r="B60" s="116" t="s">
        <v>619</v>
      </c>
      <c r="C60" s="7">
        <v>2018</v>
      </c>
      <c r="D60" s="103" t="s">
        <v>53</v>
      </c>
      <c r="E60" s="104" t="s">
        <v>115</v>
      </c>
      <c r="F60" s="7">
        <v>376</v>
      </c>
      <c r="G60" s="7" t="s">
        <v>148</v>
      </c>
      <c r="H60" s="7" t="s">
        <v>159</v>
      </c>
      <c r="I60" s="7" t="s">
        <v>161</v>
      </c>
      <c r="J60" s="7" t="s">
        <v>166</v>
      </c>
      <c r="K60" s="7" t="s">
        <v>194</v>
      </c>
      <c r="L60" s="105">
        <v>8.5193999999999992</v>
      </c>
      <c r="M60" s="104">
        <v>1</v>
      </c>
      <c r="N60" s="7"/>
      <c r="O60" s="105"/>
      <c r="P60" s="104" t="s">
        <v>225</v>
      </c>
      <c r="Q60" s="7">
        <v>2</v>
      </c>
      <c r="R60" s="7" t="s">
        <v>296</v>
      </c>
      <c r="S60" s="8"/>
      <c r="T60" s="8"/>
      <c r="U60" s="128">
        <v>2016</v>
      </c>
      <c r="V60" s="107">
        <v>0.45</v>
      </c>
      <c r="W60" s="7" t="s">
        <v>361</v>
      </c>
      <c r="X60" s="129">
        <v>0.54</v>
      </c>
      <c r="Y60" s="130" t="s">
        <v>503</v>
      </c>
      <c r="Z60" s="108"/>
      <c r="AA60" s="7"/>
      <c r="AB60" s="109" t="s">
        <v>374</v>
      </c>
      <c r="AC60" s="109" t="s">
        <v>374</v>
      </c>
      <c r="AD60" s="110" t="s">
        <v>374</v>
      </c>
      <c r="AE60" s="111">
        <v>0</v>
      </c>
      <c r="AF60" s="110">
        <v>0</v>
      </c>
      <c r="AG60" s="110">
        <v>0</v>
      </c>
      <c r="AH60" s="112">
        <v>0</v>
      </c>
      <c r="AI60" s="113">
        <f>0.573*Level1[[#This Row],[FW_Share_estimate]]</f>
        <v>0.25784999999999997</v>
      </c>
      <c r="AJ60" s="7" t="s">
        <v>375</v>
      </c>
      <c r="AK60" s="68">
        <v>0.25784999999999997</v>
      </c>
      <c r="AL60" s="68">
        <v>94.179712499999994</v>
      </c>
      <c r="AM60" s="112">
        <v>94.179712499999994</v>
      </c>
      <c r="AN60" s="111">
        <f>IF(Level1[[#This Row],[Standardised_Normalised_Mass_kg/capita/year]]&lt;&gt;"",Level1[[#This Row],[Standardised_Normalised_Mass_kg/capita/year]],Level1[[#This Row],[Derived_Normalised_kg/capita/year]])</f>
        <v>94.179712499999994</v>
      </c>
      <c r="AO60" s="68">
        <f>IF(Level1[[#This Row],[Household]]=1,IF(Level1[[#This Row],[Household_Diary?]]=1,'Cover Sheet'!$R$31,1),1)</f>
        <v>1</v>
      </c>
      <c r="AP60" s="68">
        <f>IF(Level1[[#This Row],[Household]]=1,IF(Level1[[#This Row],[Edible_Waste_Only?]]=1,'Cover Sheet'!$R$32,1),1)</f>
        <v>1</v>
      </c>
      <c r="AQ60" s="68">
        <f>IF(Level1[[#This Row],[Food_Service]]=1,IF(Level1[[#This Row],[Edible_Waste_Only?]]=1,'Cover Sheet'!$R$33,1),1)</f>
        <v>1</v>
      </c>
      <c r="AR60" s="68">
        <f>IF(Level1[[#This Row],[Retail]]=1,IF(Level1[[#This Row],[Edible_Waste_Only?]]=1,'Cover Sheet'!$R$34,1),1)</f>
        <v>1</v>
      </c>
      <c r="AS60" s="68">
        <f>PRODUCT(Level1[[#This Row],[Household_Diary_Adjustment]:[Retail_Inedible_Adjustment]])</f>
        <v>1</v>
      </c>
      <c r="AT60" s="114">
        <f>Level1[[#This Row],[Preferred_estimate_kg/capita]]*Level1[[#This Row],[Total_Adjustment]]</f>
        <v>94.179712499999994</v>
      </c>
      <c r="AU60" s="186"/>
    </row>
    <row r="61" spans="1:47" x14ac:dyDescent="0.2">
      <c r="A61" s="102">
        <v>57</v>
      </c>
      <c r="B61" s="116" t="s">
        <v>5</v>
      </c>
      <c r="C61" s="7">
        <v>2018</v>
      </c>
      <c r="D61" s="103" t="s">
        <v>65</v>
      </c>
      <c r="E61" s="104" t="s">
        <v>125</v>
      </c>
      <c r="F61" s="7">
        <v>554</v>
      </c>
      <c r="G61" s="7" t="s">
        <v>146</v>
      </c>
      <c r="H61" s="7" t="s">
        <v>159</v>
      </c>
      <c r="I61" s="7" t="s">
        <v>161</v>
      </c>
      <c r="J61" s="7" t="s">
        <v>165</v>
      </c>
      <c r="K61" s="7"/>
      <c r="L61" s="105">
        <v>4.7831000000000001</v>
      </c>
      <c r="M61" s="104">
        <v>1</v>
      </c>
      <c r="N61" s="7"/>
      <c r="O61" s="105"/>
      <c r="P61" s="104" t="s">
        <v>225</v>
      </c>
      <c r="Q61" s="7">
        <v>1</v>
      </c>
      <c r="R61" s="7" t="s">
        <v>318</v>
      </c>
      <c r="S61" s="8"/>
      <c r="T61" s="8"/>
      <c r="U61" s="128">
        <v>2018</v>
      </c>
      <c r="V61" s="107">
        <v>0.34100000000000003</v>
      </c>
      <c r="W61" s="7" t="s">
        <v>362</v>
      </c>
      <c r="X61" s="107">
        <f>48.8%</f>
        <v>0.48799999999999999</v>
      </c>
      <c r="Y61" s="105" t="s">
        <v>506</v>
      </c>
      <c r="Z61" s="108">
        <v>157398</v>
      </c>
      <c r="AA61" s="7" t="s">
        <v>365</v>
      </c>
      <c r="AB61" s="109">
        <v>157398</v>
      </c>
      <c r="AC61" s="109">
        <v>157398</v>
      </c>
      <c r="AD61" s="110">
        <v>157398</v>
      </c>
      <c r="AE61" s="111">
        <v>0</v>
      </c>
      <c r="AF61" s="110">
        <v>0</v>
      </c>
      <c r="AG61" s="110">
        <v>0</v>
      </c>
      <c r="AH61" s="112">
        <v>0</v>
      </c>
      <c r="AI61" s="113">
        <v>61</v>
      </c>
      <c r="AJ61" s="7" t="s">
        <v>377</v>
      </c>
      <c r="AK61" s="68">
        <v>61</v>
      </c>
      <c r="AL61" s="68">
        <v>61</v>
      </c>
      <c r="AM61" s="112">
        <v>61</v>
      </c>
      <c r="AN61" s="111">
        <f>IF(Level1[[#This Row],[Standardised_Normalised_Mass_kg/capita/year]]&lt;&gt;"",Level1[[#This Row],[Standardised_Normalised_Mass_kg/capita/year]],Level1[[#This Row],[Derived_Normalised_kg/capita/year]])</f>
        <v>61</v>
      </c>
      <c r="AO61" s="68">
        <f>IF(Level1[[#This Row],[Household]]=1,IF(Level1[[#This Row],[Household_Diary?]]=1,'Cover Sheet'!$R$31,1),1)</f>
        <v>1</v>
      </c>
      <c r="AP61" s="68">
        <f>IF(Level1[[#This Row],[Household]]=1,IF(Level1[[#This Row],[Edible_Waste_Only?]]=1,'Cover Sheet'!$R$32,1),1)</f>
        <v>1</v>
      </c>
      <c r="AQ61" s="68">
        <f>IF(Level1[[#This Row],[Food_Service]]=1,IF(Level1[[#This Row],[Edible_Waste_Only?]]=1,'Cover Sheet'!$R$33,1),1)</f>
        <v>1</v>
      </c>
      <c r="AR61" s="68">
        <f>IF(Level1[[#This Row],[Retail]]=1,IF(Level1[[#This Row],[Edible_Waste_Only?]]=1,'Cover Sheet'!$R$34,1),1)</f>
        <v>1</v>
      </c>
      <c r="AS61" s="68">
        <f>PRODUCT(Level1[[#This Row],[Household_Diary_Adjustment]:[Retail_Inedible_Adjustment]])</f>
        <v>1</v>
      </c>
      <c r="AT61" s="114">
        <f>Level1[[#This Row],[Preferred_estimate_kg/capita]]*Level1[[#This Row],[Total_Adjustment]]</f>
        <v>61</v>
      </c>
      <c r="AU61" s="186"/>
    </row>
    <row r="62" spans="1:47" x14ac:dyDescent="0.2">
      <c r="A62" s="102">
        <v>69</v>
      </c>
      <c r="B62" s="116" t="s">
        <v>659</v>
      </c>
      <c r="C62" s="7">
        <v>2018</v>
      </c>
      <c r="D62" s="103" t="s">
        <v>415</v>
      </c>
      <c r="E62" s="104" t="s">
        <v>134</v>
      </c>
      <c r="F62" s="7">
        <v>705</v>
      </c>
      <c r="G62" s="7" t="s">
        <v>155</v>
      </c>
      <c r="H62" s="7" t="s">
        <v>159</v>
      </c>
      <c r="I62" s="7" t="s">
        <v>161</v>
      </c>
      <c r="J62" s="7" t="s">
        <v>165</v>
      </c>
      <c r="K62" s="7"/>
      <c r="L62" s="105">
        <v>2.0787</v>
      </c>
      <c r="M62" s="104">
        <v>1</v>
      </c>
      <c r="N62" s="7"/>
      <c r="O62" s="105"/>
      <c r="P62" s="104" t="s">
        <v>229</v>
      </c>
      <c r="Q62" s="7">
        <v>2</v>
      </c>
      <c r="R62" s="7" t="s">
        <v>333</v>
      </c>
      <c r="S62" s="8"/>
      <c r="T62" s="8"/>
      <c r="U62" s="128">
        <v>2017</v>
      </c>
      <c r="V62" s="107"/>
      <c r="W62" s="7"/>
      <c r="X62" s="129"/>
      <c r="Y62" s="130"/>
      <c r="Z62" s="108">
        <v>67594</v>
      </c>
      <c r="AA62" s="7" t="s">
        <v>365</v>
      </c>
      <c r="AB62" s="109">
        <v>67594</v>
      </c>
      <c r="AC62" s="109">
        <v>67594</v>
      </c>
      <c r="AD62" s="110">
        <v>67594</v>
      </c>
      <c r="AE62" s="111">
        <v>0</v>
      </c>
      <c r="AF62" s="110">
        <v>2076400</v>
      </c>
      <c r="AG62" s="110">
        <v>0</v>
      </c>
      <c r="AH62" s="112">
        <v>0</v>
      </c>
      <c r="AI62" s="113">
        <f>(64/131761)*Z62</f>
        <v>32.832294836863717</v>
      </c>
      <c r="AJ62" s="7" t="s">
        <v>377</v>
      </c>
      <c r="AK62" s="68">
        <v>32.832294836863717</v>
      </c>
      <c r="AL62" s="68">
        <v>32.832294836863717</v>
      </c>
      <c r="AM62" s="112">
        <v>32.832294836863717</v>
      </c>
      <c r="AN62" s="111">
        <f>IF(Level1[[#This Row],[Standardised_Normalised_Mass_kg/capita/year]]&lt;&gt;"",Level1[[#This Row],[Standardised_Normalised_Mass_kg/capita/year]],Level1[[#This Row],[Derived_Normalised_kg/capita/year]])</f>
        <v>32.832294836863717</v>
      </c>
      <c r="AO62" s="68">
        <f>IF(Level1[[#This Row],[Household]]=1,IF(Level1[[#This Row],[Household_Diary?]]=1,'Cover Sheet'!$R$31,1),1)</f>
        <v>1</v>
      </c>
      <c r="AP62" s="68">
        <f>IF(Level1[[#This Row],[Household]]=1,IF(Level1[[#This Row],[Edible_Waste_Only?]]=1,'Cover Sheet'!$R$32,1),1)</f>
        <v>1</v>
      </c>
      <c r="AQ62" s="68">
        <f>IF(Level1[[#This Row],[Food_Service]]=1,IF(Level1[[#This Row],[Edible_Waste_Only?]]=1,'Cover Sheet'!$R$33,1),1)</f>
        <v>1</v>
      </c>
      <c r="AR62" s="68">
        <f>IF(Level1[[#This Row],[Retail]]=1,IF(Level1[[#This Row],[Edible_Waste_Only?]]=1,'Cover Sheet'!$R$34,1),1)</f>
        <v>1</v>
      </c>
      <c r="AS62" s="68">
        <f>PRODUCT(Level1[[#This Row],[Household_Diary_Adjustment]:[Retail_Inedible_Adjustment]])</f>
        <v>1</v>
      </c>
      <c r="AT62" s="114">
        <f>Level1[[#This Row],[Preferred_estimate_kg/capita]]*Level1[[#This Row],[Total_Adjustment]]</f>
        <v>32.832294836863717</v>
      </c>
      <c r="AU62" s="186"/>
    </row>
    <row r="63" spans="1:47" x14ac:dyDescent="0.2">
      <c r="A63" s="102">
        <v>69</v>
      </c>
      <c r="B63" s="116" t="s">
        <v>659</v>
      </c>
      <c r="C63" s="7">
        <v>2018</v>
      </c>
      <c r="D63" s="103" t="s">
        <v>415</v>
      </c>
      <c r="E63" s="104" t="s">
        <v>134</v>
      </c>
      <c r="F63" s="7">
        <v>705</v>
      </c>
      <c r="G63" s="7" t="s">
        <v>155</v>
      </c>
      <c r="H63" s="7" t="s">
        <v>159</v>
      </c>
      <c r="I63" s="7" t="s">
        <v>161</v>
      </c>
      <c r="J63" s="7" t="s">
        <v>165</v>
      </c>
      <c r="K63" s="7"/>
      <c r="L63" s="105">
        <v>2.0787</v>
      </c>
      <c r="M63" s="104"/>
      <c r="N63" s="7">
        <v>1</v>
      </c>
      <c r="O63" s="105"/>
      <c r="P63" s="104" t="s">
        <v>229</v>
      </c>
      <c r="Q63" s="7">
        <v>2</v>
      </c>
      <c r="R63" s="7" t="s">
        <v>333</v>
      </c>
      <c r="S63" s="8"/>
      <c r="T63" s="8"/>
      <c r="U63" s="128">
        <v>2017</v>
      </c>
      <c r="V63" s="107"/>
      <c r="W63" s="7"/>
      <c r="X63" s="129"/>
      <c r="Y63" s="130"/>
      <c r="Z63" s="108">
        <v>40568</v>
      </c>
      <c r="AA63" s="7" t="s">
        <v>365</v>
      </c>
      <c r="AB63" s="109">
        <v>40568</v>
      </c>
      <c r="AC63" s="109">
        <v>40568</v>
      </c>
      <c r="AD63" s="110">
        <v>40568</v>
      </c>
      <c r="AE63" s="111"/>
      <c r="AF63" s="110">
        <v>2076400</v>
      </c>
      <c r="AG63" s="110">
        <v>0</v>
      </c>
      <c r="AH63" s="112"/>
      <c r="AI63" s="113">
        <f>(64/131761)*Z63</f>
        <v>19.705011346301259</v>
      </c>
      <c r="AJ63" s="7" t="s">
        <v>377</v>
      </c>
      <c r="AK63" s="68">
        <v>19.705011346301259</v>
      </c>
      <c r="AL63" s="68">
        <v>19.705011346301259</v>
      </c>
      <c r="AM63" s="112">
        <v>19.705011346301259</v>
      </c>
      <c r="AN63" s="111">
        <f>IF(Level1[[#This Row],[Standardised_Normalised_Mass_kg/capita/year]]&lt;&gt;"",Level1[[#This Row],[Standardised_Normalised_Mass_kg/capita/year]],Level1[[#This Row],[Derived_Normalised_kg/capita/year]])</f>
        <v>19.705011346301259</v>
      </c>
      <c r="AO63" s="68">
        <f>IF(Level1[[#This Row],[Household]]=1,IF(Level1[[#This Row],[Household_Diary?]]=1,'Cover Sheet'!$R$31,1),1)</f>
        <v>1</v>
      </c>
      <c r="AP63" s="68">
        <f>IF(Level1[[#This Row],[Household]]=1,IF(Level1[[#This Row],[Edible_Waste_Only?]]=1,'Cover Sheet'!$R$32,1),1)</f>
        <v>1</v>
      </c>
      <c r="AQ63" s="68">
        <f>IF(Level1[[#This Row],[Food_Service]]=1,IF(Level1[[#This Row],[Edible_Waste_Only?]]=1,'Cover Sheet'!$R$33,1),1)</f>
        <v>1</v>
      </c>
      <c r="AR63" s="68">
        <f>IF(Level1[[#This Row],[Retail]]=1,IF(Level1[[#This Row],[Edible_Waste_Only?]]=1,'Cover Sheet'!$R$34,1),1)</f>
        <v>1</v>
      </c>
      <c r="AS63" s="68">
        <f>PRODUCT(Level1[[#This Row],[Household_Diary_Adjustment]:[Retail_Inedible_Adjustment]])</f>
        <v>1</v>
      </c>
      <c r="AT63" s="114">
        <f>Level1[[#This Row],[Preferred_estimate_kg/capita]]*Level1[[#This Row],[Total_Adjustment]]</f>
        <v>19.705011346301259</v>
      </c>
      <c r="AU63" s="186"/>
    </row>
    <row r="64" spans="1:47" x14ac:dyDescent="0.2">
      <c r="A64" s="115">
        <v>73</v>
      </c>
      <c r="B64" s="116" t="s">
        <v>666</v>
      </c>
      <c r="C64" s="116">
        <v>2018</v>
      </c>
      <c r="D64" s="117" t="s">
        <v>78</v>
      </c>
      <c r="E64" s="118" t="s">
        <v>135</v>
      </c>
      <c r="F64" s="116">
        <v>710</v>
      </c>
      <c r="G64" s="116" t="s">
        <v>154</v>
      </c>
      <c r="H64" s="116" t="s">
        <v>160</v>
      </c>
      <c r="I64" s="7" t="s">
        <v>163</v>
      </c>
      <c r="J64" s="7" t="s">
        <v>166</v>
      </c>
      <c r="K64" s="116" t="s">
        <v>203</v>
      </c>
      <c r="L64" s="105">
        <v>58.558300000000003</v>
      </c>
      <c r="M64" s="118">
        <v>1</v>
      </c>
      <c r="N64" s="116"/>
      <c r="O64" s="119"/>
      <c r="P64" s="118" t="s">
        <v>225</v>
      </c>
      <c r="Q64" s="116">
        <v>2</v>
      </c>
      <c r="R64" s="116" t="s">
        <v>336</v>
      </c>
      <c r="S64" s="120"/>
      <c r="T64" s="120"/>
      <c r="U64" s="125">
        <v>2014</v>
      </c>
      <c r="V64" s="122">
        <v>7.0000000000000007E-2</v>
      </c>
      <c r="W64" s="116" t="s">
        <v>362</v>
      </c>
      <c r="X64" s="122"/>
      <c r="Y64" s="119"/>
      <c r="Z64" s="123"/>
      <c r="AA64" s="7"/>
      <c r="AB64" s="109" t="s">
        <v>374</v>
      </c>
      <c r="AC64" s="109" t="s">
        <v>374</v>
      </c>
      <c r="AD64" s="124" t="s">
        <v>374</v>
      </c>
      <c r="AE64" s="111">
        <v>0</v>
      </c>
      <c r="AF64" s="110">
        <v>0</v>
      </c>
      <c r="AG64" s="110">
        <v>0</v>
      </c>
      <c r="AH64" s="112">
        <v>0</v>
      </c>
      <c r="AI64" s="113">
        <v>12</v>
      </c>
      <c r="AJ64" s="116" t="s">
        <v>399</v>
      </c>
      <c r="AK64" s="68">
        <v>12</v>
      </c>
      <c r="AL64" s="68">
        <v>12</v>
      </c>
      <c r="AM64" s="112">
        <v>12</v>
      </c>
      <c r="AN64" s="111">
        <f>IF(Level1[[#This Row],[Standardised_Normalised_Mass_kg/capita/year]]&lt;&gt;"",Level1[[#This Row],[Standardised_Normalised_Mass_kg/capita/year]],Level1[[#This Row],[Derived_Normalised_kg/capita/year]])</f>
        <v>12</v>
      </c>
      <c r="AO64" s="68">
        <f>IF(Level1[[#This Row],[Household]]=1,IF(Level1[[#This Row],[Household_Diary?]]=1,'Cover Sheet'!$R$31,1),1)</f>
        <v>1</v>
      </c>
      <c r="AP64" s="68">
        <f>IF(Level1[[#This Row],[Household]]=1,IF(Level1[[#This Row],[Edible_Waste_Only?]]=1,'Cover Sheet'!$R$32,1),1)</f>
        <v>1</v>
      </c>
      <c r="AQ64" s="68">
        <f>IF(Level1[[#This Row],[Food_Service]]=1,IF(Level1[[#This Row],[Edible_Waste_Only?]]=1,'Cover Sheet'!$R$33,1),1)</f>
        <v>1</v>
      </c>
      <c r="AR64" s="68">
        <f>IF(Level1[[#This Row],[Retail]]=1,IF(Level1[[#This Row],[Edible_Waste_Only?]]=1,'Cover Sheet'!$R$34,1),1)</f>
        <v>1</v>
      </c>
      <c r="AS64" s="68">
        <f>PRODUCT(Level1[[#This Row],[Household_Diary_Adjustment]:[Retail_Inedible_Adjustment]])</f>
        <v>1</v>
      </c>
      <c r="AT64" s="114">
        <f>Level1[[#This Row],[Preferred_estimate_kg/capita]]*Level1[[#This Row],[Total_Adjustment]]</f>
        <v>12</v>
      </c>
      <c r="AU64" s="186"/>
    </row>
    <row r="65" spans="1:47" x14ac:dyDescent="0.2">
      <c r="A65" s="102">
        <v>73</v>
      </c>
      <c r="B65" s="116" t="s">
        <v>666</v>
      </c>
      <c r="C65" s="7">
        <v>2018</v>
      </c>
      <c r="D65" s="103" t="s">
        <v>78</v>
      </c>
      <c r="E65" s="104" t="s">
        <v>135</v>
      </c>
      <c r="F65" s="7">
        <v>710</v>
      </c>
      <c r="G65" s="7" t="s">
        <v>154</v>
      </c>
      <c r="H65" s="7" t="s">
        <v>160</v>
      </c>
      <c r="I65" s="7" t="s">
        <v>163</v>
      </c>
      <c r="J65" s="7" t="s">
        <v>166</v>
      </c>
      <c r="K65" s="7" t="s">
        <v>204</v>
      </c>
      <c r="L65" s="105">
        <v>58.558300000000003</v>
      </c>
      <c r="M65" s="104">
        <v>1</v>
      </c>
      <c r="N65" s="7"/>
      <c r="O65" s="105"/>
      <c r="P65" s="104" t="s">
        <v>225</v>
      </c>
      <c r="Q65" s="7">
        <v>2</v>
      </c>
      <c r="R65" s="7" t="s">
        <v>337</v>
      </c>
      <c r="S65" s="8"/>
      <c r="T65" s="8"/>
      <c r="U65" s="128">
        <v>2016</v>
      </c>
      <c r="V65" s="107">
        <v>0.03</v>
      </c>
      <c r="W65" s="7" t="s">
        <v>362</v>
      </c>
      <c r="X65" s="107"/>
      <c r="Y65" s="105"/>
      <c r="Z65" s="108"/>
      <c r="AA65" s="7"/>
      <c r="AB65" s="109" t="s">
        <v>374</v>
      </c>
      <c r="AC65" s="109" t="s">
        <v>374</v>
      </c>
      <c r="AD65" s="110" t="s">
        <v>374</v>
      </c>
      <c r="AE65" s="111">
        <v>0</v>
      </c>
      <c r="AF65" s="110">
        <v>0</v>
      </c>
      <c r="AG65" s="110">
        <v>0</v>
      </c>
      <c r="AH65" s="112">
        <v>0</v>
      </c>
      <c r="AI65" s="113">
        <v>8</v>
      </c>
      <c r="AJ65" s="7" t="s">
        <v>377</v>
      </c>
      <c r="AK65" s="68">
        <v>8</v>
      </c>
      <c r="AL65" s="68">
        <v>8</v>
      </c>
      <c r="AM65" s="112">
        <v>8</v>
      </c>
      <c r="AN65" s="111">
        <f>IF(Level1[[#This Row],[Standardised_Normalised_Mass_kg/capita/year]]&lt;&gt;"",Level1[[#This Row],[Standardised_Normalised_Mass_kg/capita/year]],Level1[[#This Row],[Derived_Normalised_kg/capita/year]])</f>
        <v>8</v>
      </c>
      <c r="AO65" s="68">
        <f>IF(Level1[[#This Row],[Household]]=1,IF(Level1[[#This Row],[Household_Diary?]]=1,'Cover Sheet'!$R$31,1),1)</f>
        <v>1</v>
      </c>
      <c r="AP65" s="68">
        <f>IF(Level1[[#This Row],[Household]]=1,IF(Level1[[#This Row],[Edible_Waste_Only?]]=1,'Cover Sheet'!$R$32,1),1)</f>
        <v>1</v>
      </c>
      <c r="AQ65" s="68">
        <f>IF(Level1[[#This Row],[Food_Service]]=1,IF(Level1[[#This Row],[Edible_Waste_Only?]]=1,'Cover Sheet'!$R$33,1),1)</f>
        <v>1</v>
      </c>
      <c r="AR65" s="68">
        <f>IF(Level1[[#This Row],[Retail]]=1,IF(Level1[[#This Row],[Edible_Waste_Only?]]=1,'Cover Sheet'!$R$34,1),1)</f>
        <v>1</v>
      </c>
      <c r="AS65" s="68">
        <f>PRODUCT(Level1[[#This Row],[Household_Diary_Adjustment]:[Retail_Inedible_Adjustment]])</f>
        <v>1</v>
      </c>
      <c r="AT65" s="114">
        <f>Level1[[#This Row],[Preferred_estimate_kg/capita]]*Level1[[#This Row],[Total_Adjustment]]</f>
        <v>8</v>
      </c>
      <c r="AU65" s="186"/>
    </row>
    <row r="66" spans="1:47" x14ac:dyDescent="0.2">
      <c r="A66" s="115">
        <v>2</v>
      </c>
      <c r="B66" s="116" t="s">
        <v>538</v>
      </c>
      <c r="C66" s="116">
        <v>2017</v>
      </c>
      <c r="D66" s="117" t="s">
        <v>12</v>
      </c>
      <c r="E66" s="118" t="s">
        <v>92</v>
      </c>
      <c r="F66" s="116">
        <v>40</v>
      </c>
      <c r="G66" s="116" t="s">
        <v>147</v>
      </c>
      <c r="H66" s="116" t="s">
        <v>159</v>
      </c>
      <c r="I66" s="7" t="s">
        <v>161</v>
      </c>
      <c r="J66" s="7" t="s">
        <v>165</v>
      </c>
      <c r="K66" s="116"/>
      <c r="L66" s="105">
        <v>8.9550999999999998</v>
      </c>
      <c r="M66" s="118"/>
      <c r="N66" s="116">
        <v>1</v>
      </c>
      <c r="O66" s="119"/>
      <c r="P66" s="118" t="s">
        <v>225</v>
      </c>
      <c r="Q66" s="116">
        <v>1</v>
      </c>
      <c r="R66" s="116" t="s">
        <v>235</v>
      </c>
      <c r="S66" s="120"/>
      <c r="T66" s="120"/>
      <c r="U66" s="125">
        <v>2015</v>
      </c>
      <c r="V66" s="122"/>
      <c r="W66" s="116"/>
      <c r="X66" s="126">
        <f>175000/Level1[[#This Row],[Standardised_Mass_tonnes/year]]</f>
        <v>0.78299776286353473</v>
      </c>
      <c r="Y66" s="127" t="s">
        <v>490</v>
      </c>
      <c r="Z66" s="123">
        <f>175000+48500</f>
        <v>223500</v>
      </c>
      <c r="AA66" s="7" t="s">
        <v>365</v>
      </c>
      <c r="AB66" s="109">
        <v>223500</v>
      </c>
      <c r="AC66" s="109">
        <v>223500</v>
      </c>
      <c r="AD66" s="124">
        <v>223500</v>
      </c>
      <c r="AE66" s="111">
        <v>1</v>
      </c>
      <c r="AF66" s="110">
        <v>8702757.1428571437</v>
      </c>
      <c r="AG66" s="110">
        <v>0</v>
      </c>
      <c r="AH66" s="112">
        <v>25.68151636673435</v>
      </c>
      <c r="AI66" s="113"/>
      <c r="AJ66" s="116"/>
      <c r="AK66" s="68" t="s">
        <v>374</v>
      </c>
      <c r="AL66" s="68" t="s">
        <v>374</v>
      </c>
      <c r="AM66" s="112" t="s">
        <v>374</v>
      </c>
      <c r="AN66" s="111">
        <f>IF(Level1[[#This Row],[Standardised_Normalised_Mass_kg/capita/year]]&lt;&gt;"",Level1[[#This Row],[Standardised_Normalised_Mass_kg/capita/year]],Level1[[#This Row],[Derived_Normalised_kg/capita/year]])</f>
        <v>25.68151636673435</v>
      </c>
      <c r="AO66" s="68">
        <f>IF(Level1[[#This Row],[Household]]=1,IF(Level1[[#This Row],[Household_Diary?]]=1,'Cover Sheet'!$R$31,1),1)</f>
        <v>1</v>
      </c>
      <c r="AP66" s="68">
        <f>IF(Level1[[#This Row],[Household]]=1,IF(Level1[[#This Row],[Edible_Waste_Only?]]=1,'Cover Sheet'!$R$32,1),1)</f>
        <v>1</v>
      </c>
      <c r="AQ66" s="68">
        <f>IF(Level1[[#This Row],[Food_Service]]=1,IF(Level1[[#This Row],[Edible_Waste_Only?]]=1,'Cover Sheet'!$R$33,1),1)</f>
        <v>1</v>
      </c>
      <c r="AR66" s="68">
        <f>IF(Level1[[#This Row],[Retail]]=1,IF(Level1[[#This Row],[Edible_Waste_Only?]]=1,'Cover Sheet'!$R$34,1),1)</f>
        <v>1</v>
      </c>
      <c r="AS66" s="68">
        <f>PRODUCT(Level1[[#This Row],[Household_Diary_Adjustment]:[Retail_Inedible_Adjustment]])</f>
        <v>1</v>
      </c>
      <c r="AT66" s="114">
        <f>Level1[[#This Row],[Preferred_estimate_kg/capita]]*Level1[[#This Row],[Total_Adjustment]]</f>
        <v>25.68151636673435</v>
      </c>
      <c r="AU66" s="186"/>
    </row>
    <row r="67" spans="1:47" x14ac:dyDescent="0.2">
      <c r="A67" s="102">
        <v>2</v>
      </c>
      <c r="B67" s="116" t="s">
        <v>538</v>
      </c>
      <c r="C67" s="7">
        <v>2017</v>
      </c>
      <c r="D67" s="103" t="s">
        <v>12</v>
      </c>
      <c r="E67" s="104" t="s">
        <v>92</v>
      </c>
      <c r="F67" s="7">
        <v>40</v>
      </c>
      <c r="G67" s="7" t="s">
        <v>147</v>
      </c>
      <c r="H67" s="7" t="s">
        <v>159</v>
      </c>
      <c r="I67" s="7" t="s">
        <v>161</v>
      </c>
      <c r="J67" s="7" t="s">
        <v>165</v>
      </c>
      <c r="K67" s="7"/>
      <c r="L67" s="105">
        <v>8.9550999999999998</v>
      </c>
      <c r="M67" s="104">
        <v>1</v>
      </c>
      <c r="N67" s="7"/>
      <c r="O67" s="105"/>
      <c r="P67" s="104" t="s">
        <v>225</v>
      </c>
      <c r="Q67" s="7">
        <v>1</v>
      </c>
      <c r="R67" s="7" t="s">
        <v>234</v>
      </c>
      <c r="S67" s="8"/>
      <c r="T67" s="8"/>
      <c r="U67" s="128" t="s">
        <v>357</v>
      </c>
      <c r="V67" s="107"/>
      <c r="W67" s="7"/>
      <c r="X67" s="129">
        <f>157000/Level1[[#This Row],[Standardised_Mass_tonnes/year]]</f>
        <v>0.5688405797101449</v>
      </c>
      <c r="Y67" s="130" t="s">
        <v>500</v>
      </c>
      <c r="Z67" s="108">
        <v>276000</v>
      </c>
      <c r="AA67" s="7" t="s">
        <v>365</v>
      </c>
      <c r="AB67" s="109">
        <v>276000</v>
      </c>
      <c r="AC67" s="109">
        <v>276000</v>
      </c>
      <c r="AD67" s="110">
        <v>276000</v>
      </c>
      <c r="AE67" s="111">
        <v>0</v>
      </c>
      <c r="AF67" s="110">
        <v>0</v>
      </c>
      <c r="AG67" s="110">
        <v>0</v>
      </c>
      <c r="AH67" s="112">
        <v>0</v>
      </c>
      <c r="AI67" s="113">
        <v>39</v>
      </c>
      <c r="AJ67" s="7" t="s">
        <v>377</v>
      </c>
      <c r="AK67" s="68">
        <v>39</v>
      </c>
      <c r="AL67" s="68">
        <v>39</v>
      </c>
      <c r="AM67" s="112">
        <v>39</v>
      </c>
      <c r="AN67" s="111">
        <f>IF(Level1[[#This Row],[Standardised_Normalised_Mass_kg/capita/year]]&lt;&gt;"",Level1[[#This Row],[Standardised_Normalised_Mass_kg/capita/year]],Level1[[#This Row],[Derived_Normalised_kg/capita/year]])</f>
        <v>39</v>
      </c>
      <c r="AO67" s="68">
        <f>IF(Level1[[#This Row],[Household]]=1,IF(Level1[[#This Row],[Household_Diary?]]=1,'Cover Sheet'!$R$31,1),1)</f>
        <v>1</v>
      </c>
      <c r="AP67" s="68">
        <f>IF(Level1[[#This Row],[Household]]=1,IF(Level1[[#This Row],[Edible_Waste_Only?]]=1,'Cover Sheet'!$R$32,1),1)</f>
        <v>1</v>
      </c>
      <c r="AQ67" s="68">
        <f>IF(Level1[[#This Row],[Food_Service]]=1,IF(Level1[[#This Row],[Edible_Waste_Only?]]=1,'Cover Sheet'!$R$33,1),1)</f>
        <v>1</v>
      </c>
      <c r="AR67" s="68">
        <f>IF(Level1[[#This Row],[Retail]]=1,IF(Level1[[#This Row],[Edible_Waste_Only?]]=1,'Cover Sheet'!$R$34,1),1)</f>
        <v>1</v>
      </c>
      <c r="AS67" s="68">
        <f>PRODUCT(Level1[[#This Row],[Household_Diary_Adjustment]:[Retail_Inedible_Adjustment]])</f>
        <v>1</v>
      </c>
      <c r="AT67" s="114">
        <f>Level1[[#This Row],[Preferred_estimate_kg/capita]]*Level1[[#This Row],[Total_Adjustment]]</f>
        <v>39</v>
      </c>
      <c r="AU67" s="186"/>
    </row>
    <row r="68" spans="1:47" x14ac:dyDescent="0.2">
      <c r="A68" s="102">
        <v>2</v>
      </c>
      <c r="B68" s="116" t="s">
        <v>538</v>
      </c>
      <c r="C68" s="7">
        <v>2017</v>
      </c>
      <c r="D68" s="103" t="s">
        <v>12</v>
      </c>
      <c r="E68" s="104" t="s">
        <v>92</v>
      </c>
      <c r="F68" s="7">
        <v>40</v>
      </c>
      <c r="G68" s="7" t="s">
        <v>147</v>
      </c>
      <c r="H68" s="7" t="s">
        <v>159</v>
      </c>
      <c r="I68" s="7" t="s">
        <v>161</v>
      </c>
      <c r="J68" s="7" t="s">
        <v>165</v>
      </c>
      <c r="K68" s="7"/>
      <c r="L68" s="105">
        <v>8.9550999999999998</v>
      </c>
      <c r="M68" s="104"/>
      <c r="N68" s="7"/>
      <c r="O68" s="105">
        <v>1</v>
      </c>
      <c r="P68" s="104" t="s">
        <v>390</v>
      </c>
      <c r="Q68" s="7">
        <v>1</v>
      </c>
      <c r="R68" s="7" t="s">
        <v>236</v>
      </c>
      <c r="S68" s="8"/>
      <c r="T68" s="8"/>
      <c r="U68" s="128">
        <v>2013</v>
      </c>
      <c r="V68" s="107"/>
      <c r="W68" s="7"/>
      <c r="X68" s="129"/>
      <c r="Y68" s="130"/>
      <c r="Z68" s="108">
        <v>74100</v>
      </c>
      <c r="AA68" s="7" t="s">
        <v>365</v>
      </c>
      <c r="AB68" s="109">
        <v>74100</v>
      </c>
      <c r="AC68" s="109">
        <v>74100</v>
      </c>
      <c r="AD68" s="110">
        <v>74100</v>
      </c>
      <c r="AE68" s="111">
        <v>1</v>
      </c>
      <c r="AF68" s="110">
        <v>8585614.2857142854</v>
      </c>
      <c r="AG68" s="110">
        <v>0</v>
      </c>
      <c r="AH68" s="112">
        <v>8.6307161647473443</v>
      </c>
      <c r="AI68" s="113"/>
      <c r="AJ68" s="7"/>
      <c r="AK68" s="68" t="s">
        <v>374</v>
      </c>
      <c r="AL68" s="68" t="s">
        <v>374</v>
      </c>
      <c r="AM68" s="112" t="s">
        <v>374</v>
      </c>
      <c r="AN68" s="111">
        <f>IF(Level1[[#This Row],[Standardised_Normalised_Mass_kg/capita/year]]&lt;&gt;"",Level1[[#This Row],[Standardised_Normalised_Mass_kg/capita/year]],Level1[[#This Row],[Derived_Normalised_kg/capita/year]])</f>
        <v>8.6307161647473443</v>
      </c>
      <c r="AO68" s="68">
        <f>IF(Level1[[#This Row],[Household]]=1,IF(Level1[[#This Row],[Household_Diary?]]=1,'Cover Sheet'!$R$31,1),1)</f>
        <v>1</v>
      </c>
      <c r="AP68" s="68">
        <f>IF(Level1[[#This Row],[Household]]=1,IF(Level1[[#This Row],[Edible_Waste_Only?]]=1,'Cover Sheet'!$R$32,1),1)</f>
        <v>1</v>
      </c>
      <c r="AQ68" s="68">
        <f>IF(Level1[[#This Row],[Food_Service]]=1,IF(Level1[[#This Row],[Edible_Waste_Only?]]=1,'Cover Sheet'!$R$33,1),1)</f>
        <v>1</v>
      </c>
      <c r="AR68" s="68">
        <f>IF(Level1[[#This Row],[Retail]]=1,IF(Level1[[#This Row],[Edible_Waste_Only?]]=1,'Cover Sheet'!$R$34,1),1)</f>
        <v>1</v>
      </c>
      <c r="AS68" s="68">
        <f>PRODUCT(Level1[[#This Row],[Household_Diary_Adjustment]:[Retail_Inedible_Adjustment]])</f>
        <v>1</v>
      </c>
      <c r="AT68" s="114">
        <f>Level1[[#This Row],[Preferred_estimate_kg/capita]]*Level1[[#This Row],[Total_Adjustment]]</f>
        <v>8.6307161647473443</v>
      </c>
      <c r="AU68" s="186"/>
    </row>
    <row r="69" spans="1:47" x14ac:dyDescent="0.2">
      <c r="A69" s="115">
        <v>8</v>
      </c>
      <c r="B69" s="116" t="s">
        <v>553</v>
      </c>
      <c r="C69" s="116">
        <v>2017</v>
      </c>
      <c r="D69" s="117" t="s">
        <v>18</v>
      </c>
      <c r="E69" s="118" t="s">
        <v>95</v>
      </c>
      <c r="F69" s="116">
        <v>56</v>
      </c>
      <c r="G69" s="116" t="s">
        <v>147</v>
      </c>
      <c r="H69" s="116" t="s">
        <v>159</v>
      </c>
      <c r="I69" s="7" t="s">
        <v>161</v>
      </c>
      <c r="J69" s="7" t="s">
        <v>166</v>
      </c>
      <c r="K69" s="116" t="s">
        <v>169</v>
      </c>
      <c r="L69" s="105">
        <v>11.539300000000001</v>
      </c>
      <c r="M69" s="118"/>
      <c r="N69" s="116"/>
      <c r="O69" s="119">
        <v>1</v>
      </c>
      <c r="P69" s="118" t="s">
        <v>390</v>
      </c>
      <c r="Q69" s="116">
        <v>2</v>
      </c>
      <c r="R69" s="116" t="s">
        <v>243</v>
      </c>
      <c r="S69" s="120"/>
      <c r="T69" s="120"/>
      <c r="U69" s="125">
        <v>2015</v>
      </c>
      <c r="V69" s="122"/>
      <c r="W69" s="116"/>
      <c r="X69" s="131">
        <f>43391/Level1[[#This Row],[Mass_estimate]]</f>
        <v>0.69002575570311675</v>
      </c>
      <c r="Y69" s="127" t="s">
        <v>493</v>
      </c>
      <c r="Z69" s="123">
        <f>SUM(43391,21437)*97%</f>
        <v>62883.159999999996</v>
      </c>
      <c r="AA69" s="7" t="s">
        <v>365</v>
      </c>
      <c r="AB69" s="109">
        <v>62883.159999999996</v>
      </c>
      <c r="AC69" s="109">
        <v>62883.159999999996</v>
      </c>
      <c r="AD69" s="124">
        <v>62883.159999999996</v>
      </c>
      <c r="AE69" s="111">
        <v>1</v>
      </c>
      <c r="AF69" s="110">
        <v>0</v>
      </c>
      <c r="AG69" s="110">
        <v>6473029.0456431536</v>
      </c>
      <c r="AH69" s="112">
        <v>9.7146420256410249</v>
      </c>
      <c r="AI69" s="113"/>
      <c r="AJ69" s="116"/>
      <c r="AK69" s="68" t="s">
        <v>374</v>
      </c>
      <c r="AL69" s="68" t="s">
        <v>374</v>
      </c>
      <c r="AM69" s="112" t="s">
        <v>374</v>
      </c>
      <c r="AN69" s="111">
        <f>IF(Level1[[#This Row],[Standardised_Normalised_Mass_kg/capita/year]]&lt;&gt;"",Level1[[#This Row],[Standardised_Normalised_Mass_kg/capita/year]],Level1[[#This Row],[Derived_Normalised_kg/capita/year]])</f>
        <v>9.7146420256410249</v>
      </c>
      <c r="AO69" s="68">
        <f>IF(Level1[[#This Row],[Household]]=1,IF(Level1[[#This Row],[Household_Diary?]]=1,'Cover Sheet'!$R$31,1),1)</f>
        <v>1</v>
      </c>
      <c r="AP69" s="68">
        <f>IF(Level1[[#This Row],[Household]]=1,IF(Level1[[#This Row],[Edible_Waste_Only?]]=1,'Cover Sheet'!$R$32,1),1)</f>
        <v>1</v>
      </c>
      <c r="AQ69" s="68">
        <f>IF(Level1[[#This Row],[Food_Service]]=1,IF(Level1[[#This Row],[Edible_Waste_Only?]]=1,'Cover Sheet'!$R$33,1),1)</f>
        <v>1</v>
      </c>
      <c r="AR69" s="68">
        <f>IF(Level1[[#This Row],[Retail]]=1,IF(Level1[[#This Row],[Edible_Waste_Only?]]=1,'Cover Sheet'!$R$34,1),1)</f>
        <v>1</v>
      </c>
      <c r="AS69" s="68">
        <f>PRODUCT(Level1[[#This Row],[Household_Diary_Adjustment]:[Retail_Inedible_Adjustment]])</f>
        <v>1</v>
      </c>
      <c r="AT69" s="114">
        <f>Level1[[#This Row],[Preferred_estimate_kg/capita]]*Level1[[#This Row],[Total_Adjustment]]</f>
        <v>9.7146420256410249</v>
      </c>
      <c r="AU69" s="186"/>
    </row>
    <row r="70" spans="1:47" x14ac:dyDescent="0.2">
      <c r="A70" s="102">
        <v>8</v>
      </c>
      <c r="B70" s="116" t="s">
        <v>553</v>
      </c>
      <c r="C70" s="7">
        <v>2017</v>
      </c>
      <c r="D70" s="103" t="s">
        <v>18</v>
      </c>
      <c r="E70" s="104" t="s">
        <v>95</v>
      </c>
      <c r="F70" s="7">
        <v>56</v>
      </c>
      <c r="G70" s="7" t="s">
        <v>147</v>
      </c>
      <c r="H70" s="7" t="s">
        <v>159</v>
      </c>
      <c r="I70" s="7" t="s">
        <v>161</v>
      </c>
      <c r="J70" s="7" t="s">
        <v>166</v>
      </c>
      <c r="K70" s="7" t="s">
        <v>169</v>
      </c>
      <c r="L70" s="105">
        <v>11.539300000000001</v>
      </c>
      <c r="M70" s="104"/>
      <c r="N70" s="7">
        <v>1</v>
      </c>
      <c r="O70" s="105"/>
      <c r="P70" s="104" t="s">
        <v>390</v>
      </c>
      <c r="Q70" s="7">
        <v>2</v>
      </c>
      <c r="R70" s="7" t="s">
        <v>244</v>
      </c>
      <c r="S70" s="8"/>
      <c r="T70" s="8"/>
      <c r="U70" s="128">
        <v>2015</v>
      </c>
      <c r="V70" s="107"/>
      <c r="W70" s="7"/>
      <c r="X70" s="135">
        <f>(19109+57090)/Level1[[#This Row],[Standardised_Mass_tonnes/year]]</f>
        <v>0.59742835861852683</v>
      </c>
      <c r="Y70" s="130" t="s">
        <v>496</v>
      </c>
      <c r="Z70" s="108">
        <f>(19108+48342)+(57090+3005)</f>
        <v>127545</v>
      </c>
      <c r="AA70" s="7" t="s">
        <v>365</v>
      </c>
      <c r="AB70" s="109">
        <v>127545</v>
      </c>
      <c r="AC70" s="109">
        <v>127545</v>
      </c>
      <c r="AD70" s="110">
        <v>127545</v>
      </c>
      <c r="AE70" s="111">
        <v>1</v>
      </c>
      <c r="AF70" s="110">
        <v>0</v>
      </c>
      <c r="AG70" s="110">
        <v>6473029.0456431536</v>
      </c>
      <c r="AH70" s="112">
        <v>19.704067307692309</v>
      </c>
      <c r="AI70" s="113"/>
      <c r="AJ70" s="7"/>
      <c r="AK70" s="68" t="s">
        <v>374</v>
      </c>
      <c r="AL70" s="68" t="s">
        <v>374</v>
      </c>
      <c r="AM70" s="112" t="s">
        <v>374</v>
      </c>
      <c r="AN70" s="111">
        <f>IF(Level1[[#This Row],[Standardised_Normalised_Mass_kg/capita/year]]&lt;&gt;"",Level1[[#This Row],[Standardised_Normalised_Mass_kg/capita/year]],Level1[[#This Row],[Derived_Normalised_kg/capita/year]])</f>
        <v>19.704067307692309</v>
      </c>
      <c r="AO70" s="68">
        <f>IF(Level1[[#This Row],[Household]]=1,IF(Level1[[#This Row],[Household_Diary?]]=1,'Cover Sheet'!$R$31,1),1)</f>
        <v>1</v>
      </c>
      <c r="AP70" s="68">
        <f>IF(Level1[[#This Row],[Household]]=1,IF(Level1[[#This Row],[Edible_Waste_Only?]]=1,'Cover Sheet'!$R$32,1),1)</f>
        <v>1</v>
      </c>
      <c r="AQ70" s="68">
        <f>IF(Level1[[#This Row],[Food_Service]]=1,IF(Level1[[#This Row],[Edible_Waste_Only?]]=1,'Cover Sheet'!$R$33,1),1)</f>
        <v>1</v>
      </c>
      <c r="AR70" s="68">
        <f>IF(Level1[[#This Row],[Retail]]=1,IF(Level1[[#This Row],[Edible_Waste_Only?]]=1,'Cover Sheet'!$R$34,1),1)</f>
        <v>1</v>
      </c>
      <c r="AS70" s="68">
        <f>PRODUCT(Level1[[#This Row],[Household_Diary_Adjustment]:[Retail_Inedible_Adjustment]])</f>
        <v>1</v>
      </c>
      <c r="AT70" s="114">
        <f>Level1[[#This Row],[Preferred_estimate_kg/capita]]*Level1[[#This Row],[Total_Adjustment]]</f>
        <v>19.704067307692309</v>
      </c>
      <c r="AU70" s="186"/>
    </row>
    <row r="71" spans="1:47" x14ac:dyDescent="0.2">
      <c r="A71" s="102">
        <v>8</v>
      </c>
      <c r="B71" s="116" t="s">
        <v>553</v>
      </c>
      <c r="C71" s="7">
        <v>2017</v>
      </c>
      <c r="D71" s="103" t="s">
        <v>18</v>
      </c>
      <c r="E71" s="104" t="s">
        <v>95</v>
      </c>
      <c r="F71" s="7">
        <v>56</v>
      </c>
      <c r="G71" s="7" t="s">
        <v>147</v>
      </c>
      <c r="H71" s="7" t="s">
        <v>159</v>
      </c>
      <c r="I71" s="7" t="s">
        <v>161</v>
      </c>
      <c r="J71" s="7" t="s">
        <v>166</v>
      </c>
      <c r="K71" s="7" t="s">
        <v>169</v>
      </c>
      <c r="L71" s="105">
        <v>11.539300000000001</v>
      </c>
      <c r="M71" s="104">
        <v>1</v>
      </c>
      <c r="N71" s="7"/>
      <c r="O71" s="105"/>
      <c r="P71" s="104" t="s">
        <v>226</v>
      </c>
      <c r="Q71" s="7">
        <v>2</v>
      </c>
      <c r="R71" s="136" t="s">
        <v>242</v>
      </c>
      <c r="S71" s="8"/>
      <c r="T71" s="8"/>
      <c r="U71" s="128">
        <v>2015</v>
      </c>
      <c r="V71" s="107"/>
      <c r="W71" s="7"/>
      <c r="X71" s="135">
        <f>(211858)*(1-28%)/Level1[[#This Row],[Mass_estimate]]</f>
        <v>0.47206247507778981</v>
      </c>
      <c r="Y71" s="130" t="s">
        <v>385</v>
      </c>
      <c r="Z71" s="108">
        <f>(211858+256447)*(1-28%-3%)</f>
        <v>323130.44999999995</v>
      </c>
      <c r="AA71" s="7" t="s">
        <v>365</v>
      </c>
      <c r="AB71" s="109">
        <v>323130.44999999995</v>
      </c>
      <c r="AC71" s="109">
        <v>323130.44999999995</v>
      </c>
      <c r="AD71" s="110">
        <v>323130.44999999995</v>
      </c>
      <c r="AE71" s="111">
        <v>1</v>
      </c>
      <c r="AF71" s="110">
        <v>0</v>
      </c>
      <c r="AG71" s="110">
        <v>6473029.0456431536</v>
      </c>
      <c r="AH71" s="112">
        <v>49.91951182692307</v>
      </c>
      <c r="AI71" s="113"/>
      <c r="AJ71" s="7"/>
      <c r="AK71" s="68" t="s">
        <v>374</v>
      </c>
      <c r="AL71" s="68" t="s">
        <v>374</v>
      </c>
      <c r="AM71" s="112" t="s">
        <v>374</v>
      </c>
      <c r="AN71" s="111">
        <f>IF(Level1[[#This Row],[Standardised_Normalised_Mass_kg/capita/year]]&lt;&gt;"",Level1[[#This Row],[Standardised_Normalised_Mass_kg/capita/year]],Level1[[#This Row],[Derived_Normalised_kg/capita/year]])</f>
        <v>49.91951182692307</v>
      </c>
      <c r="AO71" s="68">
        <f>IF(Level1[[#This Row],[Household]]=1,IF(Level1[[#This Row],[Household_Diary?]]=1,'Cover Sheet'!$R$31,1),1)</f>
        <v>1</v>
      </c>
      <c r="AP71" s="68">
        <f>IF(Level1[[#This Row],[Household]]=1,IF(Level1[[#This Row],[Edible_Waste_Only?]]=1,'Cover Sheet'!$R$32,1),1)</f>
        <v>1</v>
      </c>
      <c r="AQ71" s="68">
        <f>IF(Level1[[#This Row],[Food_Service]]=1,IF(Level1[[#This Row],[Edible_Waste_Only?]]=1,'Cover Sheet'!$R$33,1),1)</f>
        <v>1</v>
      </c>
      <c r="AR71" s="68">
        <f>IF(Level1[[#This Row],[Retail]]=1,IF(Level1[[#This Row],[Edible_Waste_Only?]]=1,'Cover Sheet'!$R$34,1),1)</f>
        <v>1</v>
      </c>
      <c r="AS71" s="68">
        <f>PRODUCT(Level1[[#This Row],[Household_Diary_Adjustment]:[Retail_Inedible_Adjustment]])</f>
        <v>1</v>
      </c>
      <c r="AT71" s="114">
        <f>Level1[[#This Row],[Preferred_estimate_kg/capita]]*Level1[[#This Row],[Total_Adjustment]]</f>
        <v>49.91951182692307</v>
      </c>
      <c r="AU71" s="186"/>
    </row>
    <row r="72" spans="1:47" x14ac:dyDescent="0.2">
      <c r="A72" s="102">
        <v>25</v>
      </c>
      <c r="B72" s="116" t="s">
        <v>582</v>
      </c>
      <c r="C72" s="7">
        <v>2017</v>
      </c>
      <c r="D72" s="103" t="s">
        <v>34</v>
      </c>
      <c r="E72" s="104" t="s">
        <v>103</v>
      </c>
      <c r="F72" s="7">
        <v>231</v>
      </c>
      <c r="G72" s="7" t="s">
        <v>154</v>
      </c>
      <c r="H72" s="7" t="s">
        <v>160</v>
      </c>
      <c r="I72" s="7" t="s">
        <v>164</v>
      </c>
      <c r="J72" s="7" t="s">
        <v>166</v>
      </c>
      <c r="K72" s="7" t="s">
        <v>184</v>
      </c>
      <c r="L72" s="105">
        <v>112.0787</v>
      </c>
      <c r="M72" s="104">
        <v>1</v>
      </c>
      <c r="N72" s="7"/>
      <c r="O72" s="105"/>
      <c r="P72" s="104" t="s">
        <v>225</v>
      </c>
      <c r="Q72" s="7">
        <v>2</v>
      </c>
      <c r="R72" s="7" t="s">
        <v>269</v>
      </c>
      <c r="S72" s="8"/>
      <c r="T72" s="8"/>
      <c r="U72" s="106">
        <v>2015</v>
      </c>
      <c r="V72" s="107">
        <v>0.61529999999999996</v>
      </c>
      <c r="W72" s="7" t="s">
        <v>361</v>
      </c>
      <c r="X72" s="129"/>
      <c r="Y72" s="130"/>
      <c r="Z72" s="108">
        <v>16170.4</v>
      </c>
      <c r="AA72" s="7" t="s">
        <v>369</v>
      </c>
      <c r="AB72" s="109">
        <v>5906238.5999999996</v>
      </c>
      <c r="AC72" s="109">
        <v>5906.2385999999997</v>
      </c>
      <c r="AD72" s="110">
        <v>5906.2385999999997</v>
      </c>
      <c r="AE72" s="111">
        <v>0</v>
      </c>
      <c r="AF72" s="110">
        <v>0</v>
      </c>
      <c r="AG72" s="110">
        <v>52310</v>
      </c>
      <c r="AH72" s="112">
        <v>0</v>
      </c>
      <c r="AI72" s="113">
        <f>0.41*Level1[[#This Row],[FW_Share_estimate]]</f>
        <v>0.25227299999999997</v>
      </c>
      <c r="AJ72" s="7" t="s">
        <v>375</v>
      </c>
      <c r="AK72" s="68">
        <v>0.25227299999999997</v>
      </c>
      <c r="AL72" s="68">
        <v>92.142713249999986</v>
      </c>
      <c r="AM72" s="112">
        <v>92.142713249999986</v>
      </c>
      <c r="AN72" s="111">
        <f>IF(Level1[[#This Row],[Standardised_Normalised_Mass_kg/capita/year]]&lt;&gt;"",Level1[[#This Row],[Standardised_Normalised_Mass_kg/capita/year]],Level1[[#This Row],[Derived_Normalised_kg/capita/year]])</f>
        <v>92.142713249999986</v>
      </c>
      <c r="AO72" s="68">
        <f>IF(Level1[[#This Row],[Household]]=1,IF(Level1[[#This Row],[Household_Diary?]]=1,'Cover Sheet'!$R$31,1),1)</f>
        <v>1</v>
      </c>
      <c r="AP72" s="68">
        <f>IF(Level1[[#This Row],[Household]]=1,IF(Level1[[#This Row],[Edible_Waste_Only?]]=1,'Cover Sheet'!$R$32,1),1)</f>
        <v>1</v>
      </c>
      <c r="AQ72" s="68">
        <f>IF(Level1[[#This Row],[Food_Service]]=1,IF(Level1[[#This Row],[Edible_Waste_Only?]]=1,'Cover Sheet'!$R$33,1),1)</f>
        <v>1</v>
      </c>
      <c r="AR72" s="68">
        <f>IF(Level1[[#This Row],[Retail]]=1,IF(Level1[[#This Row],[Edible_Waste_Only?]]=1,'Cover Sheet'!$R$34,1),1)</f>
        <v>1</v>
      </c>
      <c r="AS72" s="68">
        <f>PRODUCT(Level1[[#This Row],[Household_Diary_Adjustment]:[Retail_Inedible_Adjustment]])</f>
        <v>1</v>
      </c>
      <c r="AT72" s="114">
        <f>Level1[[#This Row],[Preferred_estimate_kg/capita]]*Level1[[#This Row],[Total_Adjustment]]</f>
        <v>92.142713249999986</v>
      </c>
      <c r="AU72" s="186"/>
    </row>
    <row r="73" spans="1:47" x14ac:dyDescent="0.2">
      <c r="A73" s="102">
        <v>48</v>
      </c>
      <c r="B73" s="116" t="s">
        <v>627</v>
      </c>
      <c r="C73" s="7">
        <v>2017</v>
      </c>
      <c r="D73" s="103" t="s">
        <v>57</v>
      </c>
      <c r="E73" s="104" t="s">
        <v>117</v>
      </c>
      <c r="F73" s="7">
        <v>392</v>
      </c>
      <c r="G73" s="7" t="s">
        <v>152</v>
      </c>
      <c r="H73" s="7" t="s">
        <v>159</v>
      </c>
      <c r="I73" s="7" t="s">
        <v>161</v>
      </c>
      <c r="J73" s="7" t="s">
        <v>165</v>
      </c>
      <c r="K73" s="7"/>
      <c r="L73" s="105">
        <v>126.8603</v>
      </c>
      <c r="M73" s="104"/>
      <c r="N73" s="7">
        <v>1</v>
      </c>
      <c r="O73" s="105"/>
      <c r="P73" s="104" t="s">
        <v>229</v>
      </c>
      <c r="Q73" s="7">
        <v>2</v>
      </c>
      <c r="R73" s="7" t="s">
        <v>301</v>
      </c>
      <c r="S73" s="8"/>
      <c r="T73" s="8"/>
      <c r="U73" s="128">
        <v>2014</v>
      </c>
      <c r="V73" s="107"/>
      <c r="W73" s="7"/>
      <c r="X73" s="129">
        <f>1.2/1.94</f>
        <v>0.61855670103092786</v>
      </c>
      <c r="Y73" s="130" t="s">
        <v>495</v>
      </c>
      <c r="Z73" s="108">
        <f>1.94*(1-(13%*22%))</f>
        <v>1.8845160000000001</v>
      </c>
      <c r="AA73" s="7" t="s">
        <v>367</v>
      </c>
      <c r="AB73" s="109">
        <v>1.8845160000000001</v>
      </c>
      <c r="AC73" s="109">
        <v>1884516</v>
      </c>
      <c r="AD73" s="110">
        <v>1884516</v>
      </c>
      <c r="AE73" s="111">
        <v>1</v>
      </c>
      <c r="AF73" s="110">
        <v>127794800</v>
      </c>
      <c r="AG73" s="110">
        <v>0</v>
      </c>
      <c r="AH73" s="112">
        <v>14.746421607138945</v>
      </c>
      <c r="AI73" s="113"/>
      <c r="AJ73" s="7"/>
      <c r="AK73" s="68" t="s">
        <v>374</v>
      </c>
      <c r="AL73" s="68" t="s">
        <v>374</v>
      </c>
      <c r="AM73" s="112" t="s">
        <v>374</v>
      </c>
      <c r="AN73" s="111">
        <f>IF(Level1[[#This Row],[Standardised_Normalised_Mass_kg/capita/year]]&lt;&gt;"",Level1[[#This Row],[Standardised_Normalised_Mass_kg/capita/year]],Level1[[#This Row],[Derived_Normalised_kg/capita/year]])</f>
        <v>14.746421607138945</v>
      </c>
      <c r="AO73" s="68">
        <f>IF(Level1[[#This Row],[Household]]=1,IF(Level1[[#This Row],[Household_Diary?]]=1,'Cover Sheet'!$R$31,1),1)</f>
        <v>1</v>
      </c>
      <c r="AP73" s="68">
        <f>IF(Level1[[#This Row],[Household]]=1,IF(Level1[[#This Row],[Edible_Waste_Only?]]=1,'Cover Sheet'!$R$32,1),1)</f>
        <v>1</v>
      </c>
      <c r="AQ73" s="68">
        <f>IF(Level1[[#This Row],[Food_Service]]=1,IF(Level1[[#This Row],[Edible_Waste_Only?]]=1,'Cover Sheet'!$R$33,1),1)</f>
        <v>1</v>
      </c>
      <c r="AR73" s="68">
        <f>IF(Level1[[#This Row],[Retail]]=1,IF(Level1[[#This Row],[Edible_Waste_Only?]]=1,'Cover Sheet'!$R$34,1),1)</f>
        <v>1</v>
      </c>
      <c r="AS73" s="68">
        <f>PRODUCT(Level1[[#This Row],[Household_Diary_Adjustment]:[Retail_Inedible_Adjustment]])</f>
        <v>1</v>
      </c>
      <c r="AT73" s="114">
        <f>Level1[[#This Row],[Preferred_estimate_kg/capita]]*Level1[[#This Row],[Total_Adjustment]]</f>
        <v>14.746421607138945</v>
      </c>
      <c r="AU73" s="186"/>
    </row>
    <row r="74" spans="1:47" x14ac:dyDescent="0.2">
      <c r="A74" s="115">
        <v>48</v>
      </c>
      <c r="B74" s="116" t="s">
        <v>627</v>
      </c>
      <c r="C74" s="116">
        <v>2017</v>
      </c>
      <c r="D74" s="117" t="s">
        <v>57</v>
      </c>
      <c r="E74" s="118" t="s">
        <v>117</v>
      </c>
      <c r="F74" s="116">
        <v>392</v>
      </c>
      <c r="G74" s="116" t="s">
        <v>152</v>
      </c>
      <c r="H74" s="116" t="s">
        <v>159</v>
      </c>
      <c r="I74" s="7" t="s">
        <v>161</v>
      </c>
      <c r="J74" s="7" t="s">
        <v>165</v>
      </c>
      <c r="K74" s="116"/>
      <c r="L74" s="105">
        <v>126.8603</v>
      </c>
      <c r="M74" s="118"/>
      <c r="N74" s="116"/>
      <c r="O74" s="119">
        <v>1</v>
      </c>
      <c r="P74" s="118" t="s">
        <v>229</v>
      </c>
      <c r="Q74" s="116">
        <v>2</v>
      </c>
      <c r="R74" s="116" t="s">
        <v>301</v>
      </c>
      <c r="S74" s="120"/>
      <c r="T74" s="120"/>
      <c r="U74" s="125">
        <v>2014</v>
      </c>
      <c r="V74" s="122"/>
      <c r="W74" s="116"/>
      <c r="X74" s="131">
        <f>0.6/1.27</f>
        <v>0.47244094488188976</v>
      </c>
      <c r="Y74" s="127" t="s">
        <v>507</v>
      </c>
      <c r="Z74" s="123">
        <f>1.27*(1-(32%*41%))</f>
        <v>1.1033760000000001</v>
      </c>
      <c r="AA74" s="7" t="s">
        <v>367</v>
      </c>
      <c r="AB74" s="109">
        <v>1.1033760000000001</v>
      </c>
      <c r="AC74" s="109">
        <v>1103376.0000000002</v>
      </c>
      <c r="AD74" s="124">
        <v>1103376.0000000002</v>
      </c>
      <c r="AE74" s="111">
        <v>1</v>
      </c>
      <c r="AF74" s="110">
        <v>127794800</v>
      </c>
      <c r="AG74" s="110">
        <v>0</v>
      </c>
      <c r="AH74" s="112">
        <v>8.6339663272684035</v>
      </c>
      <c r="AI74" s="113"/>
      <c r="AJ74" s="116"/>
      <c r="AK74" s="68" t="s">
        <v>374</v>
      </c>
      <c r="AL74" s="68" t="s">
        <v>374</v>
      </c>
      <c r="AM74" s="112" t="s">
        <v>374</v>
      </c>
      <c r="AN74" s="111">
        <f>IF(Level1[[#This Row],[Standardised_Normalised_Mass_kg/capita/year]]&lt;&gt;"",Level1[[#This Row],[Standardised_Normalised_Mass_kg/capita/year]],Level1[[#This Row],[Derived_Normalised_kg/capita/year]])</f>
        <v>8.6339663272684035</v>
      </c>
      <c r="AO74" s="68">
        <f>IF(Level1[[#This Row],[Household]]=1,IF(Level1[[#This Row],[Household_Diary?]]=1,'Cover Sheet'!$R$31,1),1)</f>
        <v>1</v>
      </c>
      <c r="AP74" s="68">
        <f>IF(Level1[[#This Row],[Household]]=1,IF(Level1[[#This Row],[Edible_Waste_Only?]]=1,'Cover Sheet'!$R$32,1),1)</f>
        <v>1</v>
      </c>
      <c r="AQ74" s="68">
        <f>IF(Level1[[#This Row],[Food_Service]]=1,IF(Level1[[#This Row],[Edible_Waste_Only?]]=1,'Cover Sheet'!$R$33,1),1)</f>
        <v>1</v>
      </c>
      <c r="AR74" s="68">
        <f>IF(Level1[[#This Row],[Retail]]=1,IF(Level1[[#This Row],[Edible_Waste_Only?]]=1,'Cover Sheet'!$R$34,1),1)</f>
        <v>1</v>
      </c>
      <c r="AS74" s="68">
        <f>PRODUCT(Level1[[#This Row],[Household_Diary_Adjustment]:[Retail_Inedible_Adjustment]])</f>
        <v>1</v>
      </c>
      <c r="AT74" s="147">
        <f>Level1[[#This Row],[Preferred_estimate_kg/capita]]*Level1[[#This Row],[Total_Adjustment]]</f>
        <v>8.6339663272684035</v>
      </c>
      <c r="AU74" s="186"/>
    </row>
    <row r="75" spans="1:47" x14ac:dyDescent="0.2">
      <c r="A75" s="102">
        <v>48</v>
      </c>
      <c r="B75" s="116" t="s">
        <v>627</v>
      </c>
      <c r="C75" s="7">
        <v>2017</v>
      </c>
      <c r="D75" s="103" t="s">
        <v>57</v>
      </c>
      <c r="E75" s="104" t="s">
        <v>117</v>
      </c>
      <c r="F75" s="7">
        <v>392</v>
      </c>
      <c r="G75" s="7" t="s">
        <v>152</v>
      </c>
      <c r="H75" s="7" t="s">
        <v>159</v>
      </c>
      <c r="I75" s="7" t="s">
        <v>161</v>
      </c>
      <c r="J75" s="7" t="s">
        <v>165</v>
      </c>
      <c r="K75" s="7"/>
      <c r="L75" s="105">
        <v>126.8603</v>
      </c>
      <c r="M75" s="104">
        <v>1</v>
      </c>
      <c r="N75" s="7"/>
      <c r="O75" s="105"/>
      <c r="P75" s="104" t="s">
        <v>229</v>
      </c>
      <c r="Q75" s="7">
        <v>2</v>
      </c>
      <c r="R75" s="7" t="s">
        <v>300</v>
      </c>
      <c r="S75" s="8"/>
      <c r="T75" s="8"/>
      <c r="U75" s="128">
        <v>2014</v>
      </c>
      <c r="V75" s="107"/>
      <c r="W75" s="7"/>
      <c r="X75" s="129">
        <f>2.82/8.22</f>
        <v>0.3430656934306569</v>
      </c>
      <c r="Y75" s="130" t="s">
        <v>387</v>
      </c>
      <c r="Z75" s="108">
        <v>8.2200000000000006</v>
      </c>
      <c r="AA75" s="7" t="s">
        <v>367</v>
      </c>
      <c r="AB75" s="109">
        <v>8.2200000000000006</v>
      </c>
      <c r="AC75" s="109">
        <v>8220000.0000000009</v>
      </c>
      <c r="AD75" s="110">
        <v>8220000.0000000009</v>
      </c>
      <c r="AE75" s="111">
        <v>1</v>
      </c>
      <c r="AF75" s="110">
        <v>127794800</v>
      </c>
      <c r="AG75" s="110">
        <v>0</v>
      </c>
      <c r="AH75" s="112">
        <v>64.321865991417496</v>
      </c>
      <c r="AI75" s="113"/>
      <c r="AJ75" s="7"/>
      <c r="AK75" s="68" t="s">
        <v>374</v>
      </c>
      <c r="AL75" s="68" t="s">
        <v>374</v>
      </c>
      <c r="AM75" s="112" t="s">
        <v>374</v>
      </c>
      <c r="AN75" s="111">
        <f>IF(Level1[[#This Row],[Standardised_Normalised_Mass_kg/capita/year]]&lt;&gt;"",Level1[[#This Row],[Standardised_Normalised_Mass_kg/capita/year]],Level1[[#This Row],[Derived_Normalised_kg/capita/year]])</f>
        <v>64.321865991417496</v>
      </c>
      <c r="AO75" s="68">
        <f>IF(Level1[[#This Row],[Household]]=1,IF(Level1[[#This Row],[Household_Diary?]]=1,'Cover Sheet'!$R$31,1),1)</f>
        <v>1</v>
      </c>
      <c r="AP75" s="68">
        <f>IF(Level1[[#This Row],[Household]]=1,IF(Level1[[#This Row],[Edible_Waste_Only?]]=1,'Cover Sheet'!$R$32,1),1)</f>
        <v>1</v>
      </c>
      <c r="AQ75" s="68">
        <f>IF(Level1[[#This Row],[Food_Service]]=1,IF(Level1[[#This Row],[Edible_Waste_Only?]]=1,'Cover Sheet'!$R$33,1),1)</f>
        <v>1</v>
      </c>
      <c r="AR75" s="68">
        <f>IF(Level1[[#This Row],[Retail]]=1,IF(Level1[[#This Row],[Edible_Waste_Only?]]=1,'Cover Sheet'!$R$34,1),1)</f>
        <v>1</v>
      </c>
      <c r="AS75" s="68">
        <f>PRODUCT(Level1[[#This Row],[Household_Diary_Adjustment]:[Retail_Inedible_Adjustment]])</f>
        <v>1</v>
      </c>
      <c r="AT75" s="114">
        <f>Level1[[#This Row],[Preferred_estimate_kg/capita]]*Level1[[#This Row],[Total_Adjustment]]</f>
        <v>64.321865991417496</v>
      </c>
      <c r="AU75" s="186"/>
    </row>
    <row r="76" spans="1:47" x14ac:dyDescent="0.2">
      <c r="A76" s="102">
        <v>59</v>
      </c>
      <c r="B76" s="116" t="s">
        <v>644</v>
      </c>
      <c r="C76" s="7">
        <v>2017</v>
      </c>
      <c r="D76" s="103" t="s">
        <v>67</v>
      </c>
      <c r="E76" s="104" t="s">
        <v>126</v>
      </c>
      <c r="F76" s="7">
        <v>566</v>
      </c>
      <c r="G76" s="7" t="s">
        <v>154</v>
      </c>
      <c r="H76" s="7" t="s">
        <v>160</v>
      </c>
      <c r="I76" s="7" t="s">
        <v>162</v>
      </c>
      <c r="J76" s="7" t="s">
        <v>166</v>
      </c>
      <c r="K76" s="7" t="s">
        <v>198</v>
      </c>
      <c r="L76" s="105">
        <v>200.96360000000001</v>
      </c>
      <c r="M76" s="104">
        <v>1</v>
      </c>
      <c r="N76" s="7"/>
      <c r="O76" s="105"/>
      <c r="P76" s="104" t="s">
        <v>225</v>
      </c>
      <c r="Q76" s="7">
        <v>2</v>
      </c>
      <c r="R76" s="7" t="s">
        <v>320</v>
      </c>
      <c r="S76" s="8"/>
      <c r="T76" s="8"/>
      <c r="U76" s="106">
        <v>2015</v>
      </c>
      <c r="V76" s="107">
        <v>0.75219000000000003</v>
      </c>
      <c r="W76" s="7" t="s">
        <v>362</v>
      </c>
      <c r="X76" s="129"/>
      <c r="Y76" s="130"/>
      <c r="Z76" s="108"/>
      <c r="AA76" s="7"/>
      <c r="AB76" s="109" t="s">
        <v>374</v>
      </c>
      <c r="AC76" s="109" t="s">
        <v>374</v>
      </c>
      <c r="AD76" s="110" t="s">
        <v>374</v>
      </c>
      <c r="AE76" s="111">
        <v>0</v>
      </c>
      <c r="AF76" s="110">
        <v>0</v>
      </c>
      <c r="AG76" s="110">
        <v>0</v>
      </c>
      <c r="AH76" s="112">
        <v>0</v>
      </c>
      <c r="AI76" s="113">
        <v>0.51690000000000003</v>
      </c>
      <c r="AJ76" s="7" t="s">
        <v>375</v>
      </c>
      <c r="AK76" s="68">
        <v>0.51690000000000003</v>
      </c>
      <c r="AL76" s="68">
        <v>188.79772500000001</v>
      </c>
      <c r="AM76" s="112">
        <v>188.79772500000001</v>
      </c>
      <c r="AN76" s="111">
        <f>IF(Level1[[#This Row],[Standardised_Normalised_Mass_kg/capita/year]]&lt;&gt;"",Level1[[#This Row],[Standardised_Normalised_Mass_kg/capita/year]],Level1[[#This Row],[Derived_Normalised_kg/capita/year]])</f>
        <v>188.79772500000001</v>
      </c>
      <c r="AO76" s="68">
        <f>IF(Level1[[#This Row],[Household]]=1,IF(Level1[[#This Row],[Household_Diary?]]=1,'Cover Sheet'!$R$31,1),1)</f>
        <v>1</v>
      </c>
      <c r="AP76" s="68">
        <f>IF(Level1[[#This Row],[Household]]=1,IF(Level1[[#This Row],[Edible_Waste_Only?]]=1,'Cover Sheet'!$R$32,1),1)</f>
        <v>1</v>
      </c>
      <c r="AQ76" s="68">
        <f>IF(Level1[[#This Row],[Food_Service]]=1,IF(Level1[[#This Row],[Edible_Waste_Only?]]=1,'Cover Sheet'!$R$33,1),1)</f>
        <v>1</v>
      </c>
      <c r="AR76" s="68">
        <f>IF(Level1[[#This Row],[Retail]]=1,IF(Level1[[#This Row],[Edible_Waste_Only?]]=1,'Cover Sheet'!$R$34,1),1)</f>
        <v>1</v>
      </c>
      <c r="AS76" s="68">
        <f>PRODUCT(Level1[[#This Row],[Household_Diary_Adjustment]:[Retail_Inedible_Adjustment]])</f>
        <v>1</v>
      </c>
      <c r="AT76" s="114">
        <f>Level1[[#This Row],[Preferred_estimate_kg/capita]]*Level1[[#This Row],[Total_Adjustment]]</f>
        <v>188.79772500000001</v>
      </c>
      <c r="AU76" s="186"/>
    </row>
    <row r="77" spans="1:47" x14ac:dyDescent="0.2">
      <c r="A77" s="115">
        <v>71</v>
      </c>
      <c r="B77" s="116" t="s">
        <v>662</v>
      </c>
      <c r="C77" s="116">
        <v>2017</v>
      </c>
      <c r="D77" s="139" t="s">
        <v>76</v>
      </c>
      <c r="E77" s="118" t="s">
        <v>135</v>
      </c>
      <c r="F77" s="116">
        <v>710</v>
      </c>
      <c r="G77" s="116" t="s">
        <v>154</v>
      </c>
      <c r="H77" s="116" t="s">
        <v>160</v>
      </c>
      <c r="I77" s="7" t="s">
        <v>163</v>
      </c>
      <c r="J77" s="7" t="s">
        <v>166</v>
      </c>
      <c r="K77" s="116" t="s">
        <v>202</v>
      </c>
      <c r="L77" s="105">
        <v>58.558300000000003</v>
      </c>
      <c r="M77" s="118">
        <v>1</v>
      </c>
      <c r="N77" s="116"/>
      <c r="O77" s="119"/>
      <c r="P77" s="118" t="s">
        <v>227</v>
      </c>
      <c r="Q77" s="116">
        <v>2</v>
      </c>
      <c r="R77" s="116" t="s">
        <v>334</v>
      </c>
      <c r="S77" s="120">
        <v>1</v>
      </c>
      <c r="T77" s="120"/>
      <c r="U77" s="125">
        <v>2014</v>
      </c>
      <c r="V77" s="122"/>
      <c r="W77" s="116"/>
      <c r="X77" s="122"/>
      <c r="Y77" s="119"/>
      <c r="Z77" s="123"/>
      <c r="AA77" s="7"/>
      <c r="AB77" s="109" t="s">
        <v>374</v>
      </c>
      <c r="AC77" s="109" t="s">
        <v>374</v>
      </c>
      <c r="AD77" s="124" t="s">
        <v>374</v>
      </c>
      <c r="AE77" s="111">
        <v>0</v>
      </c>
      <c r="AF77" s="110">
        <v>0</v>
      </c>
      <c r="AG77" s="110">
        <v>0</v>
      </c>
      <c r="AH77" s="112">
        <v>0</v>
      </c>
      <c r="AI77" s="113">
        <f>AVERAGE(8.6,16.1)</f>
        <v>12.350000000000001</v>
      </c>
      <c r="AJ77" s="116" t="s">
        <v>377</v>
      </c>
      <c r="AK77" s="68">
        <v>12.350000000000001</v>
      </c>
      <c r="AL77" s="68">
        <v>12.350000000000001</v>
      </c>
      <c r="AM77" s="112">
        <v>12.350000000000001</v>
      </c>
      <c r="AN77" s="111">
        <f>IF(Level1[[#This Row],[Standardised_Normalised_Mass_kg/capita/year]]&lt;&gt;"",Level1[[#This Row],[Standardised_Normalised_Mass_kg/capita/year]],Level1[[#This Row],[Derived_Normalised_kg/capita/year]])</f>
        <v>12.350000000000001</v>
      </c>
      <c r="AO77" s="68">
        <f>IF(Level1[[#This Row],[Household]]=1,IF(Level1[[#This Row],[Household_Diary?]]=1,'Cover Sheet'!$R$31,1),1)</f>
        <v>1.4326647564469914</v>
      </c>
      <c r="AP77" s="68">
        <f>IF(Level1[[#This Row],[Household]]=1,IF(Level1[[#This Row],[Edible_Waste_Only?]]=1,'Cover Sheet'!$R$32,1),1)</f>
        <v>1</v>
      </c>
      <c r="AQ77" s="68">
        <f>IF(Level1[[#This Row],[Food_Service]]=1,IF(Level1[[#This Row],[Edible_Waste_Only?]]=1,'Cover Sheet'!$R$33,1),1)</f>
        <v>1</v>
      </c>
      <c r="AR77" s="68">
        <f>IF(Level1[[#This Row],[Retail]]=1,IF(Level1[[#This Row],[Edible_Waste_Only?]]=1,'Cover Sheet'!$R$34,1),1)</f>
        <v>1</v>
      </c>
      <c r="AS77" s="68">
        <f>PRODUCT(Level1[[#This Row],[Household_Diary_Adjustment]:[Retail_Inedible_Adjustment]])</f>
        <v>1.4326647564469914</v>
      </c>
      <c r="AT77" s="114">
        <f>Level1[[#This Row],[Preferred_estimate_kg/capita]]*Level1[[#This Row],[Total_Adjustment]]</f>
        <v>17.693409742120345</v>
      </c>
      <c r="AU77" s="186"/>
    </row>
    <row r="78" spans="1:47" x14ac:dyDescent="0.2">
      <c r="A78" s="102">
        <v>20</v>
      </c>
      <c r="B78" s="116" t="s">
        <v>573</v>
      </c>
      <c r="C78" s="7">
        <v>2016</v>
      </c>
      <c r="D78" s="103" t="s">
        <v>31</v>
      </c>
      <c r="E78" s="104" t="s">
        <v>101</v>
      </c>
      <c r="F78" s="7">
        <v>208</v>
      </c>
      <c r="G78" s="7" t="s">
        <v>153</v>
      </c>
      <c r="H78" s="7" t="s">
        <v>159</v>
      </c>
      <c r="I78" s="7" t="s">
        <v>161</v>
      </c>
      <c r="J78" s="7" t="s">
        <v>165</v>
      </c>
      <c r="K78" s="7"/>
      <c r="L78" s="105">
        <v>5.7718999999999996</v>
      </c>
      <c r="M78" s="104"/>
      <c r="N78" s="7"/>
      <c r="O78" s="105">
        <v>1</v>
      </c>
      <c r="P78" s="104" t="s">
        <v>225</v>
      </c>
      <c r="Q78" s="7">
        <v>1</v>
      </c>
      <c r="R78" s="7" t="s">
        <v>263</v>
      </c>
      <c r="S78" s="8"/>
      <c r="T78" s="8"/>
      <c r="U78" s="128">
        <v>2012</v>
      </c>
      <c r="V78" s="107"/>
      <c r="W78" s="7"/>
      <c r="X78" s="129">
        <f>SUM(151000,11660)/Level1[[#This Row],[Mass_estimate]]</f>
        <v>0.97342908438061038</v>
      </c>
      <c r="Y78" s="130" t="s">
        <v>386</v>
      </c>
      <c r="Z78" s="108">
        <v>167100</v>
      </c>
      <c r="AA78" s="7" t="s">
        <v>365</v>
      </c>
      <c r="AB78" s="109">
        <v>167100</v>
      </c>
      <c r="AC78" s="109">
        <v>167100</v>
      </c>
      <c r="AD78" s="110">
        <v>167100</v>
      </c>
      <c r="AE78" s="111">
        <v>0</v>
      </c>
      <c r="AF78" s="110">
        <v>5605514.2857142864</v>
      </c>
      <c r="AG78" s="110">
        <v>0</v>
      </c>
      <c r="AH78" s="112">
        <v>0</v>
      </c>
      <c r="AI78" s="113">
        <v>29.8</v>
      </c>
      <c r="AJ78" s="7" t="s">
        <v>377</v>
      </c>
      <c r="AK78" s="68">
        <v>29.8</v>
      </c>
      <c r="AL78" s="68">
        <v>29.8</v>
      </c>
      <c r="AM78" s="112">
        <v>29.8</v>
      </c>
      <c r="AN78" s="111">
        <f>IF(Level1[[#This Row],[Standardised_Normalised_Mass_kg/capita/year]]&lt;&gt;"",Level1[[#This Row],[Standardised_Normalised_Mass_kg/capita/year]],Level1[[#This Row],[Derived_Normalised_kg/capita/year]])</f>
        <v>29.8</v>
      </c>
      <c r="AO78" s="68">
        <f>IF(Level1[[#This Row],[Household]]=1,IF(Level1[[#This Row],[Household_Diary?]]=1,'Cover Sheet'!$R$31,1),1)</f>
        <v>1</v>
      </c>
      <c r="AP78" s="68">
        <f>IF(Level1[[#This Row],[Household]]=1,IF(Level1[[#This Row],[Edible_Waste_Only?]]=1,'Cover Sheet'!$R$32,1),1)</f>
        <v>1</v>
      </c>
      <c r="AQ78" s="68">
        <f>IF(Level1[[#This Row],[Food_Service]]=1,IF(Level1[[#This Row],[Edible_Waste_Only?]]=1,'Cover Sheet'!$R$33,1),1)</f>
        <v>1</v>
      </c>
      <c r="AR78" s="68">
        <f>IF(Level1[[#This Row],[Retail]]=1,IF(Level1[[#This Row],[Edible_Waste_Only?]]=1,'Cover Sheet'!$R$34,1),1)</f>
        <v>1</v>
      </c>
      <c r="AS78" s="68">
        <f>PRODUCT(Level1[[#This Row],[Household_Diary_Adjustment]:[Retail_Inedible_Adjustment]])</f>
        <v>1</v>
      </c>
      <c r="AT78" s="114">
        <f>Level1[[#This Row],[Preferred_estimate_kg/capita]]*Level1[[#This Row],[Total_Adjustment]]</f>
        <v>29.8</v>
      </c>
      <c r="AU78" s="186"/>
    </row>
    <row r="79" spans="1:47" x14ac:dyDescent="0.2">
      <c r="A79" s="115">
        <v>20</v>
      </c>
      <c r="B79" s="116" t="s">
        <v>573</v>
      </c>
      <c r="C79" s="116">
        <v>2016</v>
      </c>
      <c r="D79" s="117" t="s">
        <v>31</v>
      </c>
      <c r="E79" s="118" t="s">
        <v>101</v>
      </c>
      <c r="F79" s="116">
        <v>208</v>
      </c>
      <c r="G79" s="116" t="s">
        <v>153</v>
      </c>
      <c r="H79" s="116" t="s">
        <v>159</v>
      </c>
      <c r="I79" s="7" t="s">
        <v>161</v>
      </c>
      <c r="J79" s="7" t="s">
        <v>165</v>
      </c>
      <c r="K79" s="116"/>
      <c r="L79" s="105">
        <v>5.7718999999999996</v>
      </c>
      <c r="M79" s="118"/>
      <c r="N79" s="116">
        <v>1</v>
      </c>
      <c r="O79" s="119"/>
      <c r="P79" s="118" t="s">
        <v>228</v>
      </c>
      <c r="Q79" s="116">
        <v>1</v>
      </c>
      <c r="R79" s="116" t="s">
        <v>264</v>
      </c>
      <c r="S79" s="120"/>
      <c r="T79" s="120"/>
      <c r="U79" s="125">
        <v>2012</v>
      </c>
      <c r="V79" s="122"/>
      <c r="W79" s="116"/>
      <c r="X79" s="131">
        <f>SUM(8400,20100,21000,10200)/Level1[[#This Row],[Mass_estimate]]</f>
        <v>0.51598962834917894</v>
      </c>
      <c r="Y79" s="127" t="s">
        <v>504</v>
      </c>
      <c r="Z79" s="123">
        <f>SUM(11800,60800,26100,17000)</f>
        <v>115700</v>
      </c>
      <c r="AA79" s="7" t="s">
        <v>365</v>
      </c>
      <c r="AB79" s="109">
        <v>115700</v>
      </c>
      <c r="AC79" s="109">
        <v>115700</v>
      </c>
      <c r="AD79" s="124">
        <v>115700</v>
      </c>
      <c r="AE79" s="111">
        <v>1</v>
      </c>
      <c r="AF79" s="110">
        <v>5605514.2857142864</v>
      </c>
      <c r="AG79" s="110">
        <v>0</v>
      </c>
      <c r="AH79" s="112">
        <v>20.640389820228037</v>
      </c>
      <c r="AI79" s="113">
        <v>20.9</v>
      </c>
      <c r="AJ79" s="116" t="s">
        <v>379</v>
      </c>
      <c r="AK79" s="68" t="s">
        <v>374</v>
      </c>
      <c r="AL79" s="68" t="s">
        <v>374</v>
      </c>
      <c r="AM79" s="112" t="s">
        <v>374</v>
      </c>
      <c r="AN79" s="111">
        <f>IF(Level1[[#This Row],[Standardised_Normalised_Mass_kg/capita/year]]&lt;&gt;"",Level1[[#This Row],[Standardised_Normalised_Mass_kg/capita/year]],Level1[[#This Row],[Derived_Normalised_kg/capita/year]])</f>
        <v>20.640389820228037</v>
      </c>
      <c r="AO79" s="68">
        <f>IF(Level1[[#This Row],[Household]]=1,IF(Level1[[#This Row],[Household_Diary?]]=1,'Cover Sheet'!$R$31,1),1)</f>
        <v>1</v>
      </c>
      <c r="AP79" s="68">
        <f>IF(Level1[[#This Row],[Household]]=1,IF(Level1[[#This Row],[Edible_Waste_Only?]]=1,'Cover Sheet'!$R$32,1),1)</f>
        <v>1</v>
      </c>
      <c r="AQ79" s="68">
        <f>IF(Level1[[#This Row],[Food_Service]]=1,IF(Level1[[#This Row],[Edible_Waste_Only?]]=1,'Cover Sheet'!$R$33,1),1)</f>
        <v>1</v>
      </c>
      <c r="AR79" s="68">
        <f>IF(Level1[[#This Row],[Retail]]=1,IF(Level1[[#This Row],[Edible_Waste_Only?]]=1,'Cover Sheet'!$R$34,1),1)</f>
        <v>1</v>
      </c>
      <c r="AS79" s="68">
        <f>PRODUCT(Level1[[#This Row],[Household_Diary_Adjustment]:[Retail_Inedible_Adjustment]])</f>
        <v>1</v>
      </c>
      <c r="AT79" s="114">
        <f>Level1[[#This Row],[Preferred_estimate_kg/capita]]*Level1[[#This Row],[Total_Adjustment]]</f>
        <v>20.640389820228037</v>
      </c>
      <c r="AU79" s="186"/>
    </row>
    <row r="80" spans="1:47" x14ac:dyDescent="0.2">
      <c r="A80" s="102">
        <v>21</v>
      </c>
      <c r="B80" s="116" t="s">
        <v>575</v>
      </c>
      <c r="C80" s="7">
        <v>2016</v>
      </c>
      <c r="D80" s="103" t="s">
        <v>29</v>
      </c>
      <c r="E80" s="104" t="s">
        <v>101</v>
      </c>
      <c r="F80" s="7">
        <v>208</v>
      </c>
      <c r="G80" s="7" t="s">
        <v>153</v>
      </c>
      <c r="H80" s="7" t="s">
        <v>159</v>
      </c>
      <c r="I80" s="7" t="s">
        <v>161</v>
      </c>
      <c r="J80" s="7" t="s">
        <v>165</v>
      </c>
      <c r="K80" s="7"/>
      <c r="L80" s="105">
        <v>5.7718999999999996</v>
      </c>
      <c r="M80" s="104">
        <v>1</v>
      </c>
      <c r="N80" s="7"/>
      <c r="O80" s="105"/>
      <c r="P80" s="104" t="s">
        <v>225</v>
      </c>
      <c r="Q80" s="7">
        <v>1</v>
      </c>
      <c r="R80" s="7" t="s">
        <v>261</v>
      </c>
      <c r="S80" s="8"/>
      <c r="T80" s="8"/>
      <c r="U80" s="128">
        <v>2012</v>
      </c>
      <c r="V80" s="107">
        <v>0.43</v>
      </c>
      <c r="W80" s="7" t="s">
        <v>362</v>
      </c>
      <c r="X80" s="129">
        <f>103/183</f>
        <v>0.56284153005464477</v>
      </c>
      <c r="Y80" s="130" t="s">
        <v>501</v>
      </c>
      <c r="Z80" s="108"/>
      <c r="AA80" s="7"/>
      <c r="AB80" s="109" t="s">
        <v>374</v>
      </c>
      <c r="AC80" s="109" t="s">
        <v>374</v>
      </c>
      <c r="AD80" s="110" t="s">
        <v>374</v>
      </c>
      <c r="AE80" s="111">
        <v>0</v>
      </c>
      <c r="AF80" s="110">
        <v>5605514.2857142864</v>
      </c>
      <c r="AG80" s="110">
        <v>0</v>
      </c>
      <c r="AH80" s="112">
        <v>0</v>
      </c>
      <c r="AI80" s="113">
        <v>1.6</v>
      </c>
      <c r="AJ80" s="7" t="s">
        <v>382</v>
      </c>
      <c r="AK80" s="68">
        <v>1.6</v>
      </c>
      <c r="AL80" s="68">
        <v>83.2</v>
      </c>
      <c r="AM80" s="112">
        <v>83.2</v>
      </c>
      <c r="AN80" s="111">
        <f>IF(Level1[[#This Row],[Standardised_Normalised_Mass_kg/capita/year]]&lt;&gt;"",Level1[[#This Row],[Standardised_Normalised_Mass_kg/capita/year]],Level1[[#This Row],[Derived_Normalised_kg/capita/year]])</f>
        <v>83.2</v>
      </c>
      <c r="AO80" s="68">
        <f>IF(Level1[[#This Row],[Household]]=1,IF(Level1[[#This Row],[Household_Diary?]]=1,'Cover Sheet'!$R$31,1),1)</f>
        <v>1</v>
      </c>
      <c r="AP80" s="68">
        <f>IF(Level1[[#This Row],[Household]]=1,IF(Level1[[#This Row],[Edible_Waste_Only?]]=1,'Cover Sheet'!$R$32,1),1)</f>
        <v>1</v>
      </c>
      <c r="AQ80" s="68">
        <f>IF(Level1[[#This Row],[Food_Service]]=1,IF(Level1[[#This Row],[Edible_Waste_Only?]]=1,'Cover Sheet'!$R$33,1),1)</f>
        <v>1</v>
      </c>
      <c r="AR80" s="68">
        <f>IF(Level1[[#This Row],[Retail]]=1,IF(Level1[[#This Row],[Edible_Waste_Only?]]=1,'Cover Sheet'!$R$34,1),1)</f>
        <v>1</v>
      </c>
      <c r="AS80" s="68">
        <f>PRODUCT(Level1[[#This Row],[Household_Diary_Adjustment]:[Retail_Inedible_Adjustment]])</f>
        <v>1</v>
      </c>
      <c r="AT80" s="114">
        <f>Level1[[#This Row],[Preferred_estimate_kg/capita]]*Level1[[#This Row],[Total_Adjustment]]</f>
        <v>83.2</v>
      </c>
      <c r="AU80" s="186"/>
    </row>
    <row r="81" spans="1:47" x14ac:dyDescent="0.2">
      <c r="A81" s="115">
        <v>26</v>
      </c>
      <c r="B81" s="116" t="s">
        <v>584</v>
      </c>
      <c r="C81" s="116">
        <v>2016</v>
      </c>
      <c r="D81" s="117" t="s">
        <v>35</v>
      </c>
      <c r="E81" s="118" t="s">
        <v>104</v>
      </c>
      <c r="F81" s="116">
        <v>246</v>
      </c>
      <c r="G81" s="116" t="s">
        <v>153</v>
      </c>
      <c r="H81" s="116" t="s">
        <v>159</v>
      </c>
      <c r="I81" s="7" t="s">
        <v>161</v>
      </c>
      <c r="J81" s="7" t="s">
        <v>165</v>
      </c>
      <c r="K81" s="116"/>
      <c r="L81" s="105">
        <v>5.5321999999999996</v>
      </c>
      <c r="M81" s="118">
        <v>1</v>
      </c>
      <c r="N81" s="116"/>
      <c r="O81" s="119"/>
      <c r="P81" s="118" t="s">
        <v>224</v>
      </c>
      <c r="Q81" s="116">
        <v>2</v>
      </c>
      <c r="R81" s="116" t="s">
        <v>270</v>
      </c>
      <c r="S81" s="120"/>
      <c r="T81" s="120"/>
      <c r="U81" s="125">
        <v>2012</v>
      </c>
      <c r="V81" s="122"/>
      <c r="W81" s="116"/>
      <c r="X81" s="131"/>
      <c r="Y81" s="127"/>
      <c r="Z81" s="123">
        <v>345000</v>
      </c>
      <c r="AA81" s="7" t="s">
        <v>365</v>
      </c>
      <c r="AB81" s="109">
        <v>345000</v>
      </c>
      <c r="AC81" s="109">
        <v>345000</v>
      </c>
      <c r="AD81" s="124">
        <v>345000</v>
      </c>
      <c r="AE81" s="111">
        <v>0</v>
      </c>
      <c r="AF81" s="110">
        <v>5407400</v>
      </c>
      <c r="AG81" s="110">
        <v>0</v>
      </c>
      <c r="AH81" s="112">
        <v>0</v>
      </c>
      <c r="AI81" s="113">
        <v>63.6</v>
      </c>
      <c r="AJ81" s="116" t="s">
        <v>377</v>
      </c>
      <c r="AK81" s="68">
        <v>63.6</v>
      </c>
      <c r="AL81" s="68">
        <v>63.6</v>
      </c>
      <c r="AM81" s="112">
        <v>63.6</v>
      </c>
      <c r="AN81" s="111">
        <f>IF(Level1[[#This Row],[Standardised_Normalised_Mass_kg/capita/year]]&lt;&gt;"",Level1[[#This Row],[Standardised_Normalised_Mass_kg/capita/year]],Level1[[#This Row],[Derived_Normalised_kg/capita/year]])</f>
        <v>63.6</v>
      </c>
      <c r="AO81" s="68">
        <f>IF(Level1[[#This Row],[Household]]=1,IF(Level1[[#This Row],[Household_Diary?]]=1,'Cover Sheet'!$R$31,1),1)</f>
        <v>1</v>
      </c>
      <c r="AP81" s="68">
        <f>IF(Level1[[#This Row],[Household]]=1,IF(Level1[[#This Row],[Edible_Waste_Only?]]=1,'Cover Sheet'!$R$32,1),1)</f>
        <v>1</v>
      </c>
      <c r="AQ81" s="68">
        <f>IF(Level1[[#This Row],[Food_Service]]=1,IF(Level1[[#This Row],[Edible_Waste_Only?]]=1,'Cover Sheet'!$R$33,1),1)</f>
        <v>1</v>
      </c>
      <c r="AR81" s="68">
        <f>IF(Level1[[#This Row],[Retail]]=1,IF(Level1[[#This Row],[Edible_Waste_Only?]]=1,'Cover Sheet'!$R$34,1),1)</f>
        <v>1</v>
      </c>
      <c r="AS81" s="68">
        <f>PRODUCT(Level1[[#This Row],[Household_Diary_Adjustment]:[Retail_Inedible_Adjustment]])</f>
        <v>1</v>
      </c>
      <c r="AT81" s="114">
        <f>Level1[[#This Row],[Preferred_estimate_kg/capita]]*Level1[[#This Row],[Total_Adjustment]]</f>
        <v>63.6</v>
      </c>
      <c r="AU81" s="186"/>
    </row>
    <row r="82" spans="1:47" x14ac:dyDescent="0.2">
      <c r="A82" s="115">
        <v>26</v>
      </c>
      <c r="B82" s="116" t="s">
        <v>584</v>
      </c>
      <c r="C82" s="116">
        <v>2016</v>
      </c>
      <c r="D82" s="117" t="s">
        <v>35</v>
      </c>
      <c r="E82" s="118" t="s">
        <v>104</v>
      </c>
      <c r="F82" s="116">
        <v>246</v>
      </c>
      <c r="G82" s="116" t="s">
        <v>153</v>
      </c>
      <c r="H82" s="116" t="s">
        <v>159</v>
      </c>
      <c r="I82" s="7" t="s">
        <v>161</v>
      </c>
      <c r="J82" s="7" t="s">
        <v>165</v>
      </c>
      <c r="K82" s="116"/>
      <c r="L82" s="105">
        <v>5.5321999999999996</v>
      </c>
      <c r="M82" s="118"/>
      <c r="N82" s="116">
        <v>1</v>
      </c>
      <c r="O82" s="119"/>
      <c r="P82" s="118" t="s">
        <v>224</v>
      </c>
      <c r="Q82" s="116">
        <v>2</v>
      </c>
      <c r="R82" s="116" t="s">
        <v>272</v>
      </c>
      <c r="S82" s="120"/>
      <c r="T82" s="120"/>
      <c r="U82" s="125">
        <v>2012</v>
      </c>
      <c r="V82" s="122"/>
      <c r="W82" s="116"/>
      <c r="X82" s="131"/>
      <c r="Y82" s="127"/>
      <c r="Z82" s="123">
        <v>130000</v>
      </c>
      <c r="AA82" s="7" t="s">
        <v>365</v>
      </c>
      <c r="AB82" s="109">
        <v>130000</v>
      </c>
      <c r="AC82" s="109">
        <v>130000</v>
      </c>
      <c r="AD82" s="124">
        <v>130000</v>
      </c>
      <c r="AE82" s="111">
        <v>1</v>
      </c>
      <c r="AF82" s="110">
        <v>5407400</v>
      </c>
      <c r="AG82" s="110">
        <v>0</v>
      </c>
      <c r="AH82" s="112">
        <v>24.041128823464142</v>
      </c>
      <c r="AI82" s="113">
        <v>22.4</v>
      </c>
      <c r="AJ82" s="116" t="s">
        <v>379</v>
      </c>
      <c r="AK82" s="68" t="s">
        <v>374</v>
      </c>
      <c r="AL82" s="68" t="s">
        <v>374</v>
      </c>
      <c r="AM82" s="112" t="s">
        <v>374</v>
      </c>
      <c r="AN82" s="111">
        <f>IF(Level1[[#This Row],[Standardised_Normalised_Mass_kg/capita/year]]&lt;&gt;"",Level1[[#This Row],[Standardised_Normalised_Mass_kg/capita/year]],Level1[[#This Row],[Derived_Normalised_kg/capita/year]])</f>
        <v>24.041128823464142</v>
      </c>
      <c r="AO82" s="68">
        <f>IF(Level1[[#This Row],[Household]]=1,IF(Level1[[#This Row],[Household_Diary?]]=1,'Cover Sheet'!$R$31,1),1)</f>
        <v>1</v>
      </c>
      <c r="AP82" s="68">
        <f>IF(Level1[[#This Row],[Household]]=1,IF(Level1[[#This Row],[Edible_Waste_Only?]]=1,'Cover Sheet'!$R$32,1),1)</f>
        <v>1</v>
      </c>
      <c r="AQ82" s="68">
        <f>IF(Level1[[#This Row],[Food_Service]]=1,IF(Level1[[#This Row],[Edible_Waste_Only?]]=1,'Cover Sheet'!$R$33,1),1)</f>
        <v>1</v>
      </c>
      <c r="AR82" s="68">
        <f>IF(Level1[[#This Row],[Retail]]=1,IF(Level1[[#This Row],[Edible_Waste_Only?]]=1,'Cover Sheet'!$R$34,1),1)</f>
        <v>1</v>
      </c>
      <c r="AS82" s="68">
        <f>PRODUCT(Level1[[#This Row],[Household_Diary_Adjustment]:[Retail_Inedible_Adjustment]])</f>
        <v>1</v>
      </c>
      <c r="AT82" s="114">
        <f>Level1[[#This Row],[Preferred_estimate_kg/capita]]*Level1[[#This Row],[Total_Adjustment]]</f>
        <v>24.041128823464142</v>
      </c>
      <c r="AU82" s="186"/>
    </row>
    <row r="83" spans="1:47" x14ac:dyDescent="0.2">
      <c r="A83" s="102">
        <v>26</v>
      </c>
      <c r="B83" s="116" t="s">
        <v>584</v>
      </c>
      <c r="C83" s="7">
        <v>2016</v>
      </c>
      <c r="D83" s="103" t="s">
        <v>35</v>
      </c>
      <c r="E83" s="104" t="s">
        <v>109</v>
      </c>
      <c r="F83" s="7">
        <v>300</v>
      </c>
      <c r="G83" s="7" t="s">
        <v>155</v>
      </c>
      <c r="H83" s="7" t="s">
        <v>159</v>
      </c>
      <c r="I83" s="7" t="s">
        <v>161</v>
      </c>
      <c r="J83" s="7" t="s">
        <v>165</v>
      </c>
      <c r="K83" s="7"/>
      <c r="L83" s="105">
        <v>10.4735</v>
      </c>
      <c r="M83" s="104"/>
      <c r="N83" s="7"/>
      <c r="O83" s="105">
        <v>1</v>
      </c>
      <c r="P83" s="104" t="s">
        <v>224</v>
      </c>
      <c r="Q83" s="7">
        <v>2</v>
      </c>
      <c r="R83" s="7" t="s">
        <v>283</v>
      </c>
      <c r="S83" s="8"/>
      <c r="T83" s="8"/>
      <c r="U83" s="128">
        <v>2012</v>
      </c>
      <c r="V83" s="107"/>
      <c r="W83" s="7"/>
      <c r="X83" s="129"/>
      <c r="Y83" s="130"/>
      <c r="Z83" s="108">
        <v>79718</v>
      </c>
      <c r="AA83" s="7" t="s">
        <v>365</v>
      </c>
      <c r="AB83" s="109">
        <v>79718</v>
      </c>
      <c r="AC83" s="109">
        <v>79718</v>
      </c>
      <c r="AD83" s="110">
        <v>79718</v>
      </c>
      <c r="AE83" s="111">
        <v>1</v>
      </c>
      <c r="AF83" s="110">
        <v>10796714.285714285</v>
      </c>
      <c r="AG83" s="110">
        <v>0</v>
      </c>
      <c r="AH83" s="112">
        <v>7.3835426121703698</v>
      </c>
      <c r="AI83" s="113"/>
      <c r="AJ83" s="7"/>
      <c r="AK83" s="68" t="s">
        <v>374</v>
      </c>
      <c r="AL83" s="68" t="s">
        <v>374</v>
      </c>
      <c r="AM83" s="112" t="s">
        <v>374</v>
      </c>
      <c r="AN83" s="111">
        <f>IF(Level1[[#This Row],[Standardised_Normalised_Mass_kg/capita/year]]&lt;&gt;"",Level1[[#This Row],[Standardised_Normalised_Mass_kg/capita/year]],Level1[[#This Row],[Derived_Normalised_kg/capita/year]])</f>
        <v>7.3835426121703698</v>
      </c>
      <c r="AO83" s="68">
        <f>IF(Level1[[#This Row],[Household]]=1,IF(Level1[[#This Row],[Household_Diary?]]=1,'Cover Sheet'!$R$31,1),1)</f>
        <v>1</v>
      </c>
      <c r="AP83" s="68">
        <f>IF(Level1[[#This Row],[Household]]=1,IF(Level1[[#This Row],[Edible_Waste_Only?]]=1,'Cover Sheet'!$R$32,1),1)</f>
        <v>1</v>
      </c>
      <c r="AQ83" s="68">
        <f>IF(Level1[[#This Row],[Food_Service]]=1,IF(Level1[[#This Row],[Edible_Waste_Only?]]=1,'Cover Sheet'!$R$33,1),1)</f>
        <v>1</v>
      </c>
      <c r="AR83" s="68">
        <f>IF(Level1[[#This Row],[Retail]]=1,IF(Level1[[#This Row],[Edible_Waste_Only?]]=1,'Cover Sheet'!$R$34,1),1)</f>
        <v>1</v>
      </c>
      <c r="AS83" s="68">
        <f>PRODUCT(Level1[[#This Row],[Household_Diary_Adjustment]:[Retail_Inedible_Adjustment]])</f>
        <v>1</v>
      </c>
      <c r="AT83" s="114">
        <f>Level1[[#This Row],[Preferred_estimate_kg/capita]]*Level1[[#This Row],[Total_Adjustment]]</f>
        <v>7.3835426121703698</v>
      </c>
      <c r="AU83" s="186"/>
    </row>
    <row r="84" spans="1:47" x14ac:dyDescent="0.2">
      <c r="A84" s="102">
        <v>26</v>
      </c>
      <c r="B84" s="116" t="s">
        <v>584</v>
      </c>
      <c r="C84" s="7">
        <v>2016</v>
      </c>
      <c r="D84" s="103" t="s">
        <v>35</v>
      </c>
      <c r="E84" s="104" t="s">
        <v>114</v>
      </c>
      <c r="F84" s="7">
        <v>372</v>
      </c>
      <c r="G84" s="7" t="s">
        <v>153</v>
      </c>
      <c r="H84" s="7" t="s">
        <v>159</v>
      </c>
      <c r="I84" s="7" t="s">
        <v>161</v>
      </c>
      <c r="J84" s="7" t="s">
        <v>165</v>
      </c>
      <c r="K84" s="7"/>
      <c r="L84" s="105">
        <v>4.8825000000000003</v>
      </c>
      <c r="M84" s="104"/>
      <c r="N84" s="7">
        <v>1</v>
      </c>
      <c r="O84" s="105"/>
      <c r="P84" s="104" t="s">
        <v>224</v>
      </c>
      <c r="Q84" s="7">
        <v>2</v>
      </c>
      <c r="R84" s="7" t="s">
        <v>295</v>
      </c>
      <c r="S84" s="8"/>
      <c r="T84" s="8"/>
      <c r="U84" s="128">
        <v>2012</v>
      </c>
      <c r="V84" s="107"/>
      <c r="W84" s="7"/>
      <c r="X84" s="129"/>
      <c r="Y84" s="130"/>
      <c r="Z84" s="108">
        <v>258900</v>
      </c>
      <c r="AA84" s="7" t="s">
        <v>365</v>
      </c>
      <c r="AB84" s="109">
        <v>258900</v>
      </c>
      <c r="AC84" s="109">
        <v>258900</v>
      </c>
      <c r="AD84" s="110">
        <v>258900</v>
      </c>
      <c r="AE84" s="111">
        <v>1</v>
      </c>
      <c r="AF84" s="110">
        <v>4611157.1428571427</v>
      </c>
      <c r="AG84" s="110">
        <v>0</v>
      </c>
      <c r="AH84" s="112">
        <v>56.14642745390838</v>
      </c>
      <c r="AI84" s="113">
        <v>27.8</v>
      </c>
      <c r="AJ84" s="7" t="s">
        <v>379</v>
      </c>
      <c r="AK84" s="68" t="s">
        <v>374</v>
      </c>
      <c r="AL84" s="68" t="s">
        <v>374</v>
      </c>
      <c r="AM84" s="112" t="s">
        <v>374</v>
      </c>
      <c r="AN84" s="111">
        <f>IF(Level1[[#This Row],[Standardised_Normalised_Mass_kg/capita/year]]&lt;&gt;"",Level1[[#This Row],[Standardised_Normalised_Mass_kg/capita/year]],Level1[[#This Row],[Derived_Normalised_kg/capita/year]])</f>
        <v>56.14642745390838</v>
      </c>
      <c r="AO84" s="68">
        <f>IF(Level1[[#This Row],[Household]]=1,IF(Level1[[#This Row],[Household_Diary?]]=1,'Cover Sheet'!$R$31,1),1)</f>
        <v>1</v>
      </c>
      <c r="AP84" s="68">
        <f>IF(Level1[[#This Row],[Household]]=1,IF(Level1[[#This Row],[Edible_Waste_Only?]]=1,'Cover Sheet'!$R$32,1),1)</f>
        <v>1</v>
      </c>
      <c r="AQ84" s="68">
        <f>IF(Level1[[#This Row],[Food_Service]]=1,IF(Level1[[#This Row],[Edible_Waste_Only?]]=1,'Cover Sheet'!$R$33,1),1)</f>
        <v>1</v>
      </c>
      <c r="AR84" s="68">
        <f>IF(Level1[[#This Row],[Retail]]=1,IF(Level1[[#This Row],[Edible_Waste_Only?]]=1,'Cover Sheet'!$R$34,1),1)</f>
        <v>1</v>
      </c>
      <c r="AS84" s="68">
        <f>PRODUCT(Level1[[#This Row],[Household_Diary_Adjustment]:[Retail_Inedible_Adjustment]])</f>
        <v>1</v>
      </c>
      <c r="AT84" s="114">
        <f>Level1[[#This Row],[Preferred_estimate_kg/capita]]*Level1[[#This Row],[Total_Adjustment]]</f>
        <v>56.14642745390838</v>
      </c>
      <c r="AU84" s="186"/>
    </row>
    <row r="85" spans="1:47" x14ac:dyDescent="0.2">
      <c r="A85" s="115">
        <v>26</v>
      </c>
      <c r="B85" s="116" t="s">
        <v>584</v>
      </c>
      <c r="C85" s="116">
        <v>2016</v>
      </c>
      <c r="D85" s="117" t="s">
        <v>35</v>
      </c>
      <c r="E85" s="118" t="s">
        <v>114</v>
      </c>
      <c r="F85" s="116">
        <v>372</v>
      </c>
      <c r="G85" s="116" t="s">
        <v>153</v>
      </c>
      <c r="H85" s="116" t="s">
        <v>159</v>
      </c>
      <c r="I85" s="7" t="s">
        <v>161</v>
      </c>
      <c r="J85" s="7" t="s">
        <v>165</v>
      </c>
      <c r="K85" s="116"/>
      <c r="L85" s="105">
        <v>4.8825000000000003</v>
      </c>
      <c r="M85" s="118">
        <v>1</v>
      </c>
      <c r="N85" s="116"/>
      <c r="O85" s="119"/>
      <c r="P85" s="118" t="s">
        <v>224</v>
      </c>
      <c r="Q85" s="116">
        <v>2</v>
      </c>
      <c r="R85" s="116" t="s">
        <v>295</v>
      </c>
      <c r="S85" s="120"/>
      <c r="T85" s="120"/>
      <c r="U85" s="125">
        <v>2012</v>
      </c>
      <c r="V85" s="122"/>
      <c r="W85" s="116"/>
      <c r="X85" s="131"/>
      <c r="Y85" s="127"/>
      <c r="Z85" s="123">
        <v>251000</v>
      </c>
      <c r="AA85" s="7" t="s">
        <v>365</v>
      </c>
      <c r="AB85" s="109">
        <v>251000</v>
      </c>
      <c r="AC85" s="109">
        <v>251000</v>
      </c>
      <c r="AD85" s="124">
        <v>251000</v>
      </c>
      <c r="AE85" s="111">
        <v>0</v>
      </c>
      <c r="AF85" s="110">
        <v>4611157.1428571427</v>
      </c>
      <c r="AG85" s="110">
        <v>0</v>
      </c>
      <c r="AH85" s="112">
        <v>0</v>
      </c>
      <c r="AI85" s="113">
        <v>54.7</v>
      </c>
      <c r="AJ85" s="116" t="s">
        <v>377</v>
      </c>
      <c r="AK85" s="68">
        <v>54.7</v>
      </c>
      <c r="AL85" s="68">
        <v>54.7</v>
      </c>
      <c r="AM85" s="112">
        <v>54.7</v>
      </c>
      <c r="AN85" s="111">
        <f>IF(Level1[[#This Row],[Standardised_Normalised_Mass_kg/capita/year]]&lt;&gt;"",Level1[[#This Row],[Standardised_Normalised_Mass_kg/capita/year]],Level1[[#This Row],[Derived_Normalised_kg/capita/year]])</f>
        <v>54.7</v>
      </c>
      <c r="AO85" s="68">
        <f>IF(Level1[[#This Row],[Household]]=1,IF(Level1[[#This Row],[Household_Diary?]]=1,'Cover Sheet'!$R$31,1),1)</f>
        <v>1</v>
      </c>
      <c r="AP85" s="68">
        <f>IF(Level1[[#This Row],[Household]]=1,IF(Level1[[#This Row],[Edible_Waste_Only?]]=1,'Cover Sheet'!$R$32,1),1)</f>
        <v>1</v>
      </c>
      <c r="AQ85" s="68">
        <f>IF(Level1[[#This Row],[Food_Service]]=1,IF(Level1[[#This Row],[Edible_Waste_Only?]]=1,'Cover Sheet'!$R$33,1),1)</f>
        <v>1</v>
      </c>
      <c r="AR85" s="68">
        <f>IF(Level1[[#This Row],[Retail]]=1,IF(Level1[[#This Row],[Edible_Waste_Only?]]=1,'Cover Sheet'!$R$34,1),1)</f>
        <v>1</v>
      </c>
      <c r="AS85" s="68">
        <f>PRODUCT(Level1[[#This Row],[Household_Diary_Adjustment]:[Retail_Inedible_Adjustment]])</f>
        <v>1</v>
      </c>
      <c r="AT85" s="114">
        <f>Level1[[#This Row],[Preferred_estimate_kg/capita]]*Level1[[#This Row],[Total_Adjustment]]</f>
        <v>54.7</v>
      </c>
      <c r="AU85" s="186"/>
    </row>
    <row r="86" spans="1:47" x14ac:dyDescent="0.2">
      <c r="A86" s="115">
        <v>26</v>
      </c>
      <c r="B86" s="116" t="s">
        <v>584</v>
      </c>
      <c r="C86" s="116">
        <v>2016</v>
      </c>
      <c r="D86" s="117" t="s">
        <v>35</v>
      </c>
      <c r="E86" s="118" t="s">
        <v>120</v>
      </c>
      <c r="F86" s="116">
        <v>442</v>
      </c>
      <c r="G86" s="116" t="s">
        <v>147</v>
      </c>
      <c r="H86" s="116" t="s">
        <v>159</v>
      </c>
      <c r="I86" s="7" t="s">
        <v>161</v>
      </c>
      <c r="J86" s="7" t="s">
        <v>165</v>
      </c>
      <c r="K86" s="116"/>
      <c r="L86" s="105">
        <v>0.61570000000000003</v>
      </c>
      <c r="M86" s="118"/>
      <c r="N86" s="116"/>
      <c r="O86" s="119">
        <v>1</v>
      </c>
      <c r="P86" s="118" t="s">
        <v>224</v>
      </c>
      <c r="Q86" s="116">
        <v>2</v>
      </c>
      <c r="R86" s="116" t="s">
        <v>308</v>
      </c>
      <c r="S86" s="120"/>
      <c r="T86" s="120"/>
      <c r="U86" s="125">
        <v>2012</v>
      </c>
      <c r="V86" s="122"/>
      <c r="W86" s="116"/>
      <c r="X86" s="131"/>
      <c r="Y86" s="127"/>
      <c r="Z86" s="123">
        <v>2099</v>
      </c>
      <c r="AA86" s="7" t="s">
        <v>365</v>
      </c>
      <c r="AB86" s="109">
        <v>2099</v>
      </c>
      <c r="AC86" s="109">
        <v>2099</v>
      </c>
      <c r="AD86" s="124">
        <v>2099</v>
      </c>
      <c r="AE86" s="111">
        <v>0</v>
      </c>
      <c r="AF86" s="110">
        <v>0</v>
      </c>
      <c r="AG86" s="110">
        <v>0</v>
      </c>
      <c r="AH86" s="112">
        <v>0</v>
      </c>
      <c r="AI86" s="113">
        <v>3.9</v>
      </c>
      <c r="AJ86" s="116" t="s">
        <v>377</v>
      </c>
      <c r="AK86" s="68">
        <v>3.9</v>
      </c>
      <c r="AL86" s="68">
        <v>3.9</v>
      </c>
      <c r="AM86" s="112">
        <v>3.9</v>
      </c>
      <c r="AN86" s="111">
        <f>IF(Level1[[#This Row],[Standardised_Normalised_Mass_kg/capita/year]]&lt;&gt;"",Level1[[#This Row],[Standardised_Normalised_Mass_kg/capita/year]],Level1[[#This Row],[Derived_Normalised_kg/capita/year]])</f>
        <v>3.9</v>
      </c>
      <c r="AO86" s="68">
        <f>IF(Level1[[#This Row],[Household]]=1,IF(Level1[[#This Row],[Household_Diary?]]=1,'Cover Sheet'!$R$31,1),1)</f>
        <v>1</v>
      </c>
      <c r="AP86" s="68">
        <f>IF(Level1[[#This Row],[Household]]=1,IF(Level1[[#This Row],[Edible_Waste_Only?]]=1,'Cover Sheet'!$R$32,1),1)</f>
        <v>1</v>
      </c>
      <c r="AQ86" s="68">
        <f>IF(Level1[[#This Row],[Food_Service]]=1,IF(Level1[[#This Row],[Edible_Waste_Only?]]=1,'Cover Sheet'!$R$33,1),1)</f>
        <v>1</v>
      </c>
      <c r="AR86" s="68">
        <f>IF(Level1[[#This Row],[Retail]]=1,IF(Level1[[#This Row],[Edible_Waste_Only?]]=1,'Cover Sheet'!$R$34,1),1)</f>
        <v>1</v>
      </c>
      <c r="AS86" s="68">
        <f>PRODUCT(Level1[[#This Row],[Household_Diary_Adjustment]:[Retail_Inedible_Adjustment]])</f>
        <v>1</v>
      </c>
      <c r="AT86" s="114">
        <f>Level1[[#This Row],[Preferred_estimate_kg/capita]]*Level1[[#This Row],[Total_Adjustment]]</f>
        <v>3.9</v>
      </c>
      <c r="AU86" s="186"/>
    </row>
    <row r="87" spans="1:47" x14ac:dyDescent="0.2">
      <c r="A87" s="102">
        <v>26</v>
      </c>
      <c r="B87" s="116" t="s">
        <v>584</v>
      </c>
      <c r="C87" s="7">
        <v>2016</v>
      </c>
      <c r="D87" s="103" t="s">
        <v>35</v>
      </c>
      <c r="E87" s="104" t="s">
        <v>124</v>
      </c>
      <c r="F87" s="7">
        <v>528</v>
      </c>
      <c r="G87" s="7" t="s">
        <v>147</v>
      </c>
      <c r="H87" s="7" t="s">
        <v>159</v>
      </c>
      <c r="I87" s="7" t="s">
        <v>161</v>
      </c>
      <c r="J87" s="7" t="s">
        <v>165</v>
      </c>
      <c r="K87" s="7"/>
      <c r="L87" s="105">
        <v>17.097100000000001</v>
      </c>
      <c r="M87" s="104"/>
      <c r="N87" s="7"/>
      <c r="O87" s="105">
        <v>1</v>
      </c>
      <c r="P87" s="104" t="s">
        <v>224</v>
      </c>
      <c r="Q87" s="7">
        <v>2</v>
      </c>
      <c r="R87" s="7" t="s">
        <v>316</v>
      </c>
      <c r="S87" s="8"/>
      <c r="T87" s="8"/>
      <c r="U87" s="128">
        <v>2012</v>
      </c>
      <c r="V87" s="107"/>
      <c r="W87" s="7"/>
      <c r="X87" s="129"/>
      <c r="Y87" s="130"/>
      <c r="Z87" s="108">
        <v>180000</v>
      </c>
      <c r="AA87" s="7" t="s">
        <v>365</v>
      </c>
      <c r="AB87" s="109">
        <v>180000</v>
      </c>
      <c r="AC87" s="109">
        <v>180000</v>
      </c>
      <c r="AD87" s="110">
        <v>180000</v>
      </c>
      <c r="AE87" s="111">
        <v>0</v>
      </c>
      <c r="AF87" s="110">
        <v>0</v>
      </c>
      <c r="AG87" s="110">
        <v>0</v>
      </c>
      <c r="AH87" s="112">
        <v>0</v>
      </c>
      <c r="AI87" s="113">
        <v>11</v>
      </c>
      <c r="AJ87" s="7" t="s">
        <v>377</v>
      </c>
      <c r="AK87" s="68">
        <v>11</v>
      </c>
      <c r="AL87" s="68">
        <v>11</v>
      </c>
      <c r="AM87" s="112">
        <v>11</v>
      </c>
      <c r="AN87" s="111">
        <f>IF(Level1[[#This Row],[Standardised_Normalised_Mass_kg/capita/year]]&lt;&gt;"",Level1[[#This Row],[Standardised_Normalised_Mass_kg/capita/year]],Level1[[#This Row],[Derived_Normalised_kg/capita/year]])</f>
        <v>11</v>
      </c>
      <c r="AO87" s="68">
        <f>IF(Level1[[#This Row],[Household]]=1,IF(Level1[[#This Row],[Household_Diary?]]=1,'Cover Sheet'!$R$31,1),1)</f>
        <v>1</v>
      </c>
      <c r="AP87" s="68">
        <f>IF(Level1[[#This Row],[Household]]=1,IF(Level1[[#This Row],[Edible_Waste_Only?]]=1,'Cover Sheet'!$R$32,1),1)</f>
        <v>1</v>
      </c>
      <c r="AQ87" s="68">
        <f>IF(Level1[[#This Row],[Food_Service]]=1,IF(Level1[[#This Row],[Edible_Waste_Only?]]=1,'Cover Sheet'!$R$33,1),1)</f>
        <v>1</v>
      </c>
      <c r="AR87" s="68">
        <f>IF(Level1[[#This Row],[Retail]]=1,IF(Level1[[#This Row],[Edible_Waste_Only?]]=1,'Cover Sheet'!$R$34,1),1)</f>
        <v>1</v>
      </c>
      <c r="AS87" s="68">
        <f>PRODUCT(Level1[[#This Row],[Household_Diary_Adjustment]:[Retail_Inedible_Adjustment]])</f>
        <v>1</v>
      </c>
      <c r="AT87" s="114">
        <f>Level1[[#This Row],[Preferred_estimate_kg/capita]]*Level1[[#This Row],[Total_Adjustment]]</f>
        <v>11</v>
      </c>
      <c r="AU87" s="186"/>
    </row>
    <row r="88" spans="1:47" x14ac:dyDescent="0.2">
      <c r="A88" s="115">
        <v>28</v>
      </c>
      <c r="B88" s="116" t="s">
        <v>588</v>
      </c>
      <c r="C88" s="116">
        <v>2016</v>
      </c>
      <c r="D88" s="117" t="s">
        <v>395</v>
      </c>
      <c r="E88" s="118" t="s">
        <v>105</v>
      </c>
      <c r="F88" s="116">
        <v>250</v>
      </c>
      <c r="G88" s="116" t="s">
        <v>147</v>
      </c>
      <c r="H88" s="116" t="s">
        <v>159</v>
      </c>
      <c r="I88" s="7" t="s">
        <v>161</v>
      </c>
      <c r="J88" s="7" t="s">
        <v>165</v>
      </c>
      <c r="K88" s="116"/>
      <c r="L88" s="105">
        <v>65.1297</v>
      </c>
      <c r="M88" s="118">
        <v>1</v>
      </c>
      <c r="N88" s="116"/>
      <c r="O88" s="119"/>
      <c r="P88" s="118" t="s">
        <v>227</v>
      </c>
      <c r="Q88" s="116">
        <v>2</v>
      </c>
      <c r="R88" s="116" t="s">
        <v>274</v>
      </c>
      <c r="S88" s="120">
        <v>1</v>
      </c>
      <c r="T88" s="120">
        <v>1</v>
      </c>
      <c r="U88" s="121">
        <v>2014</v>
      </c>
      <c r="V88" s="122"/>
      <c r="W88" s="116"/>
      <c r="X88" s="131"/>
      <c r="Y88" s="127" t="s">
        <v>514</v>
      </c>
      <c r="Z88" s="123"/>
      <c r="AA88" s="7"/>
      <c r="AB88" s="109" t="s">
        <v>374</v>
      </c>
      <c r="AC88" s="109" t="s">
        <v>374</v>
      </c>
      <c r="AD88" s="124" t="s">
        <v>374</v>
      </c>
      <c r="AE88" s="111">
        <v>0</v>
      </c>
      <c r="AF88" s="110">
        <v>0</v>
      </c>
      <c r="AG88" s="110">
        <v>0</v>
      </c>
      <c r="AH88" s="112">
        <v>0</v>
      </c>
      <c r="AI88" s="113">
        <v>29</v>
      </c>
      <c r="AJ88" s="116" t="s">
        <v>377</v>
      </c>
      <c r="AK88" s="68">
        <v>29</v>
      </c>
      <c r="AL88" s="68">
        <v>29</v>
      </c>
      <c r="AM88" s="112">
        <v>29</v>
      </c>
      <c r="AN88" s="111">
        <f>IF(Level1[[#This Row],[Standardised_Normalised_Mass_kg/capita/year]]&lt;&gt;"",Level1[[#This Row],[Standardised_Normalised_Mass_kg/capita/year]],Level1[[#This Row],[Derived_Normalised_kg/capita/year]])</f>
        <v>29</v>
      </c>
      <c r="AO88" s="68">
        <f>IF(Level1[[#This Row],[Household]]=1,IF(Level1[[#This Row],[Household_Diary?]]=1,'Cover Sheet'!$R$31,1),1)</f>
        <v>1.4326647564469914</v>
      </c>
      <c r="AP88" s="68">
        <f>IF(Level1[[#This Row],[Household]]=1,IF(Level1[[#This Row],[Edible_Waste_Only?]]=1,'Cover Sheet'!$R$32,1),1)</f>
        <v>2.0408117215309693</v>
      </c>
      <c r="AQ88" s="68">
        <f>IF(Level1[[#This Row],[Food_Service]]=1,IF(Level1[[#This Row],[Edible_Waste_Only?]]=1,'Cover Sheet'!$R$33,1),1)</f>
        <v>1</v>
      </c>
      <c r="AR88" s="68">
        <f>IF(Level1[[#This Row],[Retail]]=1,IF(Level1[[#This Row],[Edible_Waste_Only?]]=1,'Cover Sheet'!$R$34,1),1)</f>
        <v>1</v>
      </c>
      <c r="AS88" s="68">
        <f>PRODUCT(Level1[[#This Row],[Household_Diary_Adjustment]:[Retail_Inedible_Adjustment]])</f>
        <v>2.9237990279813313</v>
      </c>
      <c r="AT88" s="114">
        <f>Level1[[#This Row],[Preferred_estimate_kg/capita]]*Level1[[#This Row],[Total_Adjustment]]</f>
        <v>84.790171811458606</v>
      </c>
      <c r="AU88" s="186"/>
    </row>
    <row r="89" spans="1:47" x14ac:dyDescent="0.2">
      <c r="A89" s="102">
        <v>28</v>
      </c>
      <c r="B89" s="116" t="s">
        <v>588</v>
      </c>
      <c r="C89" s="7">
        <v>2016</v>
      </c>
      <c r="D89" s="103" t="s">
        <v>395</v>
      </c>
      <c r="E89" s="104" t="s">
        <v>105</v>
      </c>
      <c r="F89" s="7">
        <v>250</v>
      </c>
      <c r="G89" s="7" t="s">
        <v>147</v>
      </c>
      <c r="H89" s="7" t="s">
        <v>159</v>
      </c>
      <c r="I89" s="7" t="s">
        <v>161</v>
      </c>
      <c r="J89" s="7" t="s">
        <v>165</v>
      </c>
      <c r="K89" s="7"/>
      <c r="L89" s="105">
        <v>65.1297</v>
      </c>
      <c r="M89" s="104"/>
      <c r="N89" s="7"/>
      <c r="O89" s="105">
        <v>1</v>
      </c>
      <c r="P89" s="104" t="s">
        <v>228</v>
      </c>
      <c r="Q89" s="7">
        <v>2</v>
      </c>
      <c r="R89" s="7" t="s">
        <v>275</v>
      </c>
      <c r="S89" s="8"/>
      <c r="T89" s="8">
        <v>1</v>
      </c>
      <c r="U89" s="128">
        <v>2015</v>
      </c>
      <c r="V89" s="107"/>
      <c r="W89" s="7"/>
      <c r="X89" s="129"/>
      <c r="Y89" s="130" t="s">
        <v>514</v>
      </c>
      <c r="Z89" s="108">
        <v>1400000</v>
      </c>
      <c r="AA89" s="7" t="s">
        <v>365</v>
      </c>
      <c r="AB89" s="109">
        <v>1400000</v>
      </c>
      <c r="AC89" s="109">
        <v>1400000</v>
      </c>
      <c r="AD89" s="110">
        <v>1400000</v>
      </c>
      <c r="AE89" s="111">
        <v>1</v>
      </c>
      <c r="AF89" s="110">
        <v>64281642.857142858</v>
      </c>
      <c r="AG89" s="110">
        <v>0</v>
      </c>
      <c r="AH89" s="112">
        <v>21.779157124395656</v>
      </c>
      <c r="AI89" s="113"/>
      <c r="AJ89" s="7"/>
      <c r="AK89" s="68" t="s">
        <v>374</v>
      </c>
      <c r="AL89" s="68" t="s">
        <v>374</v>
      </c>
      <c r="AM89" s="112" t="s">
        <v>374</v>
      </c>
      <c r="AN89" s="111">
        <f>IF(Level1[[#This Row],[Standardised_Normalised_Mass_kg/capita/year]]&lt;&gt;"",Level1[[#This Row],[Standardised_Normalised_Mass_kg/capita/year]],Level1[[#This Row],[Derived_Normalised_kg/capita/year]])</f>
        <v>21.779157124395656</v>
      </c>
      <c r="AO89" s="68">
        <f>IF(Level1[[#This Row],[Household]]=1,IF(Level1[[#This Row],[Household_Diary?]]=1,'Cover Sheet'!$R$31,1),1)</f>
        <v>1</v>
      </c>
      <c r="AP89" s="68">
        <f>IF(Level1[[#This Row],[Household]]=1,IF(Level1[[#This Row],[Edible_Waste_Only?]]=1,'Cover Sheet'!$R$32,1),1)</f>
        <v>1</v>
      </c>
      <c r="AQ89" s="68">
        <f>IF(Level1[[#This Row],[Food_Service]]=1,IF(Level1[[#This Row],[Edible_Waste_Only?]]=1,'Cover Sheet'!$R$33,1),1)</f>
        <v>1</v>
      </c>
      <c r="AR89" s="68">
        <f>IF(Level1[[#This Row],[Retail]]=1,IF(Level1[[#This Row],[Edible_Waste_Only?]]=1,'Cover Sheet'!$R$34,1),1)</f>
        <v>1.1756101852337386</v>
      </c>
      <c r="AS89" s="68">
        <f>PRODUCT(Level1[[#This Row],[Household_Diary_Adjustment]:[Retail_Inedible_Adjustment]])</f>
        <v>1.1756101852337386</v>
      </c>
      <c r="AT89" s="114">
        <f>Level1[[#This Row],[Preferred_estimate_kg/capita]]*Level1[[#This Row],[Total_Adjustment]]</f>
        <v>25.603798941245476</v>
      </c>
      <c r="AU89" s="186"/>
    </row>
    <row r="90" spans="1:47" x14ac:dyDescent="0.2">
      <c r="A90" s="115">
        <v>28</v>
      </c>
      <c r="B90" s="116" t="s">
        <v>588</v>
      </c>
      <c r="C90" s="116">
        <v>2016</v>
      </c>
      <c r="D90" s="117" t="s">
        <v>395</v>
      </c>
      <c r="E90" s="118" t="s">
        <v>105</v>
      </c>
      <c r="F90" s="116">
        <v>250</v>
      </c>
      <c r="G90" s="116" t="s">
        <v>147</v>
      </c>
      <c r="H90" s="116" t="s">
        <v>159</v>
      </c>
      <c r="I90" s="7" t="s">
        <v>161</v>
      </c>
      <c r="J90" s="7" t="s">
        <v>165</v>
      </c>
      <c r="K90" s="116"/>
      <c r="L90" s="105">
        <v>65.1297</v>
      </c>
      <c r="M90" s="118"/>
      <c r="N90" s="116">
        <v>1</v>
      </c>
      <c r="O90" s="119"/>
      <c r="P90" s="118" t="s">
        <v>225</v>
      </c>
      <c r="Q90" s="116">
        <v>2</v>
      </c>
      <c r="R90" s="116" t="s">
        <v>276</v>
      </c>
      <c r="S90" s="120"/>
      <c r="T90" s="120">
        <v>1</v>
      </c>
      <c r="U90" s="125"/>
      <c r="V90" s="122"/>
      <c r="W90" s="116"/>
      <c r="X90" s="131"/>
      <c r="Y90" s="127" t="s">
        <v>514</v>
      </c>
      <c r="Z90" s="123">
        <v>1.33</v>
      </c>
      <c r="AA90" s="7" t="s">
        <v>367</v>
      </c>
      <c r="AB90" s="109">
        <v>1.33</v>
      </c>
      <c r="AC90" s="109">
        <v>1330000</v>
      </c>
      <c r="AD90" s="124">
        <v>1330000</v>
      </c>
      <c r="AE90" s="111">
        <v>0</v>
      </c>
      <c r="AF90" s="110">
        <v>0</v>
      </c>
      <c r="AG90" s="110">
        <v>0</v>
      </c>
      <c r="AH90" s="112">
        <v>0</v>
      </c>
      <c r="AI90" s="113">
        <v>21</v>
      </c>
      <c r="AJ90" s="116" t="s">
        <v>377</v>
      </c>
      <c r="AK90" s="68">
        <v>21</v>
      </c>
      <c r="AL90" s="68">
        <v>21</v>
      </c>
      <c r="AM90" s="112">
        <v>21</v>
      </c>
      <c r="AN90" s="111">
        <f>IF(Level1[[#This Row],[Standardised_Normalised_Mass_kg/capita/year]]&lt;&gt;"",Level1[[#This Row],[Standardised_Normalised_Mass_kg/capita/year]],Level1[[#This Row],[Derived_Normalised_kg/capita/year]])</f>
        <v>21</v>
      </c>
      <c r="AO90" s="68">
        <f>IF(Level1[[#This Row],[Household]]=1,IF(Level1[[#This Row],[Household_Diary?]]=1,'Cover Sheet'!$R$31,1),1)</f>
        <v>1</v>
      </c>
      <c r="AP90" s="68">
        <f>IF(Level1[[#This Row],[Household]]=1,IF(Level1[[#This Row],[Edible_Waste_Only?]]=1,'Cover Sheet'!$R$32,1),1)</f>
        <v>1</v>
      </c>
      <c r="AQ90" s="68">
        <f>IF(Level1[[#This Row],[Food_Service]]=1,IF(Level1[[#This Row],[Edible_Waste_Only?]]=1,'Cover Sheet'!$R$33,1),1)</f>
        <v>1.5045789123242672</v>
      </c>
      <c r="AR90" s="68">
        <f>IF(Level1[[#This Row],[Retail]]=1,IF(Level1[[#This Row],[Edible_Waste_Only?]]=1,'Cover Sheet'!$R$34,1),1)</f>
        <v>1</v>
      </c>
      <c r="AS90" s="68">
        <f>PRODUCT(Level1[[#This Row],[Household_Diary_Adjustment]:[Retail_Inedible_Adjustment]])</f>
        <v>1.5045789123242672</v>
      </c>
      <c r="AT90" s="114">
        <f>Level1[[#This Row],[Preferred_estimate_kg/capita]]*Level1[[#This Row],[Total_Adjustment]]</f>
        <v>31.596157158809611</v>
      </c>
      <c r="AU90" s="186"/>
    </row>
    <row r="91" spans="1:47" x14ac:dyDescent="0.2">
      <c r="A91" s="102">
        <v>36</v>
      </c>
      <c r="B91" s="116" t="s">
        <v>604</v>
      </c>
      <c r="C91" s="7">
        <v>2016</v>
      </c>
      <c r="D91" s="103" t="s">
        <v>45</v>
      </c>
      <c r="E91" s="104" t="s">
        <v>111</v>
      </c>
      <c r="F91" s="7">
        <v>356</v>
      </c>
      <c r="G91" s="7" t="s">
        <v>149</v>
      </c>
      <c r="H91" s="7" t="s">
        <v>160</v>
      </c>
      <c r="I91" s="7" t="s">
        <v>162</v>
      </c>
      <c r="J91" s="7" t="s">
        <v>166</v>
      </c>
      <c r="K91" s="7" t="s">
        <v>187</v>
      </c>
      <c r="L91" s="105">
        <v>1366.4177999999999</v>
      </c>
      <c r="M91" s="104">
        <v>1</v>
      </c>
      <c r="N91" s="7"/>
      <c r="O91" s="105"/>
      <c r="P91" s="104" t="s">
        <v>225</v>
      </c>
      <c r="Q91" s="7">
        <v>2</v>
      </c>
      <c r="R91" s="7" t="s">
        <v>287</v>
      </c>
      <c r="S91" s="8"/>
      <c r="T91" s="8"/>
      <c r="U91" s="128">
        <v>2014</v>
      </c>
      <c r="V91" s="107">
        <v>0.74</v>
      </c>
      <c r="W91" s="7" t="s">
        <v>362</v>
      </c>
      <c r="X91" s="129"/>
      <c r="Y91" s="130"/>
      <c r="Z91" s="108"/>
      <c r="AA91" s="7"/>
      <c r="AB91" s="109" t="s">
        <v>374</v>
      </c>
      <c r="AC91" s="109" t="s">
        <v>374</v>
      </c>
      <c r="AD91" s="110" t="s">
        <v>374</v>
      </c>
      <c r="AE91" s="111">
        <v>0</v>
      </c>
      <c r="AF91" s="110">
        <v>0</v>
      </c>
      <c r="AG91" s="110">
        <v>0</v>
      </c>
      <c r="AH91" s="112">
        <v>0</v>
      </c>
      <c r="AI91" s="113">
        <f>0.214*Level1[[#This Row],[FW_Share_estimate]]</f>
        <v>0.15836</v>
      </c>
      <c r="AJ91" s="7" t="s">
        <v>375</v>
      </c>
      <c r="AK91" s="68">
        <v>0.15836</v>
      </c>
      <c r="AL91" s="68">
        <v>57.840989999999998</v>
      </c>
      <c r="AM91" s="112">
        <v>57.840989999999998</v>
      </c>
      <c r="AN91" s="111">
        <f>IF(Level1[[#This Row],[Standardised_Normalised_Mass_kg/capita/year]]&lt;&gt;"",Level1[[#This Row],[Standardised_Normalised_Mass_kg/capita/year]],Level1[[#This Row],[Derived_Normalised_kg/capita/year]])</f>
        <v>57.840989999999998</v>
      </c>
      <c r="AO91" s="68">
        <f>IF(Level1[[#This Row],[Household]]=1,IF(Level1[[#This Row],[Household_Diary?]]=1,'Cover Sheet'!$R$31,1),1)</f>
        <v>1</v>
      </c>
      <c r="AP91" s="68">
        <f>IF(Level1[[#This Row],[Household]]=1,IF(Level1[[#This Row],[Edible_Waste_Only?]]=1,'Cover Sheet'!$R$32,1),1)</f>
        <v>1</v>
      </c>
      <c r="AQ91" s="68">
        <f>IF(Level1[[#This Row],[Food_Service]]=1,IF(Level1[[#This Row],[Edible_Waste_Only?]]=1,'Cover Sheet'!$R$33,1),1)</f>
        <v>1</v>
      </c>
      <c r="AR91" s="68">
        <f>IF(Level1[[#This Row],[Retail]]=1,IF(Level1[[#This Row],[Edible_Waste_Only?]]=1,'Cover Sheet'!$R$34,1),1)</f>
        <v>1</v>
      </c>
      <c r="AS91" s="68">
        <f>PRODUCT(Level1[[#This Row],[Household_Diary_Adjustment]:[Retail_Inedible_Adjustment]])</f>
        <v>1</v>
      </c>
      <c r="AT91" s="114">
        <f>Level1[[#This Row],[Preferred_estimate_kg/capita]]*Level1[[#This Row],[Total_Adjustment]]</f>
        <v>57.840989999999998</v>
      </c>
      <c r="AU91" s="186"/>
    </row>
    <row r="92" spans="1:47" x14ac:dyDescent="0.2">
      <c r="A92" s="102">
        <v>60</v>
      </c>
      <c r="B92" s="116" t="s">
        <v>7</v>
      </c>
      <c r="C92" s="7">
        <v>2016</v>
      </c>
      <c r="D92" s="103" t="s">
        <v>69</v>
      </c>
      <c r="E92" s="104" t="s">
        <v>127</v>
      </c>
      <c r="F92" s="7">
        <v>578</v>
      </c>
      <c r="G92" s="7" t="s">
        <v>153</v>
      </c>
      <c r="H92" s="7" t="s">
        <v>159</v>
      </c>
      <c r="I92" s="7" t="s">
        <v>161</v>
      </c>
      <c r="J92" s="7" t="s">
        <v>165</v>
      </c>
      <c r="K92" s="7"/>
      <c r="L92" s="105">
        <v>5.3788999999999998</v>
      </c>
      <c r="M92" s="104"/>
      <c r="N92" s="7"/>
      <c r="O92" s="105">
        <v>1</v>
      </c>
      <c r="P92" s="104" t="s">
        <v>390</v>
      </c>
      <c r="Q92" s="7">
        <v>2</v>
      </c>
      <c r="R92" s="7" t="s">
        <v>321</v>
      </c>
      <c r="S92" s="8"/>
      <c r="T92" s="8">
        <v>1</v>
      </c>
      <c r="U92" s="128">
        <v>2015</v>
      </c>
      <c r="V92" s="107"/>
      <c r="W92" s="7"/>
      <c r="X92" s="129"/>
      <c r="Y92" s="130" t="s">
        <v>514</v>
      </c>
      <c r="Z92" s="108">
        <f>60177+3067</f>
        <v>63244</v>
      </c>
      <c r="AA92" s="7" t="s">
        <v>365</v>
      </c>
      <c r="AB92" s="109">
        <v>63244</v>
      </c>
      <c r="AC92" s="109">
        <v>63244</v>
      </c>
      <c r="AD92" s="110">
        <v>63244</v>
      </c>
      <c r="AE92" s="111">
        <v>0</v>
      </c>
      <c r="AF92" s="110">
        <v>5179042.8571428573</v>
      </c>
      <c r="AG92" s="110">
        <v>0</v>
      </c>
      <c r="AH92" s="112">
        <v>0</v>
      </c>
      <c r="AI92" s="113">
        <f>11.65+0.59</f>
        <v>12.24</v>
      </c>
      <c r="AJ92" s="7" t="s">
        <v>377</v>
      </c>
      <c r="AK92" s="68">
        <v>12.24</v>
      </c>
      <c r="AL92" s="68">
        <v>12.24</v>
      </c>
      <c r="AM92" s="112">
        <v>12.24</v>
      </c>
      <c r="AN92" s="111">
        <f>IF(Level1[[#This Row],[Standardised_Normalised_Mass_kg/capita/year]]&lt;&gt;"",Level1[[#This Row],[Standardised_Normalised_Mass_kg/capita/year]],Level1[[#This Row],[Derived_Normalised_kg/capita/year]])</f>
        <v>12.24</v>
      </c>
      <c r="AO92" s="68">
        <f>IF(Level1[[#This Row],[Household]]=1,IF(Level1[[#This Row],[Household_Diary?]]=1,'Cover Sheet'!$R$31,1),1)</f>
        <v>1</v>
      </c>
      <c r="AP92" s="68">
        <f>IF(Level1[[#This Row],[Household]]=1,IF(Level1[[#This Row],[Edible_Waste_Only?]]=1,'Cover Sheet'!$R$32,1),1)</f>
        <v>1</v>
      </c>
      <c r="AQ92" s="68">
        <f>IF(Level1[[#This Row],[Food_Service]]=1,IF(Level1[[#This Row],[Edible_Waste_Only?]]=1,'Cover Sheet'!$R$33,1),1)</f>
        <v>1</v>
      </c>
      <c r="AR92" s="68">
        <f>IF(Level1[[#This Row],[Retail]]=1,IF(Level1[[#This Row],[Edible_Waste_Only?]]=1,'Cover Sheet'!$R$34,1),1)</f>
        <v>1.1756101852337386</v>
      </c>
      <c r="AS92" s="68">
        <f>PRODUCT(Level1[[#This Row],[Household_Diary_Adjustment]:[Retail_Inedible_Adjustment]])</f>
        <v>1.1756101852337386</v>
      </c>
      <c r="AT92" s="114">
        <f>Level1[[#This Row],[Preferred_estimate_kg/capita]]*Level1[[#This Row],[Total_Adjustment]]</f>
        <v>14.38946866726096</v>
      </c>
      <c r="AU92" s="186"/>
    </row>
    <row r="93" spans="1:47" x14ac:dyDescent="0.2">
      <c r="A93" s="115">
        <v>62</v>
      </c>
      <c r="B93" s="116" t="s">
        <v>649</v>
      </c>
      <c r="C93" s="116">
        <v>2016</v>
      </c>
      <c r="D93" s="117" t="s">
        <v>68</v>
      </c>
      <c r="E93" s="118" t="s">
        <v>127</v>
      </c>
      <c r="F93" s="116">
        <v>578</v>
      </c>
      <c r="G93" s="116" t="s">
        <v>153</v>
      </c>
      <c r="H93" s="116" t="s">
        <v>159</v>
      </c>
      <c r="I93" s="7" t="s">
        <v>161</v>
      </c>
      <c r="J93" s="7" t="s">
        <v>165</v>
      </c>
      <c r="K93" s="116"/>
      <c r="L93" s="105">
        <v>5.3788999999999998</v>
      </c>
      <c r="M93" s="118">
        <v>1</v>
      </c>
      <c r="N93" s="116"/>
      <c r="O93" s="119"/>
      <c r="P93" s="118" t="s">
        <v>225</v>
      </c>
      <c r="Q93" s="116">
        <v>1</v>
      </c>
      <c r="R93" s="116" t="s">
        <v>322</v>
      </c>
      <c r="S93" s="120"/>
      <c r="T93" s="120"/>
      <c r="U93" s="125">
        <v>2011</v>
      </c>
      <c r="V93" s="122"/>
      <c r="W93" s="116"/>
      <c r="X93" s="131">
        <v>0.58799999999999997</v>
      </c>
      <c r="Y93" s="127" t="s">
        <v>389</v>
      </c>
      <c r="Z93" s="123"/>
      <c r="AA93" s="7"/>
      <c r="AB93" s="109" t="s">
        <v>374</v>
      </c>
      <c r="AC93" s="109" t="s">
        <v>374</v>
      </c>
      <c r="AD93" s="124" t="s">
        <v>374</v>
      </c>
      <c r="AE93" s="111">
        <v>0</v>
      </c>
      <c r="AF93" s="110">
        <v>4944528.5714285718</v>
      </c>
      <c r="AG93" s="110">
        <v>0</v>
      </c>
      <c r="AH93" s="112">
        <v>0</v>
      </c>
      <c r="AI93" s="113">
        <v>78.8</v>
      </c>
      <c r="AJ93" s="116" t="s">
        <v>377</v>
      </c>
      <c r="AK93" s="68">
        <v>78.8</v>
      </c>
      <c r="AL93" s="68">
        <v>78.8</v>
      </c>
      <c r="AM93" s="112">
        <v>78.8</v>
      </c>
      <c r="AN93" s="111">
        <f>IF(Level1[[#This Row],[Standardised_Normalised_Mass_kg/capita/year]]&lt;&gt;"",Level1[[#This Row],[Standardised_Normalised_Mass_kg/capita/year]],Level1[[#This Row],[Derived_Normalised_kg/capita/year]])</f>
        <v>78.8</v>
      </c>
      <c r="AO93" s="68">
        <f>IF(Level1[[#This Row],[Household]]=1,IF(Level1[[#This Row],[Household_Diary?]]=1,'Cover Sheet'!$R$31,1),1)</f>
        <v>1</v>
      </c>
      <c r="AP93" s="68">
        <f>IF(Level1[[#This Row],[Household]]=1,IF(Level1[[#This Row],[Edible_Waste_Only?]]=1,'Cover Sheet'!$R$32,1),1)</f>
        <v>1</v>
      </c>
      <c r="AQ93" s="68">
        <f>IF(Level1[[#This Row],[Food_Service]]=1,IF(Level1[[#This Row],[Edible_Waste_Only?]]=1,'Cover Sheet'!$R$33,1),1)</f>
        <v>1</v>
      </c>
      <c r="AR93" s="68">
        <f>IF(Level1[[#This Row],[Retail]]=1,IF(Level1[[#This Row],[Edible_Waste_Only?]]=1,'Cover Sheet'!$R$34,1),1)</f>
        <v>1</v>
      </c>
      <c r="AS93" s="68">
        <f>PRODUCT(Level1[[#This Row],[Household_Diary_Adjustment]:[Retail_Inedible_Adjustment]])</f>
        <v>1</v>
      </c>
      <c r="AT93" s="114">
        <f>Level1[[#This Row],[Preferred_estimate_kg/capita]]*Level1[[#This Row],[Total_Adjustment]]</f>
        <v>78.8</v>
      </c>
      <c r="AU93" s="186"/>
    </row>
    <row r="94" spans="1:47" x14ac:dyDescent="0.2">
      <c r="A94" s="115">
        <v>74</v>
      </c>
      <c r="B94" s="116" t="s">
        <v>668</v>
      </c>
      <c r="C94" s="116">
        <v>2016</v>
      </c>
      <c r="D94" s="117" t="s">
        <v>79</v>
      </c>
      <c r="E94" s="118" t="s">
        <v>135</v>
      </c>
      <c r="F94" s="116">
        <v>710</v>
      </c>
      <c r="G94" s="116" t="s">
        <v>154</v>
      </c>
      <c r="H94" s="116" t="s">
        <v>160</v>
      </c>
      <c r="I94" s="7" t="s">
        <v>163</v>
      </c>
      <c r="J94" s="7" t="s">
        <v>166</v>
      </c>
      <c r="K94" s="116" t="s">
        <v>205</v>
      </c>
      <c r="L94" s="105">
        <v>58.558300000000003</v>
      </c>
      <c r="M94" s="118">
        <v>1</v>
      </c>
      <c r="N94" s="116"/>
      <c r="O94" s="119"/>
      <c r="P94" s="118" t="s">
        <v>225</v>
      </c>
      <c r="Q94" s="116">
        <v>2</v>
      </c>
      <c r="R94" s="116" t="s">
        <v>338</v>
      </c>
      <c r="S94" s="120"/>
      <c r="T94" s="120"/>
      <c r="U94" s="125"/>
      <c r="V94" s="122"/>
      <c r="W94" s="116"/>
      <c r="X94" s="131"/>
      <c r="Y94" s="127"/>
      <c r="Z94" s="123"/>
      <c r="AA94" s="7"/>
      <c r="AB94" s="109" t="s">
        <v>374</v>
      </c>
      <c r="AC94" s="109" t="s">
        <v>374</v>
      </c>
      <c r="AD94" s="124" t="s">
        <v>374</v>
      </c>
      <c r="AE94" s="111">
        <v>0</v>
      </c>
      <c r="AF94" s="110">
        <v>0</v>
      </c>
      <c r="AG94" s="110">
        <v>0</v>
      </c>
      <c r="AH94" s="112">
        <v>0</v>
      </c>
      <c r="AI94" s="113">
        <f>SUM((6.1/1)*(14/123),(6.1/2)*(37/123),(5.6/3)*(36/123),(5.7/4)*(28/123),(6.9/5)*(6/123),(13.8/7)*(1/123),(8.1/8)*(1/123))</f>
        <v>2.5740969802555167</v>
      </c>
      <c r="AJ94" s="116" t="s">
        <v>382</v>
      </c>
      <c r="AK94" s="68">
        <v>2.5740969802555167</v>
      </c>
      <c r="AL94" s="68">
        <v>133.85304297328688</v>
      </c>
      <c r="AM94" s="112">
        <v>133.85304297328688</v>
      </c>
      <c r="AN94" s="111">
        <f>IF(Level1[[#This Row],[Standardised_Normalised_Mass_kg/capita/year]]&lt;&gt;"",Level1[[#This Row],[Standardised_Normalised_Mass_kg/capita/year]],Level1[[#This Row],[Derived_Normalised_kg/capita/year]])</f>
        <v>133.85304297328688</v>
      </c>
      <c r="AO94" s="68">
        <f>IF(Level1[[#This Row],[Household]]=1,IF(Level1[[#This Row],[Household_Diary?]]=1,'Cover Sheet'!$R$31,1),1)</f>
        <v>1</v>
      </c>
      <c r="AP94" s="68">
        <f>IF(Level1[[#This Row],[Household]]=1,IF(Level1[[#This Row],[Edible_Waste_Only?]]=1,'Cover Sheet'!$R$32,1),1)</f>
        <v>1</v>
      </c>
      <c r="AQ94" s="68">
        <f>IF(Level1[[#This Row],[Food_Service]]=1,IF(Level1[[#This Row],[Edible_Waste_Only?]]=1,'Cover Sheet'!$R$33,1),1)</f>
        <v>1</v>
      </c>
      <c r="AR94" s="68">
        <f>IF(Level1[[#This Row],[Retail]]=1,IF(Level1[[#This Row],[Edible_Waste_Only?]]=1,'Cover Sheet'!$R$34,1),1)</f>
        <v>1</v>
      </c>
      <c r="AS94" s="68">
        <f>PRODUCT(Level1[[#This Row],[Household_Diary_Adjustment]:[Retail_Inedible_Adjustment]])</f>
        <v>1</v>
      </c>
      <c r="AT94" s="114">
        <f>Level1[[#This Row],[Preferred_estimate_kg/capita]]*Level1[[#This Row],[Total_Adjustment]]</f>
        <v>133.85304297328688</v>
      </c>
      <c r="AU94" s="186"/>
    </row>
    <row r="95" spans="1:47" x14ac:dyDescent="0.2">
      <c r="A95" s="102">
        <v>75</v>
      </c>
      <c r="B95" s="116" t="s">
        <v>670</v>
      </c>
      <c r="C95" s="7">
        <v>2016</v>
      </c>
      <c r="D95" s="103" t="s">
        <v>417</v>
      </c>
      <c r="E95" s="104" t="s">
        <v>137</v>
      </c>
      <c r="F95" s="7">
        <v>144</v>
      </c>
      <c r="G95" s="7" t="s">
        <v>149</v>
      </c>
      <c r="H95" s="7" t="s">
        <v>160</v>
      </c>
      <c r="I95" s="7" t="s">
        <v>162</v>
      </c>
      <c r="J95" s="7" t="s">
        <v>166</v>
      </c>
      <c r="K95" s="7" t="s">
        <v>206</v>
      </c>
      <c r="L95" s="105">
        <v>21.323699999999999</v>
      </c>
      <c r="M95" s="104">
        <v>1</v>
      </c>
      <c r="N95" s="7"/>
      <c r="O95" s="105"/>
      <c r="P95" s="104" t="s">
        <v>225</v>
      </c>
      <c r="Q95" s="7">
        <v>2</v>
      </c>
      <c r="R95" s="7" t="s">
        <v>341</v>
      </c>
      <c r="S95" s="8"/>
      <c r="T95" s="8"/>
      <c r="U95" s="128"/>
      <c r="V95" s="107">
        <v>0.68899999999999995</v>
      </c>
      <c r="W95" s="7" t="s">
        <v>361</v>
      </c>
      <c r="X95" s="129"/>
      <c r="Y95" s="130"/>
      <c r="Z95" s="108">
        <f>37.99*Level1[[#This Row],[FW_Share_estimate]]</f>
        <v>26.17511</v>
      </c>
      <c r="AA95" s="7" t="s">
        <v>366</v>
      </c>
      <c r="AB95" s="109">
        <v>9560.4589275000017</v>
      </c>
      <c r="AC95" s="109">
        <v>9560.4589275000017</v>
      </c>
      <c r="AD95" s="110">
        <v>9560.4589275000017</v>
      </c>
      <c r="AE95" s="111">
        <v>0</v>
      </c>
      <c r="AF95" s="110">
        <v>0</v>
      </c>
      <c r="AG95" s="110">
        <v>0</v>
      </c>
      <c r="AH95" s="112">
        <v>0</v>
      </c>
      <c r="AI95" s="113">
        <f>0.47*Level1[[#This Row],[FW_Share_estimate]]</f>
        <v>0.32382999999999995</v>
      </c>
      <c r="AJ95" s="7" t="s">
        <v>375</v>
      </c>
      <c r="AK95" s="68">
        <v>0.32383000000000001</v>
      </c>
      <c r="AL95" s="68">
        <v>118.2789075</v>
      </c>
      <c r="AM95" s="112">
        <v>118.2789075</v>
      </c>
      <c r="AN95" s="111">
        <f>IF(Level1[[#This Row],[Standardised_Normalised_Mass_kg/capita/year]]&lt;&gt;"",Level1[[#This Row],[Standardised_Normalised_Mass_kg/capita/year]],Level1[[#This Row],[Derived_Normalised_kg/capita/year]])</f>
        <v>118.2789075</v>
      </c>
      <c r="AO95" s="68">
        <f>IF(Level1[[#This Row],[Household]]=1,IF(Level1[[#This Row],[Household_Diary?]]=1,'Cover Sheet'!$R$31,1),1)</f>
        <v>1</v>
      </c>
      <c r="AP95" s="68">
        <f>IF(Level1[[#This Row],[Household]]=1,IF(Level1[[#This Row],[Edible_Waste_Only?]]=1,'Cover Sheet'!$R$32,1),1)</f>
        <v>1</v>
      </c>
      <c r="AQ95" s="68">
        <f>IF(Level1[[#This Row],[Food_Service]]=1,IF(Level1[[#This Row],[Edible_Waste_Only?]]=1,'Cover Sheet'!$R$33,1),1)</f>
        <v>1</v>
      </c>
      <c r="AR95" s="68">
        <f>IF(Level1[[#This Row],[Retail]]=1,IF(Level1[[#This Row],[Edible_Waste_Only?]]=1,'Cover Sheet'!$R$34,1),1)</f>
        <v>1</v>
      </c>
      <c r="AS95" s="68">
        <f>PRODUCT(Level1[[#This Row],[Household_Diary_Adjustment]:[Retail_Inedible_Adjustment]])</f>
        <v>1</v>
      </c>
      <c r="AT95" s="114">
        <f>Level1[[#This Row],[Preferred_estimate_kg/capita]]*Level1[[#This Row],[Total_Adjustment]]</f>
        <v>118.2789075</v>
      </c>
      <c r="AU95" s="186"/>
    </row>
    <row r="96" spans="1:47" x14ac:dyDescent="0.2">
      <c r="A96" s="115">
        <v>75</v>
      </c>
      <c r="B96" s="116" t="s">
        <v>670</v>
      </c>
      <c r="C96" s="116">
        <v>2016</v>
      </c>
      <c r="D96" s="117" t="s">
        <v>417</v>
      </c>
      <c r="E96" s="118" t="s">
        <v>137</v>
      </c>
      <c r="F96" s="116">
        <v>144</v>
      </c>
      <c r="G96" s="116" t="s">
        <v>149</v>
      </c>
      <c r="H96" s="116" t="s">
        <v>160</v>
      </c>
      <c r="I96" s="7" t="s">
        <v>162</v>
      </c>
      <c r="J96" s="7" t="s">
        <v>166</v>
      </c>
      <c r="K96" s="116" t="s">
        <v>207</v>
      </c>
      <c r="L96" s="105">
        <v>21.323699999999999</v>
      </c>
      <c r="M96" s="118">
        <v>1</v>
      </c>
      <c r="N96" s="116"/>
      <c r="O96" s="119"/>
      <c r="P96" s="118" t="s">
        <v>225</v>
      </c>
      <c r="Q96" s="116">
        <v>2</v>
      </c>
      <c r="R96" s="116" t="s">
        <v>341</v>
      </c>
      <c r="S96" s="120"/>
      <c r="T96" s="120"/>
      <c r="U96" s="125"/>
      <c r="V96" s="122">
        <v>0.746</v>
      </c>
      <c r="W96" s="116" t="s">
        <v>361</v>
      </c>
      <c r="X96" s="131"/>
      <c r="Y96" s="127"/>
      <c r="Z96" s="123">
        <f>8.65*Level1[[#This Row],[FW_Share_estimate]]</f>
        <v>6.4529000000000005</v>
      </c>
      <c r="AA96" s="7" t="s">
        <v>366</v>
      </c>
      <c r="AB96" s="109">
        <v>2356.9217250000002</v>
      </c>
      <c r="AC96" s="109">
        <v>2356.9217250000002</v>
      </c>
      <c r="AD96" s="124">
        <v>2356.9217250000002</v>
      </c>
      <c r="AE96" s="111">
        <v>0</v>
      </c>
      <c r="AF96" s="110">
        <v>0</v>
      </c>
      <c r="AG96" s="110">
        <v>0</v>
      </c>
      <c r="AH96" s="112">
        <v>0</v>
      </c>
      <c r="AI96" s="113">
        <f>0.35*Level1[[#This Row],[FW_Share_estimate]]</f>
        <v>0.2611</v>
      </c>
      <c r="AJ96" s="116" t="s">
        <v>375</v>
      </c>
      <c r="AK96" s="68">
        <v>0.2611</v>
      </c>
      <c r="AL96" s="68">
        <v>95.366775000000004</v>
      </c>
      <c r="AM96" s="112">
        <v>95.366775000000004</v>
      </c>
      <c r="AN96" s="111">
        <f>IF(Level1[[#This Row],[Standardised_Normalised_Mass_kg/capita/year]]&lt;&gt;"",Level1[[#This Row],[Standardised_Normalised_Mass_kg/capita/year]],Level1[[#This Row],[Derived_Normalised_kg/capita/year]])</f>
        <v>95.366775000000004</v>
      </c>
      <c r="AO96" s="68">
        <f>IF(Level1[[#This Row],[Household]]=1,IF(Level1[[#This Row],[Household_Diary?]]=1,'Cover Sheet'!$R$31,1),1)</f>
        <v>1</v>
      </c>
      <c r="AP96" s="68">
        <f>IF(Level1[[#This Row],[Household]]=1,IF(Level1[[#This Row],[Edible_Waste_Only?]]=1,'Cover Sheet'!$R$32,1),1)</f>
        <v>1</v>
      </c>
      <c r="AQ96" s="68">
        <f>IF(Level1[[#This Row],[Food_Service]]=1,IF(Level1[[#This Row],[Edible_Waste_Only?]]=1,'Cover Sheet'!$R$33,1),1)</f>
        <v>1</v>
      </c>
      <c r="AR96" s="68">
        <f>IF(Level1[[#This Row],[Retail]]=1,IF(Level1[[#This Row],[Edible_Waste_Only?]]=1,'Cover Sheet'!$R$34,1),1)</f>
        <v>1</v>
      </c>
      <c r="AS96" s="68">
        <f>PRODUCT(Level1[[#This Row],[Household_Diary_Adjustment]:[Retail_Inedible_Adjustment]])</f>
        <v>1</v>
      </c>
      <c r="AT96" s="114">
        <f>Level1[[#This Row],[Preferred_estimate_kg/capita]]*Level1[[#This Row],[Total_Adjustment]]</f>
        <v>95.366775000000004</v>
      </c>
      <c r="AU96" s="186"/>
    </row>
    <row r="97" spans="1:47" x14ac:dyDescent="0.2">
      <c r="A97" s="102">
        <v>75</v>
      </c>
      <c r="B97" s="116" t="s">
        <v>670</v>
      </c>
      <c r="C97" s="7">
        <v>2016</v>
      </c>
      <c r="D97" s="103" t="s">
        <v>417</v>
      </c>
      <c r="E97" s="104" t="s">
        <v>137</v>
      </c>
      <c r="F97" s="7">
        <v>144</v>
      </c>
      <c r="G97" s="7" t="s">
        <v>149</v>
      </c>
      <c r="H97" s="7" t="s">
        <v>160</v>
      </c>
      <c r="I97" s="7" t="s">
        <v>162</v>
      </c>
      <c r="J97" s="7" t="s">
        <v>166</v>
      </c>
      <c r="K97" s="7" t="s">
        <v>208</v>
      </c>
      <c r="L97" s="105">
        <v>21.323699999999999</v>
      </c>
      <c r="M97" s="104">
        <v>1</v>
      </c>
      <c r="N97" s="7"/>
      <c r="O97" s="105"/>
      <c r="P97" s="104" t="s">
        <v>225</v>
      </c>
      <c r="Q97" s="7">
        <v>2</v>
      </c>
      <c r="R97" s="7" t="s">
        <v>341</v>
      </c>
      <c r="S97" s="8"/>
      <c r="T97" s="8"/>
      <c r="U97" s="128"/>
      <c r="V97" s="107">
        <v>0.63300000000000001</v>
      </c>
      <c r="W97" s="7" t="s">
        <v>361</v>
      </c>
      <c r="X97" s="129"/>
      <c r="Y97" s="130"/>
      <c r="Z97" s="108">
        <f>7.8*Level1[[#This Row],[FW_Share_estimate]]</f>
        <v>4.9374000000000002</v>
      </c>
      <c r="AA97" s="7" t="s">
        <v>366</v>
      </c>
      <c r="AB97" s="109">
        <v>1803.38535</v>
      </c>
      <c r="AC97" s="109">
        <v>1803.38535</v>
      </c>
      <c r="AD97" s="110">
        <v>1803.38535</v>
      </c>
      <c r="AE97" s="111">
        <v>0</v>
      </c>
      <c r="AF97" s="110">
        <v>0</v>
      </c>
      <c r="AG97" s="110">
        <v>0</v>
      </c>
      <c r="AH97" s="112">
        <v>0</v>
      </c>
      <c r="AI97" s="113">
        <f>0.41*Level1[[#This Row],[FW_Share_estimate]]</f>
        <v>0.25952999999999998</v>
      </c>
      <c r="AJ97" s="7" t="s">
        <v>375</v>
      </c>
      <c r="AK97" s="68">
        <v>0.25952999999999998</v>
      </c>
      <c r="AL97" s="68">
        <v>94.793332499999991</v>
      </c>
      <c r="AM97" s="112">
        <v>94.793332499999991</v>
      </c>
      <c r="AN97" s="111">
        <f>IF(Level1[[#This Row],[Standardised_Normalised_Mass_kg/capita/year]]&lt;&gt;"",Level1[[#This Row],[Standardised_Normalised_Mass_kg/capita/year]],Level1[[#This Row],[Derived_Normalised_kg/capita/year]])</f>
        <v>94.793332499999991</v>
      </c>
      <c r="AO97" s="68">
        <f>IF(Level1[[#This Row],[Household]]=1,IF(Level1[[#This Row],[Household_Diary?]]=1,'Cover Sheet'!$R$31,1),1)</f>
        <v>1</v>
      </c>
      <c r="AP97" s="68">
        <f>IF(Level1[[#This Row],[Household]]=1,IF(Level1[[#This Row],[Edible_Waste_Only?]]=1,'Cover Sheet'!$R$32,1),1)</f>
        <v>1</v>
      </c>
      <c r="AQ97" s="68">
        <f>IF(Level1[[#This Row],[Food_Service]]=1,IF(Level1[[#This Row],[Edible_Waste_Only?]]=1,'Cover Sheet'!$R$33,1),1)</f>
        <v>1</v>
      </c>
      <c r="AR97" s="68">
        <f>IF(Level1[[#This Row],[Retail]]=1,IF(Level1[[#This Row],[Edible_Waste_Only?]]=1,'Cover Sheet'!$R$34,1),1)</f>
        <v>1</v>
      </c>
      <c r="AS97" s="68">
        <f>PRODUCT(Level1[[#This Row],[Household_Diary_Adjustment]:[Retail_Inedible_Adjustment]])</f>
        <v>1</v>
      </c>
      <c r="AT97" s="114">
        <f>Level1[[#This Row],[Preferred_estimate_kg/capita]]*Level1[[#This Row],[Total_Adjustment]]</f>
        <v>94.793332499999991</v>
      </c>
      <c r="AU97" s="186"/>
    </row>
    <row r="98" spans="1:47" x14ac:dyDescent="0.2">
      <c r="A98" s="115">
        <v>75</v>
      </c>
      <c r="B98" s="116" t="s">
        <v>670</v>
      </c>
      <c r="C98" s="116">
        <v>2016</v>
      </c>
      <c r="D98" s="117" t="s">
        <v>417</v>
      </c>
      <c r="E98" s="118" t="s">
        <v>137</v>
      </c>
      <c r="F98" s="116">
        <v>144</v>
      </c>
      <c r="G98" s="116" t="s">
        <v>149</v>
      </c>
      <c r="H98" s="116" t="s">
        <v>160</v>
      </c>
      <c r="I98" s="7" t="s">
        <v>162</v>
      </c>
      <c r="J98" s="7" t="s">
        <v>166</v>
      </c>
      <c r="K98" s="116" t="s">
        <v>209</v>
      </c>
      <c r="L98" s="105">
        <v>21.323699999999999</v>
      </c>
      <c r="M98" s="118">
        <v>1</v>
      </c>
      <c r="N98" s="116"/>
      <c r="O98" s="119"/>
      <c r="P98" s="118" t="s">
        <v>225</v>
      </c>
      <c r="Q98" s="116">
        <v>2</v>
      </c>
      <c r="R98" s="116" t="s">
        <v>341</v>
      </c>
      <c r="S98" s="120"/>
      <c r="T98" s="120"/>
      <c r="U98" s="125"/>
      <c r="V98" s="122">
        <v>0.51700000000000002</v>
      </c>
      <c r="W98" s="116" t="s">
        <v>361</v>
      </c>
      <c r="X98" s="131"/>
      <c r="Y98" s="127"/>
      <c r="Z98" s="123">
        <f>35.64*Level1[[#This Row],[FW_Share_estimate]]</f>
        <v>18.425879999999999</v>
      </c>
      <c r="AA98" s="7" t="s">
        <v>366</v>
      </c>
      <c r="AB98" s="109">
        <v>6730.05267</v>
      </c>
      <c r="AC98" s="109">
        <v>6730.05267</v>
      </c>
      <c r="AD98" s="124">
        <v>6730.05267</v>
      </c>
      <c r="AE98" s="111">
        <v>0</v>
      </c>
      <c r="AF98" s="110">
        <v>0</v>
      </c>
      <c r="AG98" s="110">
        <v>0</v>
      </c>
      <c r="AH98" s="112">
        <v>0</v>
      </c>
      <c r="AI98" s="113">
        <f>0.42*Level1[[#This Row],[FW_Share_estimate]]</f>
        <v>0.21714</v>
      </c>
      <c r="AJ98" s="116" t="s">
        <v>375</v>
      </c>
      <c r="AK98" s="68">
        <v>0.21714</v>
      </c>
      <c r="AL98" s="68">
        <v>79.310384999999997</v>
      </c>
      <c r="AM98" s="112">
        <v>79.310384999999997</v>
      </c>
      <c r="AN98" s="111">
        <f>IF(Level1[[#This Row],[Standardised_Normalised_Mass_kg/capita/year]]&lt;&gt;"",Level1[[#This Row],[Standardised_Normalised_Mass_kg/capita/year]],Level1[[#This Row],[Derived_Normalised_kg/capita/year]])</f>
        <v>79.310384999999997</v>
      </c>
      <c r="AO98" s="68">
        <f>IF(Level1[[#This Row],[Household]]=1,IF(Level1[[#This Row],[Household_Diary?]]=1,'Cover Sheet'!$R$31,1),1)</f>
        <v>1</v>
      </c>
      <c r="AP98" s="68">
        <f>IF(Level1[[#This Row],[Household]]=1,IF(Level1[[#This Row],[Edible_Waste_Only?]]=1,'Cover Sheet'!$R$32,1),1)</f>
        <v>1</v>
      </c>
      <c r="AQ98" s="68">
        <f>IF(Level1[[#This Row],[Food_Service]]=1,IF(Level1[[#This Row],[Edible_Waste_Only?]]=1,'Cover Sheet'!$R$33,1),1)</f>
        <v>1</v>
      </c>
      <c r="AR98" s="68">
        <f>IF(Level1[[#This Row],[Retail]]=1,IF(Level1[[#This Row],[Edible_Waste_Only?]]=1,'Cover Sheet'!$R$34,1),1)</f>
        <v>1</v>
      </c>
      <c r="AS98" s="68">
        <f>PRODUCT(Level1[[#This Row],[Household_Diary_Adjustment]:[Retail_Inedible_Adjustment]])</f>
        <v>1</v>
      </c>
      <c r="AT98" s="114">
        <f>Level1[[#This Row],[Preferred_estimate_kg/capita]]*Level1[[#This Row],[Total_Adjustment]]</f>
        <v>79.310384999999997</v>
      </c>
      <c r="AU98" s="186"/>
    </row>
    <row r="99" spans="1:47" x14ac:dyDescent="0.2">
      <c r="A99" s="102">
        <v>75</v>
      </c>
      <c r="B99" s="116" t="s">
        <v>670</v>
      </c>
      <c r="C99" s="7">
        <v>2016</v>
      </c>
      <c r="D99" s="103" t="s">
        <v>417</v>
      </c>
      <c r="E99" s="104" t="s">
        <v>137</v>
      </c>
      <c r="F99" s="7">
        <v>144</v>
      </c>
      <c r="G99" s="7" t="s">
        <v>149</v>
      </c>
      <c r="H99" s="7" t="s">
        <v>160</v>
      </c>
      <c r="I99" s="7" t="s">
        <v>162</v>
      </c>
      <c r="J99" s="7" t="s">
        <v>166</v>
      </c>
      <c r="K99" s="7" t="s">
        <v>210</v>
      </c>
      <c r="L99" s="105">
        <v>21.323699999999999</v>
      </c>
      <c r="M99" s="104">
        <v>1</v>
      </c>
      <c r="N99" s="7"/>
      <c r="O99" s="105"/>
      <c r="P99" s="104" t="s">
        <v>225</v>
      </c>
      <c r="Q99" s="7">
        <v>2</v>
      </c>
      <c r="R99" s="7" t="s">
        <v>341</v>
      </c>
      <c r="S99" s="8"/>
      <c r="T99" s="8"/>
      <c r="U99" s="128"/>
      <c r="V99" s="107">
        <v>0.52400000000000002</v>
      </c>
      <c r="W99" s="7" t="s">
        <v>362</v>
      </c>
      <c r="X99" s="129"/>
      <c r="Y99" s="130"/>
      <c r="Z99" s="108">
        <f>24.2*Level1[[#This Row],[FW_Share_estimate]]</f>
        <v>12.6808</v>
      </c>
      <c r="AA99" s="7" t="s">
        <v>366</v>
      </c>
      <c r="AB99" s="109">
        <v>4631.6621999999998</v>
      </c>
      <c r="AC99" s="109">
        <v>4631.6621999999998</v>
      </c>
      <c r="AD99" s="110">
        <v>4631.6621999999998</v>
      </c>
      <c r="AE99" s="111">
        <v>0</v>
      </c>
      <c r="AF99" s="110">
        <v>0</v>
      </c>
      <c r="AG99" s="110">
        <v>0</v>
      </c>
      <c r="AH99" s="112">
        <v>0</v>
      </c>
      <c r="AI99" s="113">
        <f>0.41*Level1[[#This Row],[FW_Share_estimate]]</f>
        <v>0.21484</v>
      </c>
      <c r="AJ99" s="7" t="s">
        <v>375</v>
      </c>
      <c r="AK99" s="68">
        <v>0.21484</v>
      </c>
      <c r="AL99" s="68">
        <v>78.470309999999998</v>
      </c>
      <c r="AM99" s="112">
        <v>78.470309999999998</v>
      </c>
      <c r="AN99" s="111">
        <f>IF(Level1[[#This Row],[Standardised_Normalised_Mass_kg/capita/year]]&lt;&gt;"",Level1[[#This Row],[Standardised_Normalised_Mass_kg/capita/year]],Level1[[#This Row],[Derived_Normalised_kg/capita/year]])</f>
        <v>78.470309999999998</v>
      </c>
      <c r="AO99" s="68">
        <f>IF(Level1[[#This Row],[Household]]=1,IF(Level1[[#This Row],[Household_Diary?]]=1,'Cover Sheet'!$R$31,1),1)</f>
        <v>1</v>
      </c>
      <c r="AP99" s="68">
        <f>IF(Level1[[#This Row],[Household]]=1,IF(Level1[[#This Row],[Edible_Waste_Only?]]=1,'Cover Sheet'!$R$32,1),1)</f>
        <v>1</v>
      </c>
      <c r="AQ99" s="68">
        <f>IF(Level1[[#This Row],[Food_Service]]=1,IF(Level1[[#This Row],[Edible_Waste_Only?]]=1,'Cover Sheet'!$R$33,1),1)</f>
        <v>1</v>
      </c>
      <c r="AR99" s="68">
        <f>IF(Level1[[#This Row],[Retail]]=1,IF(Level1[[#This Row],[Edible_Waste_Only?]]=1,'Cover Sheet'!$R$34,1),1)</f>
        <v>1</v>
      </c>
      <c r="AS99" s="68">
        <f>PRODUCT(Level1[[#This Row],[Household_Diary_Adjustment]:[Retail_Inedible_Adjustment]])</f>
        <v>1</v>
      </c>
      <c r="AT99" s="114">
        <f>Level1[[#This Row],[Preferred_estimate_kg/capita]]*Level1[[#This Row],[Total_Adjustment]]</f>
        <v>78.470309999999998</v>
      </c>
      <c r="AU99" s="186"/>
    </row>
    <row r="100" spans="1:47" x14ac:dyDescent="0.2">
      <c r="A100" s="115">
        <v>75</v>
      </c>
      <c r="B100" s="116" t="s">
        <v>670</v>
      </c>
      <c r="C100" s="116">
        <v>2016</v>
      </c>
      <c r="D100" s="117" t="s">
        <v>417</v>
      </c>
      <c r="E100" s="118" t="s">
        <v>137</v>
      </c>
      <c r="F100" s="116">
        <v>144</v>
      </c>
      <c r="G100" s="116" t="s">
        <v>149</v>
      </c>
      <c r="H100" s="116" t="s">
        <v>160</v>
      </c>
      <c r="I100" s="7" t="s">
        <v>162</v>
      </c>
      <c r="J100" s="7" t="s">
        <v>166</v>
      </c>
      <c r="K100" s="116" t="s">
        <v>211</v>
      </c>
      <c r="L100" s="105">
        <v>21.323699999999999</v>
      </c>
      <c r="M100" s="118">
        <v>1</v>
      </c>
      <c r="N100" s="116"/>
      <c r="O100" s="119"/>
      <c r="P100" s="118" t="s">
        <v>225</v>
      </c>
      <c r="Q100" s="116">
        <v>2</v>
      </c>
      <c r="R100" s="116" t="s">
        <v>341</v>
      </c>
      <c r="S100" s="120"/>
      <c r="T100" s="120"/>
      <c r="U100" s="125"/>
      <c r="V100" s="122">
        <v>0.52500000000000002</v>
      </c>
      <c r="W100" s="116" t="s">
        <v>361</v>
      </c>
      <c r="X100" s="131"/>
      <c r="Y100" s="127"/>
      <c r="Z100" s="123">
        <f>66.8*Level1[[#This Row],[FW_Share_estimate]]</f>
        <v>35.07</v>
      </c>
      <c r="AA100" s="7" t="s">
        <v>366</v>
      </c>
      <c r="AB100" s="109">
        <v>12809.317499999999</v>
      </c>
      <c r="AC100" s="109">
        <v>12809.317499999999</v>
      </c>
      <c r="AD100" s="124">
        <v>12809.317499999999</v>
      </c>
      <c r="AE100" s="111">
        <v>0</v>
      </c>
      <c r="AF100" s="110">
        <v>0</v>
      </c>
      <c r="AG100" s="110">
        <v>0</v>
      </c>
      <c r="AH100" s="112">
        <v>0</v>
      </c>
      <c r="AI100" s="113">
        <f>0.39*Level1[[#This Row],[FW_Share_estimate]]</f>
        <v>0.20475000000000002</v>
      </c>
      <c r="AJ100" s="116" t="s">
        <v>375</v>
      </c>
      <c r="AK100" s="68">
        <v>0.20475000000000002</v>
      </c>
      <c r="AL100" s="68">
        <v>74.784937500000012</v>
      </c>
      <c r="AM100" s="112">
        <v>74.784937500000012</v>
      </c>
      <c r="AN100" s="111">
        <f>IF(Level1[[#This Row],[Standardised_Normalised_Mass_kg/capita/year]]&lt;&gt;"",Level1[[#This Row],[Standardised_Normalised_Mass_kg/capita/year]],Level1[[#This Row],[Derived_Normalised_kg/capita/year]])</f>
        <v>74.784937500000012</v>
      </c>
      <c r="AO100" s="68">
        <f>IF(Level1[[#This Row],[Household]]=1,IF(Level1[[#This Row],[Household_Diary?]]=1,'Cover Sheet'!$R$31,1),1)</f>
        <v>1</v>
      </c>
      <c r="AP100" s="68">
        <f>IF(Level1[[#This Row],[Household]]=1,IF(Level1[[#This Row],[Edible_Waste_Only?]]=1,'Cover Sheet'!$R$32,1),1)</f>
        <v>1</v>
      </c>
      <c r="AQ100" s="68">
        <f>IF(Level1[[#This Row],[Food_Service]]=1,IF(Level1[[#This Row],[Edible_Waste_Only?]]=1,'Cover Sheet'!$R$33,1),1)</f>
        <v>1</v>
      </c>
      <c r="AR100" s="68">
        <f>IF(Level1[[#This Row],[Retail]]=1,IF(Level1[[#This Row],[Edible_Waste_Only?]]=1,'Cover Sheet'!$R$34,1),1)</f>
        <v>1</v>
      </c>
      <c r="AS100" s="68">
        <f>PRODUCT(Level1[[#This Row],[Household_Diary_Adjustment]:[Retail_Inedible_Adjustment]])</f>
        <v>1</v>
      </c>
      <c r="AT100" s="114">
        <f>Level1[[#This Row],[Preferred_estimate_kg/capita]]*Level1[[#This Row],[Total_Adjustment]]</f>
        <v>74.784937500000012</v>
      </c>
      <c r="AU100" s="186"/>
    </row>
    <row r="101" spans="1:47" x14ac:dyDescent="0.2">
      <c r="A101" s="102">
        <v>75</v>
      </c>
      <c r="B101" s="116" t="s">
        <v>670</v>
      </c>
      <c r="C101" s="7">
        <v>2016</v>
      </c>
      <c r="D101" s="103" t="s">
        <v>417</v>
      </c>
      <c r="E101" s="104" t="s">
        <v>137</v>
      </c>
      <c r="F101" s="7">
        <v>144</v>
      </c>
      <c r="G101" s="7" t="s">
        <v>149</v>
      </c>
      <c r="H101" s="7" t="s">
        <v>160</v>
      </c>
      <c r="I101" s="7" t="s">
        <v>162</v>
      </c>
      <c r="J101" s="7" t="s">
        <v>166</v>
      </c>
      <c r="K101" s="7" t="s">
        <v>212</v>
      </c>
      <c r="L101" s="105">
        <v>21.323699999999999</v>
      </c>
      <c r="M101" s="104">
        <v>1</v>
      </c>
      <c r="N101" s="7"/>
      <c r="O101" s="105"/>
      <c r="P101" s="104" t="s">
        <v>225</v>
      </c>
      <c r="Q101" s="7">
        <v>2</v>
      </c>
      <c r="R101" s="7" t="s">
        <v>341</v>
      </c>
      <c r="S101" s="8"/>
      <c r="T101" s="8"/>
      <c r="U101" s="128"/>
      <c r="V101" s="107">
        <v>0.52500000000000002</v>
      </c>
      <c r="W101" s="7" t="s">
        <v>361</v>
      </c>
      <c r="X101" s="129"/>
      <c r="Y101" s="130"/>
      <c r="Z101" s="108">
        <f>73.5*Level1[[#This Row],[FW_Share_estimate]]</f>
        <v>38.587499999999999</v>
      </c>
      <c r="AA101" s="7" t="s">
        <v>366</v>
      </c>
      <c r="AB101" s="109">
        <v>14094.084375</v>
      </c>
      <c r="AC101" s="109">
        <v>14094.084375</v>
      </c>
      <c r="AD101" s="110">
        <v>14094.084375</v>
      </c>
      <c r="AE101" s="111">
        <v>0</v>
      </c>
      <c r="AF101" s="110">
        <v>0</v>
      </c>
      <c r="AG101" s="110">
        <v>0</v>
      </c>
      <c r="AH101" s="112">
        <v>0</v>
      </c>
      <c r="AI101" s="113">
        <f>0.39*Level1[[#This Row],[FW_Share_estimate]]</f>
        <v>0.20475000000000002</v>
      </c>
      <c r="AJ101" s="7" t="s">
        <v>375</v>
      </c>
      <c r="AK101" s="68">
        <v>0.20475000000000002</v>
      </c>
      <c r="AL101" s="68">
        <v>74.784937500000012</v>
      </c>
      <c r="AM101" s="112">
        <v>74.784937500000012</v>
      </c>
      <c r="AN101" s="111">
        <f>IF(Level1[[#This Row],[Standardised_Normalised_Mass_kg/capita/year]]&lt;&gt;"",Level1[[#This Row],[Standardised_Normalised_Mass_kg/capita/year]],Level1[[#This Row],[Derived_Normalised_kg/capita/year]])</f>
        <v>74.784937500000012</v>
      </c>
      <c r="AO101" s="68">
        <f>IF(Level1[[#This Row],[Household]]=1,IF(Level1[[#This Row],[Household_Diary?]]=1,'Cover Sheet'!$R$31,1),1)</f>
        <v>1</v>
      </c>
      <c r="AP101" s="68">
        <f>IF(Level1[[#This Row],[Household]]=1,IF(Level1[[#This Row],[Edible_Waste_Only?]]=1,'Cover Sheet'!$R$32,1),1)</f>
        <v>1</v>
      </c>
      <c r="AQ101" s="68">
        <f>IF(Level1[[#This Row],[Food_Service]]=1,IF(Level1[[#This Row],[Edible_Waste_Only?]]=1,'Cover Sheet'!$R$33,1),1)</f>
        <v>1</v>
      </c>
      <c r="AR101" s="68">
        <f>IF(Level1[[#This Row],[Retail]]=1,IF(Level1[[#This Row],[Edible_Waste_Only?]]=1,'Cover Sheet'!$R$34,1),1)</f>
        <v>1</v>
      </c>
      <c r="AS101" s="68">
        <f>PRODUCT(Level1[[#This Row],[Household_Diary_Adjustment]:[Retail_Inedible_Adjustment]])</f>
        <v>1</v>
      </c>
      <c r="AT101" s="114">
        <f>Level1[[#This Row],[Preferred_estimate_kg/capita]]*Level1[[#This Row],[Total_Adjustment]]</f>
        <v>74.784937500000012</v>
      </c>
      <c r="AU101" s="186"/>
    </row>
    <row r="102" spans="1:47" x14ac:dyDescent="0.2">
      <c r="A102" s="115">
        <v>75</v>
      </c>
      <c r="B102" s="116" t="s">
        <v>670</v>
      </c>
      <c r="C102" s="116">
        <v>2016</v>
      </c>
      <c r="D102" s="117" t="s">
        <v>417</v>
      </c>
      <c r="E102" s="118" t="s">
        <v>137</v>
      </c>
      <c r="F102" s="116">
        <v>144</v>
      </c>
      <c r="G102" s="116" t="s">
        <v>149</v>
      </c>
      <c r="H102" s="116" t="s">
        <v>160</v>
      </c>
      <c r="I102" s="7" t="s">
        <v>162</v>
      </c>
      <c r="J102" s="7" t="s">
        <v>166</v>
      </c>
      <c r="K102" s="116" t="s">
        <v>213</v>
      </c>
      <c r="L102" s="105">
        <v>21.323699999999999</v>
      </c>
      <c r="M102" s="118">
        <v>1</v>
      </c>
      <c r="N102" s="116"/>
      <c r="O102" s="119"/>
      <c r="P102" s="118" t="s">
        <v>225</v>
      </c>
      <c r="Q102" s="116">
        <v>2</v>
      </c>
      <c r="R102" s="116" t="s">
        <v>341</v>
      </c>
      <c r="S102" s="120"/>
      <c r="T102" s="120"/>
      <c r="U102" s="125"/>
      <c r="V102" s="122">
        <v>0.52500000000000002</v>
      </c>
      <c r="W102" s="116" t="s">
        <v>361</v>
      </c>
      <c r="X102" s="131"/>
      <c r="Y102" s="127"/>
      <c r="Z102" s="123">
        <f>73.2*Level1[[#This Row],[FW_Share_estimate]]</f>
        <v>38.43</v>
      </c>
      <c r="AA102" s="7" t="s">
        <v>366</v>
      </c>
      <c r="AB102" s="109">
        <v>14036.557500000001</v>
      </c>
      <c r="AC102" s="109">
        <v>14036.557500000001</v>
      </c>
      <c r="AD102" s="124">
        <v>14036.557500000001</v>
      </c>
      <c r="AE102" s="111">
        <v>0</v>
      </c>
      <c r="AF102" s="110">
        <v>0</v>
      </c>
      <c r="AG102" s="110">
        <v>0</v>
      </c>
      <c r="AH102" s="112">
        <v>0</v>
      </c>
      <c r="AI102" s="113">
        <f>0.39*Level1[[#This Row],[FW_Share_estimate]]</f>
        <v>0.20475000000000002</v>
      </c>
      <c r="AJ102" s="116" t="s">
        <v>375</v>
      </c>
      <c r="AK102" s="68">
        <v>0.20475000000000002</v>
      </c>
      <c r="AL102" s="68">
        <v>74.784937500000012</v>
      </c>
      <c r="AM102" s="112">
        <v>74.784937500000012</v>
      </c>
      <c r="AN102" s="111">
        <f>IF(Level1[[#This Row],[Standardised_Normalised_Mass_kg/capita/year]]&lt;&gt;"",Level1[[#This Row],[Standardised_Normalised_Mass_kg/capita/year]],Level1[[#This Row],[Derived_Normalised_kg/capita/year]])</f>
        <v>74.784937500000012</v>
      </c>
      <c r="AO102" s="68">
        <f>IF(Level1[[#This Row],[Household]]=1,IF(Level1[[#This Row],[Household_Diary?]]=1,'Cover Sheet'!$R$31,1),1)</f>
        <v>1</v>
      </c>
      <c r="AP102" s="68">
        <f>IF(Level1[[#This Row],[Household]]=1,IF(Level1[[#This Row],[Edible_Waste_Only?]]=1,'Cover Sheet'!$R$32,1),1)</f>
        <v>1</v>
      </c>
      <c r="AQ102" s="68">
        <f>IF(Level1[[#This Row],[Food_Service]]=1,IF(Level1[[#This Row],[Edible_Waste_Only?]]=1,'Cover Sheet'!$R$33,1),1)</f>
        <v>1</v>
      </c>
      <c r="AR102" s="68">
        <f>IF(Level1[[#This Row],[Retail]]=1,IF(Level1[[#This Row],[Edible_Waste_Only?]]=1,'Cover Sheet'!$R$34,1),1)</f>
        <v>1</v>
      </c>
      <c r="AS102" s="68">
        <f>PRODUCT(Level1[[#This Row],[Household_Diary_Adjustment]:[Retail_Inedible_Adjustment]])</f>
        <v>1</v>
      </c>
      <c r="AT102" s="114">
        <f>Level1[[#This Row],[Preferred_estimate_kg/capita]]*Level1[[#This Row],[Total_Adjustment]]</f>
        <v>74.784937500000012</v>
      </c>
      <c r="AU102" s="186"/>
    </row>
    <row r="103" spans="1:47" x14ac:dyDescent="0.2">
      <c r="A103" s="102">
        <v>75</v>
      </c>
      <c r="B103" s="116" t="s">
        <v>670</v>
      </c>
      <c r="C103" s="7">
        <v>2016</v>
      </c>
      <c r="D103" s="103" t="s">
        <v>417</v>
      </c>
      <c r="E103" s="104" t="s">
        <v>137</v>
      </c>
      <c r="F103" s="7">
        <v>144</v>
      </c>
      <c r="G103" s="7" t="s">
        <v>149</v>
      </c>
      <c r="H103" s="7" t="s">
        <v>160</v>
      </c>
      <c r="I103" s="7" t="s">
        <v>162</v>
      </c>
      <c r="J103" s="7" t="s">
        <v>166</v>
      </c>
      <c r="K103" s="7" t="s">
        <v>214</v>
      </c>
      <c r="L103" s="105">
        <v>21.323699999999999</v>
      </c>
      <c r="M103" s="104">
        <v>1</v>
      </c>
      <c r="N103" s="7"/>
      <c r="O103" s="105"/>
      <c r="P103" s="104" t="s">
        <v>225</v>
      </c>
      <c r="Q103" s="7">
        <v>2</v>
      </c>
      <c r="R103" s="7" t="s">
        <v>341</v>
      </c>
      <c r="S103" s="8"/>
      <c r="T103" s="8"/>
      <c r="U103" s="128">
        <v>2008</v>
      </c>
      <c r="V103" s="107">
        <v>0.52</v>
      </c>
      <c r="W103" s="7" t="s">
        <v>361</v>
      </c>
      <c r="X103" s="129"/>
      <c r="Y103" s="130"/>
      <c r="Z103" s="108">
        <f>6.49*Level1[[#This Row],[FW_Share_estimate]]</f>
        <v>3.3748</v>
      </c>
      <c r="AA103" s="7" t="s">
        <v>366</v>
      </c>
      <c r="AB103" s="109">
        <v>1232.6457</v>
      </c>
      <c r="AC103" s="109">
        <v>1232.6457</v>
      </c>
      <c r="AD103" s="110">
        <v>1232.6457</v>
      </c>
      <c r="AE103" s="111">
        <v>0</v>
      </c>
      <c r="AF103" s="110">
        <v>0</v>
      </c>
      <c r="AG103" s="110">
        <v>0</v>
      </c>
      <c r="AH103" s="112">
        <v>0</v>
      </c>
      <c r="AI103" s="113">
        <f>0.25*Level1[[#This Row],[FW_Share_estimate]]</f>
        <v>0.13</v>
      </c>
      <c r="AJ103" s="7" t="s">
        <v>375</v>
      </c>
      <c r="AK103" s="68">
        <v>0.13</v>
      </c>
      <c r="AL103" s="68">
        <v>47.482500000000002</v>
      </c>
      <c r="AM103" s="112">
        <v>47.482500000000002</v>
      </c>
      <c r="AN103" s="111">
        <f>IF(Level1[[#This Row],[Standardised_Normalised_Mass_kg/capita/year]]&lt;&gt;"",Level1[[#This Row],[Standardised_Normalised_Mass_kg/capita/year]],Level1[[#This Row],[Derived_Normalised_kg/capita/year]])</f>
        <v>47.482500000000002</v>
      </c>
      <c r="AO103" s="68">
        <f>IF(Level1[[#This Row],[Household]]=1,IF(Level1[[#This Row],[Household_Diary?]]=1,'Cover Sheet'!$R$31,1),1)</f>
        <v>1</v>
      </c>
      <c r="AP103" s="68">
        <f>IF(Level1[[#This Row],[Household]]=1,IF(Level1[[#This Row],[Edible_Waste_Only?]]=1,'Cover Sheet'!$R$32,1),1)</f>
        <v>1</v>
      </c>
      <c r="AQ103" s="68">
        <f>IF(Level1[[#This Row],[Food_Service]]=1,IF(Level1[[#This Row],[Edible_Waste_Only?]]=1,'Cover Sheet'!$R$33,1),1)</f>
        <v>1</v>
      </c>
      <c r="AR103" s="68">
        <f>IF(Level1[[#This Row],[Retail]]=1,IF(Level1[[#This Row],[Edible_Waste_Only?]]=1,'Cover Sheet'!$R$34,1),1)</f>
        <v>1</v>
      </c>
      <c r="AS103" s="68">
        <f>PRODUCT(Level1[[#This Row],[Household_Diary_Adjustment]:[Retail_Inedible_Adjustment]])</f>
        <v>1</v>
      </c>
      <c r="AT103" s="114">
        <f>Level1[[#This Row],[Preferred_estimate_kg/capita]]*Level1[[#This Row],[Total_Adjustment]]</f>
        <v>47.482500000000002</v>
      </c>
      <c r="AU103" s="186"/>
    </row>
    <row r="104" spans="1:47" x14ac:dyDescent="0.2">
      <c r="A104" s="115">
        <v>75</v>
      </c>
      <c r="B104" s="116" t="s">
        <v>670</v>
      </c>
      <c r="C104" s="116">
        <v>2016</v>
      </c>
      <c r="D104" s="117" t="s">
        <v>417</v>
      </c>
      <c r="E104" s="118" t="s">
        <v>137</v>
      </c>
      <c r="F104" s="116">
        <v>144</v>
      </c>
      <c r="G104" s="116" t="s">
        <v>149</v>
      </c>
      <c r="H104" s="116" t="s">
        <v>160</v>
      </c>
      <c r="I104" s="7" t="s">
        <v>162</v>
      </c>
      <c r="J104" s="7" t="s">
        <v>166</v>
      </c>
      <c r="K104" s="116" t="s">
        <v>215</v>
      </c>
      <c r="L104" s="105">
        <v>21.323699999999999</v>
      </c>
      <c r="M104" s="118">
        <v>1</v>
      </c>
      <c r="N104" s="116"/>
      <c r="O104" s="119"/>
      <c r="P104" s="118" t="s">
        <v>225</v>
      </c>
      <c r="Q104" s="116">
        <v>2</v>
      </c>
      <c r="R104" s="116" t="s">
        <v>341</v>
      </c>
      <c r="S104" s="120"/>
      <c r="T104" s="120"/>
      <c r="U104" s="125">
        <v>2010</v>
      </c>
      <c r="V104" s="122">
        <v>0.12</v>
      </c>
      <c r="W104" s="116" t="s">
        <v>361</v>
      </c>
      <c r="X104" s="131"/>
      <c r="Y104" s="127"/>
      <c r="Z104" s="123">
        <f>23.63*Level1[[#This Row],[FW_Share_estimate]]</f>
        <v>2.8355999999999999</v>
      </c>
      <c r="AA104" s="7" t="s">
        <v>366</v>
      </c>
      <c r="AB104" s="109">
        <v>1035.7029</v>
      </c>
      <c r="AC104" s="109">
        <v>1035.7029</v>
      </c>
      <c r="AD104" s="124">
        <v>1035.7029</v>
      </c>
      <c r="AE104" s="111">
        <v>0</v>
      </c>
      <c r="AF104" s="110">
        <v>0</v>
      </c>
      <c r="AG104" s="110">
        <v>0</v>
      </c>
      <c r="AH104" s="112">
        <v>0</v>
      </c>
      <c r="AI104" s="113">
        <f>0.47*Level1[[#This Row],[FW_Share_estimate]]</f>
        <v>5.6399999999999992E-2</v>
      </c>
      <c r="AJ104" s="116" t="s">
        <v>375</v>
      </c>
      <c r="AK104" s="68">
        <v>5.6399999999999992E-2</v>
      </c>
      <c r="AL104" s="68">
        <v>20.600099999999998</v>
      </c>
      <c r="AM104" s="112">
        <v>20.600099999999998</v>
      </c>
      <c r="AN104" s="111">
        <f>IF(Level1[[#This Row],[Standardised_Normalised_Mass_kg/capita/year]]&lt;&gt;"",Level1[[#This Row],[Standardised_Normalised_Mass_kg/capita/year]],Level1[[#This Row],[Derived_Normalised_kg/capita/year]])</f>
        <v>20.600099999999998</v>
      </c>
      <c r="AO104" s="68">
        <f>IF(Level1[[#This Row],[Household]]=1,IF(Level1[[#This Row],[Household_Diary?]]=1,'Cover Sheet'!$R$31,1),1)</f>
        <v>1</v>
      </c>
      <c r="AP104" s="68">
        <f>IF(Level1[[#This Row],[Household]]=1,IF(Level1[[#This Row],[Edible_Waste_Only?]]=1,'Cover Sheet'!$R$32,1),1)</f>
        <v>1</v>
      </c>
      <c r="AQ104" s="68">
        <f>IF(Level1[[#This Row],[Food_Service]]=1,IF(Level1[[#This Row],[Edible_Waste_Only?]]=1,'Cover Sheet'!$R$33,1),1)</f>
        <v>1</v>
      </c>
      <c r="AR104" s="68">
        <f>IF(Level1[[#This Row],[Retail]]=1,IF(Level1[[#This Row],[Edible_Waste_Only?]]=1,'Cover Sheet'!$R$34,1),1)</f>
        <v>1</v>
      </c>
      <c r="AS104" s="68">
        <f>PRODUCT(Level1[[#This Row],[Household_Diary_Adjustment]:[Retail_Inedible_Adjustment]])</f>
        <v>1</v>
      </c>
      <c r="AT104" s="114">
        <f>Level1[[#This Row],[Preferred_estimate_kg/capita]]*Level1[[#This Row],[Total_Adjustment]]</f>
        <v>20.600099999999998</v>
      </c>
      <c r="AU104" s="186"/>
    </row>
    <row r="105" spans="1:47" x14ac:dyDescent="0.2">
      <c r="A105" s="102">
        <v>13</v>
      </c>
      <c r="B105" s="116" t="s">
        <v>561</v>
      </c>
      <c r="C105" s="7">
        <v>2015</v>
      </c>
      <c r="D105" s="103" t="s">
        <v>23</v>
      </c>
      <c r="E105" s="104" t="s">
        <v>99</v>
      </c>
      <c r="F105" s="7">
        <v>156</v>
      </c>
      <c r="G105" s="7" t="s">
        <v>152</v>
      </c>
      <c r="H105" s="7" t="s">
        <v>160</v>
      </c>
      <c r="I105" s="7" t="s">
        <v>163</v>
      </c>
      <c r="J105" s="7" t="s">
        <v>166</v>
      </c>
      <c r="K105" s="7" t="s">
        <v>175</v>
      </c>
      <c r="L105" s="105">
        <v>1433.7837</v>
      </c>
      <c r="M105" s="104">
        <v>1</v>
      </c>
      <c r="N105" s="7"/>
      <c r="O105" s="105"/>
      <c r="P105" s="104" t="s">
        <v>225</v>
      </c>
      <c r="Q105" s="7">
        <v>2</v>
      </c>
      <c r="R105" s="7" t="s">
        <v>252</v>
      </c>
      <c r="S105" s="8"/>
      <c r="T105" s="8"/>
      <c r="U105" s="128" t="s">
        <v>358</v>
      </c>
      <c r="V105" s="107">
        <v>0.65700000000000003</v>
      </c>
      <c r="W105" s="7" t="s">
        <v>361</v>
      </c>
      <c r="X105" s="129"/>
      <c r="Y105" s="130"/>
      <c r="Z105" s="108">
        <f>568*V105</f>
        <v>373.17600000000004</v>
      </c>
      <c r="AA105" s="7" t="s">
        <v>368</v>
      </c>
      <c r="AB105" s="109">
        <v>373.17600000000004</v>
      </c>
      <c r="AC105" s="109">
        <v>373176.00000000006</v>
      </c>
      <c r="AD105" s="110">
        <v>373176.00000000006</v>
      </c>
      <c r="AE105" s="111">
        <v>0</v>
      </c>
      <c r="AF105" s="110">
        <v>0</v>
      </c>
      <c r="AG105" s="110">
        <v>0</v>
      </c>
      <c r="AH105" s="112">
        <v>0</v>
      </c>
      <c r="AI105" s="113">
        <f>280.5*Level1[[#This Row],[FW_Share_estimate]]</f>
        <v>184.2885</v>
      </c>
      <c r="AJ105" s="7" t="s">
        <v>378</v>
      </c>
      <c r="AK105" s="68">
        <v>0.18428849999999999</v>
      </c>
      <c r="AL105" s="68">
        <v>67.311374624999999</v>
      </c>
      <c r="AM105" s="112">
        <v>67.311374624999999</v>
      </c>
      <c r="AN105" s="111">
        <f>IF(Level1[[#This Row],[Standardised_Normalised_Mass_kg/capita/year]]&lt;&gt;"",Level1[[#This Row],[Standardised_Normalised_Mass_kg/capita/year]],Level1[[#This Row],[Derived_Normalised_kg/capita/year]])</f>
        <v>67.311374624999999</v>
      </c>
      <c r="AO105" s="68">
        <f>IF(Level1[[#This Row],[Household]]=1,IF(Level1[[#This Row],[Household_Diary?]]=1,'Cover Sheet'!$R$31,1),1)</f>
        <v>1</v>
      </c>
      <c r="AP105" s="68">
        <f>IF(Level1[[#This Row],[Household]]=1,IF(Level1[[#This Row],[Edible_Waste_Only?]]=1,'Cover Sheet'!$R$32,1),1)</f>
        <v>1</v>
      </c>
      <c r="AQ105" s="68">
        <f>IF(Level1[[#This Row],[Food_Service]]=1,IF(Level1[[#This Row],[Edible_Waste_Only?]]=1,'Cover Sheet'!$R$33,1),1)</f>
        <v>1</v>
      </c>
      <c r="AR105" s="68">
        <f>IF(Level1[[#This Row],[Retail]]=1,IF(Level1[[#This Row],[Edible_Waste_Only?]]=1,'Cover Sheet'!$R$34,1),1)</f>
        <v>1</v>
      </c>
      <c r="AS105" s="68">
        <f>PRODUCT(Level1[[#This Row],[Household_Diary_Adjustment]:[Retail_Inedible_Adjustment]])</f>
        <v>1</v>
      </c>
      <c r="AT105" s="114">
        <f>Level1[[#This Row],[Preferred_estimate_kg/capita]]*Level1[[#This Row],[Total_Adjustment]]</f>
        <v>67.311374624999999</v>
      </c>
      <c r="AU105" s="186"/>
    </row>
    <row r="106" spans="1:47" x14ac:dyDescent="0.2">
      <c r="A106" s="102">
        <v>15</v>
      </c>
      <c r="B106" s="116" t="s">
        <v>565</v>
      </c>
      <c r="C106" s="7">
        <v>2015</v>
      </c>
      <c r="D106" s="103" t="s">
        <v>25</v>
      </c>
      <c r="E106" s="104" t="s">
        <v>99</v>
      </c>
      <c r="F106" s="7">
        <v>156</v>
      </c>
      <c r="G106" s="7" t="s">
        <v>152</v>
      </c>
      <c r="H106" s="7" t="s">
        <v>160</v>
      </c>
      <c r="I106" s="7" t="s">
        <v>163</v>
      </c>
      <c r="J106" s="7" t="s">
        <v>166</v>
      </c>
      <c r="K106" s="7" t="s">
        <v>177</v>
      </c>
      <c r="L106" s="105">
        <v>1433.7837</v>
      </c>
      <c r="M106" s="104">
        <v>1</v>
      </c>
      <c r="N106" s="7"/>
      <c r="O106" s="105"/>
      <c r="P106" s="104" t="s">
        <v>224</v>
      </c>
      <c r="Q106" s="7">
        <v>2</v>
      </c>
      <c r="R106" s="7" t="s">
        <v>254</v>
      </c>
      <c r="S106" s="8"/>
      <c r="T106" s="8"/>
      <c r="U106" s="128">
        <v>2013</v>
      </c>
      <c r="V106" s="107">
        <v>0.69</v>
      </c>
      <c r="W106" s="7" t="s">
        <v>364</v>
      </c>
      <c r="X106" s="107"/>
      <c r="Y106" s="105"/>
      <c r="Z106" s="108">
        <v>2500</v>
      </c>
      <c r="AA106" s="7" t="s">
        <v>366</v>
      </c>
      <c r="AB106" s="109">
        <v>913125</v>
      </c>
      <c r="AC106" s="109">
        <v>913125</v>
      </c>
      <c r="AD106" s="110">
        <v>913125</v>
      </c>
      <c r="AE106" s="111">
        <v>1</v>
      </c>
      <c r="AF106" s="110">
        <v>0</v>
      </c>
      <c r="AG106" s="110">
        <v>9000000</v>
      </c>
      <c r="AH106" s="112">
        <v>101.45833333333333</v>
      </c>
      <c r="AI106" s="113"/>
      <c r="AJ106" s="7"/>
      <c r="AK106" s="68" t="s">
        <v>374</v>
      </c>
      <c r="AL106" s="68" t="s">
        <v>374</v>
      </c>
      <c r="AM106" s="112" t="s">
        <v>374</v>
      </c>
      <c r="AN106" s="111">
        <f>IF(Level1[[#This Row],[Standardised_Normalised_Mass_kg/capita/year]]&lt;&gt;"",Level1[[#This Row],[Standardised_Normalised_Mass_kg/capita/year]],Level1[[#This Row],[Derived_Normalised_kg/capita/year]])</f>
        <v>101.45833333333333</v>
      </c>
      <c r="AO106" s="68">
        <f>IF(Level1[[#This Row],[Household]]=1,IF(Level1[[#This Row],[Household_Diary?]]=1,'Cover Sheet'!$R$31,1),1)</f>
        <v>1</v>
      </c>
      <c r="AP106" s="68">
        <f>IF(Level1[[#This Row],[Household]]=1,IF(Level1[[#This Row],[Edible_Waste_Only?]]=1,'Cover Sheet'!$R$32,1),1)</f>
        <v>1</v>
      </c>
      <c r="AQ106" s="68">
        <f>IF(Level1[[#This Row],[Food_Service]]=1,IF(Level1[[#This Row],[Edible_Waste_Only?]]=1,'Cover Sheet'!$R$33,1),1)</f>
        <v>1</v>
      </c>
      <c r="AR106" s="68">
        <f>IF(Level1[[#This Row],[Retail]]=1,IF(Level1[[#This Row],[Edible_Waste_Only?]]=1,'Cover Sheet'!$R$34,1),1)</f>
        <v>1</v>
      </c>
      <c r="AS106" s="68">
        <f>PRODUCT(Level1[[#This Row],[Household_Diary_Adjustment]:[Retail_Inedible_Adjustment]])</f>
        <v>1</v>
      </c>
      <c r="AT106" s="114">
        <f>Level1[[#This Row],[Preferred_estimate_kg/capita]]*Level1[[#This Row],[Total_Adjustment]]</f>
        <v>101.45833333333333</v>
      </c>
      <c r="AU106" s="186"/>
    </row>
    <row r="107" spans="1:47" x14ac:dyDescent="0.2">
      <c r="A107" s="102">
        <v>17</v>
      </c>
      <c r="B107" s="116" t="s">
        <v>569</v>
      </c>
      <c r="C107" s="7">
        <v>2015</v>
      </c>
      <c r="D107" s="103" t="s">
        <v>27</v>
      </c>
      <c r="E107" s="104" t="s">
        <v>99</v>
      </c>
      <c r="F107" s="7">
        <v>156</v>
      </c>
      <c r="G107" s="7" t="s">
        <v>152</v>
      </c>
      <c r="H107" s="7" t="s">
        <v>160</v>
      </c>
      <c r="I107" s="7" t="s">
        <v>163</v>
      </c>
      <c r="J107" s="7" t="s">
        <v>165</v>
      </c>
      <c r="K107" s="7"/>
      <c r="L107" s="105">
        <v>1433.7837</v>
      </c>
      <c r="M107" s="104">
        <v>1</v>
      </c>
      <c r="N107" s="7"/>
      <c r="O107" s="105"/>
      <c r="P107" s="104" t="s">
        <v>227</v>
      </c>
      <c r="Q107" s="7">
        <v>2</v>
      </c>
      <c r="R107" s="7" t="s">
        <v>256</v>
      </c>
      <c r="S107" s="8">
        <v>1</v>
      </c>
      <c r="T107" s="8"/>
      <c r="U107" s="128" t="s">
        <v>359</v>
      </c>
      <c r="V107" s="107"/>
      <c r="W107" s="7"/>
      <c r="X107" s="129"/>
      <c r="Y107" s="130"/>
      <c r="Z107" s="108">
        <v>21.03</v>
      </c>
      <c r="AA107" s="7" t="s">
        <v>367</v>
      </c>
      <c r="AB107" s="109">
        <v>21.03</v>
      </c>
      <c r="AC107" s="109">
        <v>21030000</v>
      </c>
      <c r="AD107" s="110">
        <v>21030000</v>
      </c>
      <c r="AE107" s="111">
        <v>0</v>
      </c>
      <c r="AF107" s="110">
        <v>0</v>
      </c>
      <c r="AG107" s="110">
        <v>0</v>
      </c>
      <c r="AH107" s="112">
        <v>0</v>
      </c>
      <c r="AI107" s="113">
        <v>16</v>
      </c>
      <c r="AJ107" s="7" t="s">
        <v>377</v>
      </c>
      <c r="AK107" s="68">
        <v>16</v>
      </c>
      <c r="AL107" s="68">
        <v>16</v>
      </c>
      <c r="AM107" s="112">
        <v>16</v>
      </c>
      <c r="AN107" s="111">
        <f>IF(Level1[[#This Row],[Standardised_Normalised_Mass_kg/capita/year]]&lt;&gt;"",Level1[[#This Row],[Standardised_Normalised_Mass_kg/capita/year]],Level1[[#This Row],[Derived_Normalised_kg/capita/year]])</f>
        <v>16</v>
      </c>
      <c r="AO107" s="68">
        <f>IF(Level1[[#This Row],[Household]]=1,IF(Level1[[#This Row],[Household_Diary?]]=1,'Cover Sheet'!$R$31,1),1)</f>
        <v>1.4326647564469914</v>
      </c>
      <c r="AP107" s="68">
        <f>IF(Level1[[#This Row],[Household]]=1,IF(Level1[[#This Row],[Edible_Waste_Only?]]=1,'Cover Sheet'!$R$32,1),1)</f>
        <v>1</v>
      </c>
      <c r="AQ107" s="68">
        <f>IF(Level1[[#This Row],[Food_Service]]=1,IF(Level1[[#This Row],[Edible_Waste_Only?]]=1,'Cover Sheet'!$R$33,1),1)</f>
        <v>1</v>
      </c>
      <c r="AR107" s="68">
        <f>IF(Level1[[#This Row],[Retail]]=1,IF(Level1[[#This Row],[Edible_Waste_Only?]]=1,'Cover Sheet'!$R$34,1),1)</f>
        <v>1</v>
      </c>
      <c r="AS107" s="68">
        <f>PRODUCT(Level1[[#This Row],[Household_Diary_Adjustment]:[Retail_Inedible_Adjustment]])</f>
        <v>1.4326647564469914</v>
      </c>
      <c r="AT107" s="114">
        <f>Level1[[#This Row],[Preferred_estimate_kg/capita]]*Level1[[#This Row],[Total_Adjustment]]</f>
        <v>22.922636103151863</v>
      </c>
      <c r="AU107" s="186"/>
    </row>
    <row r="108" spans="1:47" x14ac:dyDescent="0.2">
      <c r="A108" s="102">
        <v>23</v>
      </c>
      <c r="B108" s="116" t="s">
        <v>578</v>
      </c>
      <c r="C108" s="7">
        <v>2015</v>
      </c>
      <c r="D108" s="103" t="s">
        <v>32</v>
      </c>
      <c r="E108" s="104" t="s">
        <v>102</v>
      </c>
      <c r="F108" s="7">
        <v>233</v>
      </c>
      <c r="G108" s="7" t="s">
        <v>153</v>
      </c>
      <c r="H108" s="7" t="s">
        <v>159</v>
      </c>
      <c r="I108" s="7" t="s">
        <v>161</v>
      </c>
      <c r="J108" s="7" t="s">
        <v>165</v>
      </c>
      <c r="K108" s="7"/>
      <c r="L108" s="105">
        <v>1.3255999999999999</v>
      </c>
      <c r="M108" s="104"/>
      <c r="N108" s="7">
        <v>1</v>
      </c>
      <c r="O108" s="105"/>
      <c r="P108" s="104" t="s">
        <v>225</v>
      </c>
      <c r="Q108" s="7">
        <v>1</v>
      </c>
      <c r="R108" s="7" t="s">
        <v>267</v>
      </c>
      <c r="S108" s="8"/>
      <c r="T108" s="8"/>
      <c r="U108" s="128">
        <v>2014</v>
      </c>
      <c r="V108" s="107"/>
      <c r="W108" s="7"/>
      <c r="X108" s="107">
        <v>0.59</v>
      </c>
      <c r="Y108" s="105" t="s">
        <v>498</v>
      </c>
      <c r="Z108" s="108">
        <f>13000+9000</f>
        <v>22000</v>
      </c>
      <c r="AA108" s="7" t="s">
        <v>365</v>
      </c>
      <c r="AB108" s="109">
        <v>22000</v>
      </c>
      <c r="AC108" s="109">
        <v>22000</v>
      </c>
      <c r="AD108" s="110">
        <v>22000</v>
      </c>
      <c r="AE108" s="111">
        <v>1</v>
      </c>
      <c r="AF108" s="110">
        <v>1324842.8571428573</v>
      </c>
      <c r="AG108" s="110">
        <v>0</v>
      </c>
      <c r="AH108" s="112">
        <v>16.60574299916971</v>
      </c>
      <c r="AI108" s="113"/>
      <c r="AJ108" s="7"/>
      <c r="AK108" s="68" t="s">
        <v>374</v>
      </c>
      <c r="AL108" s="68" t="s">
        <v>374</v>
      </c>
      <c r="AM108" s="112" t="s">
        <v>374</v>
      </c>
      <c r="AN108" s="111">
        <f>IF(Level1[[#This Row],[Standardised_Normalised_Mass_kg/capita/year]]&lt;&gt;"",Level1[[#This Row],[Standardised_Normalised_Mass_kg/capita/year]],Level1[[#This Row],[Derived_Normalised_kg/capita/year]])</f>
        <v>16.60574299916971</v>
      </c>
      <c r="AO108" s="68">
        <f>IF(Level1[[#This Row],[Household]]=1,IF(Level1[[#This Row],[Household_Diary?]]=1,'Cover Sheet'!$R$31,1),1)</f>
        <v>1</v>
      </c>
      <c r="AP108" s="68">
        <f>IF(Level1[[#This Row],[Household]]=1,IF(Level1[[#This Row],[Edible_Waste_Only?]]=1,'Cover Sheet'!$R$32,1),1)</f>
        <v>1</v>
      </c>
      <c r="AQ108" s="68">
        <f>IF(Level1[[#This Row],[Food_Service]]=1,IF(Level1[[#This Row],[Edible_Waste_Only?]]=1,'Cover Sheet'!$R$33,1),1)</f>
        <v>1</v>
      </c>
      <c r="AR108" s="68">
        <f>IF(Level1[[#This Row],[Retail]]=1,IF(Level1[[#This Row],[Edible_Waste_Only?]]=1,'Cover Sheet'!$R$34,1),1)</f>
        <v>1</v>
      </c>
      <c r="AS108" s="68">
        <f>PRODUCT(Level1[[#This Row],[Household_Diary_Adjustment]:[Retail_Inedible_Adjustment]])</f>
        <v>1</v>
      </c>
      <c r="AT108" s="114">
        <f>Level1[[#This Row],[Preferred_estimate_kg/capita]]*Level1[[#This Row],[Total_Adjustment]]</f>
        <v>16.60574299916971</v>
      </c>
      <c r="AU108" s="186"/>
    </row>
    <row r="109" spans="1:47" x14ac:dyDescent="0.2">
      <c r="A109" s="115">
        <v>23</v>
      </c>
      <c r="B109" s="116" t="s">
        <v>578</v>
      </c>
      <c r="C109" s="116">
        <v>2015</v>
      </c>
      <c r="D109" s="117" t="s">
        <v>32</v>
      </c>
      <c r="E109" s="118" t="s">
        <v>102</v>
      </c>
      <c r="F109" s="116">
        <v>233</v>
      </c>
      <c r="G109" s="116" t="s">
        <v>153</v>
      </c>
      <c r="H109" s="116" t="s">
        <v>159</v>
      </c>
      <c r="I109" s="7" t="s">
        <v>161</v>
      </c>
      <c r="J109" s="7" t="s">
        <v>165</v>
      </c>
      <c r="K109" s="116"/>
      <c r="L109" s="105">
        <v>1.3255999999999999</v>
      </c>
      <c r="M109" s="118">
        <v>1</v>
      </c>
      <c r="N109" s="116"/>
      <c r="O109" s="119"/>
      <c r="P109" s="118" t="s">
        <v>227</v>
      </c>
      <c r="Q109" s="116">
        <v>2</v>
      </c>
      <c r="R109" s="116" t="s">
        <v>266</v>
      </c>
      <c r="S109" s="120">
        <v>1</v>
      </c>
      <c r="T109" s="120"/>
      <c r="U109" s="125">
        <v>2014</v>
      </c>
      <c r="V109" s="122"/>
      <c r="W109" s="116"/>
      <c r="X109" s="122">
        <f>36%</f>
        <v>0.36</v>
      </c>
      <c r="Y109" s="119" t="s">
        <v>509</v>
      </c>
      <c r="Z109" s="123">
        <f>71000+25000</f>
        <v>96000</v>
      </c>
      <c r="AA109" s="7" t="s">
        <v>365</v>
      </c>
      <c r="AB109" s="109">
        <v>96000</v>
      </c>
      <c r="AC109" s="109">
        <v>96000</v>
      </c>
      <c r="AD109" s="124">
        <v>96000</v>
      </c>
      <c r="AE109" s="111">
        <v>0</v>
      </c>
      <c r="AF109" s="110">
        <v>1324842.8571428573</v>
      </c>
      <c r="AG109" s="110">
        <v>0</v>
      </c>
      <c r="AH109" s="112">
        <v>0</v>
      </c>
      <c r="AI109" s="113">
        <v>54.1</v>
      </c>
      <c r="AJ109" s="116" t="s">
        <v>377</v>
      </c>
      <c r="AK109" s="68">
        <v>54.1</v>
      </c>
      <c r="AL109" s="68">
        <v>54.1</v>
      </c>
      <c r="AM109" s="112">
        <v>54.1</v>
      </c>
      <c r="AN109" s="111">
        <f>IF(Level1[[#This Row],[Standardised_Normalised_Mass_kg/capita/year]]&lt;&gt;"",Level1[[#This Row],[Standardised_Normalised_Mass_kg/capita/year]],Level1[[#This Row],[Derived_Normalised_kg/capita/year]])</f>
        <v>54.1</v>
      </c>
      <c r="AO109" s="68">
        <f>IF(Level1[[#This Row],[Household]]=1,IF(Level1[[#This Row],[Household_Diary?]]=1,'Cover Sheet'!$R$31,1),1)</f>
        <v>1.4326647564469914</v>
      </c>
      <c r="AP109" s="68">
        <f>IF(Level1[[#This Row],[Household]]=1,IF(Level1[[#This Row],[Edible_Waste_Only?]]=1,'Cover Sheet'!$R$32,1),1)</f>
        <v>1</v>
      </c>
      <c r="AQ109" s="68">
        <f>IF(Level1[[#This Row],[Food_Service]]=1,IF(Level1[[#This Row],[Edible_Waste_Only?]]=1,'Cover Sheet'!$R$33,1),1)</f>
        <v>1</v>
      </c>
      <c r="AR109" s="68">
        <f>IF(Level1[[#This Row],[Retail]]=1,IF(Level1[[#This Row],[Edible_Waste_Only?]]=1,'Cover Sheet'!$R$34,1),1)</f>
        <v>1</v>
      </c>
      <c r="AS109" s="68">
        <f>PRODUCT(Level1[[#This Row],[Household_Diary_Adjustment]:[Retail_Inedible_Adjustment]])</f>
        <v>1.4326647564469914</v>
      </c>
      <c r="AT109" s="114">
        <f>Level1[[#This Row],[Preferred_estimate_kg/capita]]*Level1[[#This Row],[Total_Adjustment]]</f>
        <v>77.507163323782237</v>
      </c>
      <c r="AU109" s="186"/>
    </row>
    <row r="110" spans="1:47" x14ac:dyDescent="0.2">
      <c r="A110" s="115">
        <v>24</v>
      </c>
      <c r="B110" s="116" t="s">
        <v>580</v>
      </c>
      <c r="C110" s="116">
        <v>2015</v>
      </c>
      <c r="D110" s="117" t="s">
        <v>33</v>
      </c>
      <c r="E110" s="118" t="s">
        <v>102</v>
      </c>
      <c r="F110" s="116">
        <v>233</v>
      </c>
      <c r="G110" s="116" t="s">
        <v>153</v>
      </c>
      <c r="H110" s="116" t="s">
        <v>159</v>
      </c>
      <c r="I110" s="7" t="s">
        <v>161</v>
      </c>
      <c r="J110" s="7" t="s">
        <v>165</v>
      </c>
      <c r="K110" s="116"/>
      <c r="L110" s="105">
        <v>1.3255999999999999</v>
      </c>
      <c r="M110" s="118"/>
      <c r="N110" s="116"/>
      <c r="O110" s="119">
        <v>1</v>
      </c>
      <c r="P110" s="118" t="s">
        <v>226</v>
      </c>
      <c r="Q110" s="116">
        <v>2</v>
      </c>
      <c r="R110" s="116" t="s">
        <v>268</v>
      </c>
      <c r="S110" s="120"/>
      <c r="T110" s="120"/>
      <c r="U110" s="125">
        <v>2012</v>
      </c>
      <c r="V110" s="122"/>
      <c r="W110" s="116"/>
      <c r="X110" s="131"/>
      <c r="Y110" s="127"/>
      <c r="Z110" s="123">
        <v>6270</v>
      </c>
      <c r="AA110" s="7" t="s">
        <v>365</v>
      </c>
      <c r="AB110" s="109">
        <v>6270</v>
      </c>
      <c r="AC110" s="109">
        <v>6270</v>
      </c>
      <c r="AD110" s="124">
        <v>6270</v>
      </c>
      <c r="AE110" s="111">
        <v>1</v>
      </c>
      <c r="AF110" s="110">
        <v>1328471.4285714286</v>
      </c>
      <c r="AG110" s="110">
        <v>0</v>
      </c>
      <c r="AH110" s="112">
        <v>4.7197100857053753</v>
      </c>
      <c r="AI110" s="113"/>
      <c r="AJ110" s="116"/>
      <c r="AK110" s="68" t="s">
        <v>374</v>
      </c>
      <c r="AL110" s="68" t="s">
        <v>374</v>
      </c>
      <c r="AM110" s="112" t="s">
        <v>374</v>
      </c>
      <c r="AN110" s="111">
        <f>IF(Level1[[#This Row],[Standardised_Normalised_Mass_kg/capita/year]]&lt;&gt;"",Level1[[#This Row],[Standardised_Normalised_Mass_kg/capita/year]],Level1[[#This Row],[Derived_Normalised_kg/capita/year]])</f>
        <v>4.7197100857053753</v>
      </c>
      <c r="AO110" s="68">
        <f>IF(Level1[[#This Row],[Household]]=1,IF(Level1[[#This Row],[Household_Diary?]]=1,'Cover Sheet'!$R$31,1),1)</f>
        <v>1</v>
      </c>
      <c r="AP110" s="68">
        <f>IF(Level1[[#This Row],[Household]]=1,IF(Level1[[#This Row],[Edible_Waste_Only?]]=1,'Cover Sheet'!$R$32,1),1)</f>
        <v>1</v>
      </c>
      <c r="AQ110" s="68">
        <f>IF(Level1[[#This Row],[Food_Service]]=1,IF(Level1[[#This Row],[Edible_Waste_Only?]]=1,'Cover Sheet'!$R$33,1),1)</f>
        <v>1</v>
      </c>
      <c r="AR110" s="68">
        <f>IF(Level1[[#This Row],[Retail]]=1,IF(Level1[[#This Row],[Edible_Waste_Only?]]=1,'Cover Sheet'!$R$34,1),1)</f>
        <v>1</v>
      </c>
      <c r="AS110" s="68">
        <f>PRODUCT(Level1[[#This Row],[Household_Diary_Adjustment]:[Retail_Inedible_Adjustment]])</f>
        <v>1</v>
      </c>
      <c r="AT110" s="114">
        <f>Level1[[#This Row],[Preferred_estimate_kg/capita]]*Level1[[#This Row],[Total_Adjustment]]</f>
        <v>4.7197100857053753</v>
      </c>
      <c r="AU110" s="186"/>
    </row>
    <row r="111" spans="1:47" x14ac:dyDescent="0.2">
      <c r="A111" s="115">
        <v>32</v>
      </c>
      <c r="B111" s="116" t="s">
        <v>596</v>
      </c>
      <c r="C111" s="116">
        <v>2015</v>
      </c>
      <c r="D111" s="117" t="s">
        <v>41</v>
      </c>
      <c r="E111" s="118" t="s">
        <v>108</v>
      </c>
      <c r="F111" s="116">
        <v>288</v>
      </c>
      <c r="G111" s="116" t="s">
        <v>154</v>
      </c>
      <c r="H111" s="116" t="s">
        <v>160</v>
      </c>
      <c r="I111" s="7" t="s">
        <v>162</v>
      </c>
      <c r="J111" s="7" t="s">
        <v>165</v>
      </c>
      <c r="K111" s="142"/>
      <c r="L111" s="105">
        <v>30.417899999999999</v>
      </c>
      <c r="M111" s="118">
        <v>1</v>
      </c>
      <c r="N111" s="116"/>
      <c r="O111" s="119"/>
      <c r="P111" s="118" t="s">
        <v>225</v>
      </c>
      <c r="Q111" s="116">
        <v>1</v>
      </c>
      <c r="R111" s="116" t="s">
        <v>282</v>
      </c>
      <c r="S111" s="120"/>
      <c r="T111" s="120"/>
      <c r="U111" s="125">
        <v>2014</v>
      </c>
      <c r="V111" s="122">
        <v>0.48</v>
      </c>
      <c r="W111" s="116" t="s">
        <v>361</v>
      </c>
      <c r="X111" s="131"/>
      <c r="Y111" s="127"/>
      <c r="Z111" s="123"/>
      <c r="AA111" s="7"/>
      <c r="AB111" s="109" t="s">
        <v>374</v>
      </c>
      <c r="AC111" s="109" t="s">
        <v>374</v>
      </c>
      <c r="AD111" s="124" t="s">
        <v>374</v>
      </c>
      <c r="AE111" s="111">
        <v>0</v>
      </c>
      <c r="AF111" s="110">
        <v>0</v>
      </c>
      <c r="AG111" s="110">
        <v>0</v>
      </c>
      <c r="AH111" s="112">
        <v>0</v>
      </c>
      <c r="AI111" s="113">
        <v>0.23</v>
      </c>
      <c r="AJ111" s="116" t="s">
        <v>375</v>
      </c>
      <c r="AK111" s="68">
        <v>0.23</v>
      </c>
      <c r="AL111" s="68">
        <v>84.007500000000007</v>
      </c>
      <c r="AM111" s="112">
        <v>84.007500000000007</v>
      </c>
      <c r="AN111" s="111">
        <f>IF(Level1[[#This Row],[Standardised_Normalised_Mass_kg/capita/year]]&lt;&gt;"",Level1[[#This Row],[Standardised_Normalised_Mass_kg/capita/year]],Level1[[#This Row],[Derived_Normalised_kg/capita/year]])</f>
        <v>84.007500000000007</v>
      </c>
      <c r="AO111" s="68">
        <f>IF(Level1[[#This Row],[Household]]=1,IF(Level1[[#This Row],[Household_Diary?]]=1,'Cover Sheet'!$R$31,1),1)</f>
        <v>1</v>
      </c>
      <c r="AP111" s="68">
        <f>IF(Level1[[#This Row],[Household]]=1,IF(Level1[[#This Row],[Edible_Waste_Only?]]=1,'Cover Sheet'!$R$32,1),1)</f>
        <v>1</v>
      </c>
      <c r="AQ111" s="68">
        <f>IF(Level1[[#This Row],[Food_Service]]=1,IF(Level1[[#This Row],[Edible_Waste_Only?]]=1,'Cover Sheet'!$R$33,1),1)</f>
        <v>1</v>
      </c>
      <c r="AR111" s="68">
        <f>IF(Level1[[#This Row],[Retail]]=1,IF(Level1[[#This Row],[Edible_Waste_Only?]]=1,'Cover Sheet'!$R$34,1),1)</f>
        <v>1</v>
      </c>
      <c r="AS111" s="68">
        <f>PRODUCT(Level1[[#This Row],[Household_Diary_Adjustment]:[Retail_Inedible_Adjustment]])</f>
        <v>1</v>
      </c>
      <c r="AT111" s="114">
        <f>Level1[[#This Row],[Preferred_estimate_kg/capita]]*Level1[[#This Row],[Total_Adjustment]]</f>
        <v>84.007500000000007</v>
      </c>
      <c r="AU111" s="186"/>
    </row>
    <row r="112" spans="1:47" x14ac:dyDescent="0.2">
      <c r="A112" s="115">
        <v>33</v>
      </c>
      <c r="B112" s="116" t="s">
        <v>598</v>
      </c>
      <c r="C112" s="116">
        <v>2015</v>
      </c>
      <c r="D112" s="117" t="s">
        <v>42</v>
      </c>
      <c r="E112" s="118" t="s">
        <v>109</v>
      </c>
      <c r="F112" s="116">
        <v>300</v>
      </c>
      <c r="G112" s="116" t="s">
        <v>155</v>
      </c>
      <c r="H112" s="116" t="s">
        <v>159</v>
      </c>
      <c r="I112" s="7" t="s">
        <v>161</v>
      </c>
      <c r="J112" s="7" t="s">
        <v>165</v>
      </c>
      <c r="K112" s="116"/>
      <c r="L112" s="105">
        <v>10.4735</v>
      </c>
      <c r="M112" s="118">
        <v>1</v>
      </c>
      <c r="N112" s="116"/>
      <c r="O112" s="119"/>
      <c r="P112" s="118" t="s">
        <v>227</v>
      </c>
      <c r="Q112" s="116">
        <v>2</v>
      </c>
      <c r="R112" s="116" t="s">
        <v>284</v>
      </c>
      <c r="S112" s="120">
        <v>1</v>
      </c>
      <c r="T112" s="120"/>
      <c r="U112" s="125">
        <v>2013</v>
      </c>
      <c r="V112" s="122"/>
      <c r="W112" s="116"/>
      <c r="X112" s="131">
        <f>29.8/Level1[[#This Row],[Normalised_Mass_Estimate]]</f>
        <v>0.30131445904954496</v>
      </c>
      <c r="Y112" s="127" t="s">
        <v>512</v>
      </c>
      <c r="Z112" s="123"/>
      <c r="AA112" s="7"/>
      <c r="AB112" s="109" t="s">
        <v>374</v>
      </c>
      <c r="AC112" s="109" t="s">
        <v>374</v>
      </c>
      <c r="AD112" s="124" t="s">
        <v>374</v>
      </c>
      <c r="AE112" s="111">
        <v>0</v>
      </c>
      <c r="AF112" s="110">
        <v>0</v>
      </c>
      <c r="AG112" s="110">
        <v>0</v>
      </c>
      <c r="AH112" s="112">
        <v>0</v>
      </c>
      <c r="AI112" s="113">
        <v>98.9</v>
      </c>
      <c r="AJ112" s="116" t="s">
        <v>377</v>
      </c>
      <c r="AK112" s="68">
        <v>98.9</v>
      </c>
      <c r="AL112" s="68">
        <v>98.9</v>
      </c>
      <c r="AM112" s="112">
        <v>98.9</v>
      </c>
      <c r="AN112" s="111">
        <f>IF(Level1[[#This Row],[Standardised_Normalised_Mass_kg/capita/year]]&lt;&gt;"",Level1[[#This Row],[Standardised_Normalised_Mass_kg/capita/year]],Level1[[#This Row],[Derived_Normalised_kg/capita/year]])</f>
        <v>98.9</v>
      </c>
      <c r="AO112" s="68">
        <f>IF(Level1[[#This Row],[Household]]=1,IF(Level1[[#This Row],[Household_Diary?]]=1,'Cover Sheet'!$R$31,1),1)</f>
        <v>1.4326647564469914</v>
      </c>
      <c r="AP112" s="68">
        <f>IF(Level1[[#This Row],[Household]]=1,IF(Level1[[#This Row],[Edible_Waste_Only?]]=1,'Cover Sheet'!$R$32,1),1)</f>
        <v>1</v>
      </c>
      <c r="AQ112" s="68">
        <f>IF(Level1[[#This Row],[Food_Service]]=1,IF(Level1[[#This Row],[Edible_Waste_Only?]]=1,'Cover Sheet'!$R$33,1),1)</f>
        <v>1</v>
      </c>
      <c r="AR112" s="68">
        <f>IF(Level1[[#This Row],[Retail]]=1,IF(Level1[[#This Row],[Edible_Waste_Only?]]=1,'Cover Sheet'!$R$34,1),1)</f>
        <v>1</v>
      </c>
      <c r="AS112" s="68">
        <f>PRODUCT(Level1[[#This Row],[Household_Diary_Adjustment]:[Retail_Inedible_Adjustment]])</f>
        <v>1.4326647564469914</v>
      </c>
      <c r="AT112" s="114">
        <f>Level1[[#This Row],[Preferred_estimate_kg/capita]]*Level1[[#This Row],[Total_Adjustment]]</f>
        <v>141.69054441260747</v>
      </c>
      <c r="AU112" s="186"/>
    </row>
    <row r="113" spans="1:47" x14ac:dyDescent="0.2">
      <c r="A113" s="115">
        <v>37</v>
      </c>
      <c r="B113" s="116" t="s">
        <v>606</v>
      </c>
      <c r="C113" s="116">
        <v>2015</v>
      </c>
      <c r="D113" s="117" t="s">
        <v>46</v>
      </c>
      <c r="E113" s="118" t="s">
        <v>111</v>
      </c>
      <c r="F113" s="116">
        <v>356</v>
      </c>
      <c r="G113" s="116" t="s">
        <v>149</v>
      </c>
      <c r="H113" s="116" t="s">
        <v>160</v>
      </c>
      <c r="I113" s="7" t="s">
        <v>162</v>
      </c>
      <c r="J113" s="7" t="s">
        <v>166</v>
      </c>
      <c r="K113" s="116" t="s">
        <v>186</v>
      </c>
      <c r="L113" s="105">
        <v>1366.4177999999999</v>
      </c>
      <c r="M113" s="118">
        <v>1</v>
      </c>
      <c r="N113" s="116"/>
      <c r="O113" s="119"/>
      <c r="P113" s="118" t="s">
        <v>225</v>
      </c>
      <c r="Q113" s="116">
        <v>2</v>
      </c>
      <c r="R113" s="116" t="s">
        <v>288</v>
      </c>
      <c r="S113" s="120"/>
      <c r="T113" s="120"/>
      <c r="U113" s="125">
        <v>2011</v>
      </c>
      <c r="V113" s="143">
        <v>0.8</v>
      </c>
      <c r="W113" s="116" t="s">
        <v>361</v>
      </c>
      <c r="X113" s="122"/>
      <c r="Y113" s="119"/>
      <c r="Z113" s="123"/>
      <c r="AA113" s="7"/>
      <c r="AB113" s="109" t="s">
        <v>374</v>
      </c>
      <c r="AC113" s="109" t="s">
        <v>374</v>
      </c>
      <c r="AD113" s="124" t="s">
        <v>374</v>
      </c>
      <c r="AE113" s="111">
        <v>0</v>
      </c>
      <c r="AF113" s="110">
        <v>0</v>
      </c>
      <c r="AG113" s="110">
        <v>0</v>
      </c>
      <c r="AH113" s="112">
        <v>0</v>
      </c>
      <c r="AI113" s="113">
        <v>55.12</v>
      </c>
      <c r="AJ113" s="116" t="s">
        <v>378</v>
      </c>
      <c r="AK113" s="68">
        <v>5.5119999999999995E-2</v>
      </c>
      <c r="AL113" s="68">
        <v>20.132579999999997</v>
      </c>
      <c r="AM113" s="112">
        <v>20.132579999999997</v>
      </c>
      <c r="AN113" s="111">
        <f>IF(Level1[[#This Row],[Standardised_Normalised_Mass_kg/capita/year]]&lt;&gt;"",Level1[[#This Row],[Standardised_Normalised_Mass_kg/capita/year]],Level1[[#This Row],[Derived_Normalised_kg/capita/year]])</f>
        <v>20.132579999999997</v>
      </c>
      <c r="AO113" s="68">
        <f>IF(Level1[[#This Row],[Household]]=1,IF(Level1[[#This Row],[Household_Diary?]]=1,'Cover Sheet'!$R$31,1),1)</f>
        <v>1</v>
      </c>
      <c r="AP113" s="68">
        <f>IF(Level1[[#This Row],[Household]]=1,IF(Level1[[#This Row],[Edible_Waste_Only?]]=1,'Cover Sheet'!$R$32,1),1)</f>
        <v>1</v>
      </c>
      <c r="AQ113" s="68">
        <f>IF(Level1[[#This Row],[Food_Service]]=1,IF(Level1[[#This Row],[Edible_Waste_Only?]]=1,'Cover Sheet'!$R$33,1),1)</f>
        <v>1</v>
      </c>
      <c r="AR113" s="68">
        <f>IF(Level1[[#This Row],[Retail]]=1,IF(Level1[[#This Row],[Edible_Waste_Only?]]=1,'Cover Sheet'!$R$34,1),1)</f>
        <v>1</v>
      </c>
      <c r="AS113" s="68">
        <f>PRODUCT(Level1[[#This Row],[Household_Diary_Adjustment]:[Retail_Inedible_Adjustment]])</f>
        <v>1</v>
      </c>
      <c r="AT113" s="114">
        <f>Level1[[#This Row],[Preferred_estimate_kg/capita]]*Level1[[#This Row],[Total_Adjustment]]</f>
        <v>20.132579999999997</v>
      </c>
      <c r="AU113" s="186"/>
    </row>
    <row r="114" spans="1:47" x14ac:dyDescent="0.2">
      <c r="A114" s="102">
        <v>38</v>
      </c>
      <c r="B114" s="116" t="s">
        <v>608</v>
      </c>
      <c r="C114" s="7">
        <v>2015</v>
      </c>
      <c r="D114" s="103" t="s">
        <v>47</v>
      </c>
      <c r="E114" s="104" t="s">
        <v>112</v>
      </c>
      <c r="F114" s="7">
        <v>360</v>
      </c>
      <c r="G114" s="7" t="s">
        <v>157</v>
      </c>
      <c r="H114" s="7" t="s">
        <v>160</v>
      </c>
      <c r="I114" s="7" t="s">
        <v>163</v>
      </c>
      <c r="J114" s="7" t="s">
        <v>166</v>
      </c>
      <c r="K114" s="7" t="s">
        <v>188</v>
      </c>
      <c r="L114" s="105">
        <v>270.62560000000002</v>
      </c>
      <c r="M114" s="104">
        <v>1</v>
      </c>
      <c r="N114" s="7"/>
      <c r="O114" s="105"/>
      <c r="P114" s="104" t="s">
        <v>225</v>
      </c>
      <c r="Q114" s="7">
        <v>2</v>
      </c>
      <c r="R114" s="7" t="s">
        <v>289</v>
      </c>
      <c r="S114" s="8"/>
      <c r="T114" s="8"/>
      <c r="U114" s="128">
        <v>2013</v>
      </c>
      <c r="V114" s="107">
        <v>0.64190000000000003</v>
      </c>
      <c r="W114" s="7" t="s">
        <v>361</v>
      </c>
      <c r="X114" s="129"/>
      <c r="Y114" s="130"/>
      <c r="Z114" s="108"/>
      <c r="AA114" s="7"/>
      <c r="AB114" s="109" t="s">
        <v>374</v>
      </c>
      <c r="AC114" s="109" t="s">
        <v>374</v>
      </c>
      <c r="AD114" s="110" t="s">
        <v>374</v>
      </c>
      <c r="AE114" s="111">
        <v>0</v>
      </c>
      <c r="AF114" s="110">
        <v>0</v>
      </c>
      <c r="AG114" s="110">
        <v>0</v>
      </c>
      <c r="AH114" s="112">
        <v>0</v>
      </c>
      <c r="AI114" s="113">
        <f>0.33*Level1[[#This Row],[FW_Share_estimate]]</f>
        <v>0.21182700000000002</v>
      </c>
      <c r="AJ114" s="7" t="s">
        <v>375</v>
      </c>
      <c r="AK114" s="68">
        <v>0.21182700000000002</v>
      </c>
      <c r="AL114" s="68">
        <v>77.369811750000011</v>
      </c>
      <c r="AM114" s="112">
        <v>77.369811750000011</v>
      </c>
      <c r="AN114" s="111">
        <f>IF(Level1[[#This Row],[Standardised_Normalised_Mass_kg/capita/year]]&lt;&gt;"",Level1[[#This Row],[Standardised_Normalised_Mass_kg/capita/year]],Level1[[#This Row],[Derived_Normalised_kg/capita/year]])</f>
        <v>77.369811750000011</v>
      </c>
      <c r="AO114" s="68">
        <f>IF(Level1[[#This Row],[Household]]=1,IF(Level1[[#This Row],[Household_Diary?]]=1,'Cover Sheet'!$R$31,1),1)</f>
        <v>1</v>
      </c>
      <c r="AP114" s="68">
        <f>IF(Level1[[#This Row],[Household]]=1,IF(Level1[[#This Row],[Edible_Waste_Only?]]=1,'Cover Sheet'!$R$32,1),1)</f>
        <v>1</v>
      </c>
      <c r="AQ114" s="68">
        <f>IF(Level1[[#This Row],[Food_Service]]=1,IF(Level1[[#This Row],[Edible_Waste_Only?]]=1,'Cover Sheet'!$R$33,1),1)</f>
        <v>1</v>
      </c>
      <c r="AR114" s="68">
        <f>IF(Level1[[#This Row],[Retail]]=1,IF(Level1[[#This Row],[Edible_Waste_Only?]]=1,'Cover Sheet'!$R$34,1),1)</f>
        <v>1</v>
      </c>
      <c r="AS114" s="68">
        <f>PRODUCT(Level1[[#This Row],[Household_Diary_Adjustment]:[Retail_Inedible_Adjustment]])</f>
        <v>1</v>
      </c>
      <c r="AT114" s="114">
        <f>Level1[[#This Row],[Preferred_estimate_kg/capita]]*Level1[[#This Row],[Total_Adjustment]]</f>
        <v>77.369811750000011</v>
      </c>
      <c r="AU114" s="186"/>
    </row>
    <row r="115" spans="1:47" x14ac:dyDescent="0.2">
      <c r="A115" s="115">
        <v>41</v>
      </c>
      <c r="B115" s="116" t="s">
        <v>3</v>
      </c>
      <c r="C115" s="116">
        <v>2015</v>
      </c>
      <c r="D115" s="117" t="s">
        <v>50</v>
      </c>
      <c r="E115" s="118" t="s">
        <v>113</v>
      </c>
      <c r="F115" s="116">
        <v>368</v>
      </c>
      <c r="G115" s="116" t="s">
        <v>148</v>
      </c>
      <c r="H115" s="116" t="s">
        <v>160</v>
      </c>
      <c r="I115" s="7" t="s">
        <v>163</v>
      </c>
      <c r="J115" s="7" t="s">
        <v>166</v>
      </c>
      <c r="K115" s="116" t="s">
        <v>191</v>
      </c>
      <c r="L115" s="105">
        <v>39.309800000000003</v>
      </c>
      <c r="M115" s="118">
        <v>1</v>
      </c>
      <c r="N115" s="116"/>
      <c r="O115" s="119"/>
      <c r="P115" s="118" t="s">
        <v>225</v>
      </c>
      <c r="Q115" s="116">
        <v>2</v>
      </c>
      <c r="R115" s="116" t="s">
        <v>292</v>
      </c>
      <c r="S115" s="120"/>
      <c r="T115" s="120"/>
      <c r="U115" s="125">
        <v>2014</v>
      </c>
      <c r="V115" s="122">
        <v>0.56599999999999995</v>
      </c>
      <c r="W115" s="116" t="s">
        <v>361</v>
      </c>
      <c r="X115" s="131"/>
      <c r="Y115" s="127"/>
      <c r="Z115" s="123"/>
      <c r="AA115" s="7"/>
      <c r="AB115" s="109" t="s">
        <v>374</v>
      </c>
      <c r="AC115" s="109" t="s">
        <v>374</v>
      </c>
      <c r="AD115" s="124" t="s">
        <v>374</v>
      </c>
      <c r="AE115" s="111">
        <v>0</v>
      </c>
      <c r="AF115" s="110">
        <v>0</v>
      </c>
      <c r="AG115" s="110">
        <v>0</v>
      </c>
      <c r="AH115" s="112">
        <v>0</v>
      </c>
      <c r="AI115" s="113">
        <f>0.685*Level1[[#This Row],[FW_Share_estimate]]</f>
        <v>0.38771</v>
      </c>
      <c r="AJ115" s="116" t="s">
        <v>375</v>
      </c>
      <c r="AK115" s="68">
        <v>0.38771</v>
      </c>
      <c r="AL115" s="68">
        <v>141.61107749999999</v>
      </c>
      <c r="AM115" s="112">
        <v>141.61107749999999</v>
      </c>
      <c r="AN115" s="111">
        <f>IF(Level1[[#This Row],[Standardised_Normalised_Mass_kg/capita/year]]&lt;&gt;"",Level1[[#This Row],[Standardised_Normalised_Mass_kg/capita/year]],Level1[[#This Row],[Derived_Normalised_kg/capita/year]])</f>
        <v>141.61107749999999</v>
      </c>
      <c r="AO115" s="68">
        <f>IF(Level1[[#This Row],[Household]]=1,IF(Level1[[#This Row],[Household_Diary?]]=1,'Cover Sheet'!$R$31,1),1)</f>
        <v>1</v>
      </c>
      <c r="AP115" s="68">
        <f>IF(Level1[[#This Row],[Household]]=1,IF(Level1[[#This Row],[Edible_Waste_Only?]]=1,'Cover Sheet'!$R$32,1),1)</f>
        <v>1</v>
      </c>
      <c r="AQ115" s="68">
        <f>IF(Level1[[#This Row],[Food_Service]]=1,IF(Level1[[#This Row],[Edible_Waste_Only?]]=1,'Cover Sheet'!$R$33,1),1)</f>
        <v>1</v>
      </c>
      <c r="AR115" s="68">
        <f>IF(Level1[[#This Row],[Retail]]=1,IF(Level1[[#This Row],[Edible_Waste_Only?]]=1,'Cover Sheet'!$R$34,1),1)</f>
        <v>1</v>
      </c>
      <c r="AS115" s="68">
        <f>PRODUCT(Level1[[#This Row],[Household_Diary_Adjustment]:[Retail_Inedible_Adjustment]])</f>
        <v>1</v>
      </c>
      <c r="AT115" s="114">
        <f>Level1[[#This Row],[Preferred_estimate_kg/capita]]*Level1[[#This Row],[Total_Adjustment]]</f>
        <v>141.61107749999999</v>
      </c>
      <c r="AU115" s="186"/>
    </row>
    <row r="116" spans="1:47" x14ac:dyDescent="0.2">
      <c r="A116" s="115">
        <v>63</v>
      </c>
      <c r="B116" s="116" t="s">
        <v>552</v>
      </c>
      <c r="C116" s="116">
        <v>2015</v>
      </c>
      <c r="D116" s="117" t="s">
        <v>414</v>
      </c>
      <c r="E116" s="118" t="s">
        <v>128</v>
      </c>
      <c r="F116" s="116">
        <v>586</v>
      </c>
      <c r="G116" s="116" t="s">
        <v>149</v>
      </c>
      <c r="H116" s="116" t="s">
        <v>160</v>
      </c>
      <c r="I116" s="7" t="s">
        <v>162</v>
      </c>
      <c r="J116" s="7" t="s">
        <v>166</v>
      </c>
      <c r="K116" s="116" t="s">
        <v>199</v>
      </c>
      <c r="L116" s="105">
        <v>216.56530000000001</v>
      </c>
      <c r="M116" s="118">
        <v>1</v>
      </c>
      <c r="N116" s="116"/>
      <c r="O116" s="119"/>
      <c r="P116" s="118" t="s">
        <v>225</v>
      </c>
      <c r="Q116" s="116">
        <v>2</v>
      </c>
      <c r="R116" s="116" t="s">
        <v>325</v>
      </c>
      <c r="S116" s="120"/>
      <c r="T116" s="120"/>
      <c r="U116" s="125">
        <v>2015</v>
      </c>
      <c r="V116" s="122">
        <f>SUM(68.7%*10/60,57.8%*30/60,66.9%*20/60)</f>
        <v>0.62649999999999995</v>
      </c>
      <c r="W116" s="116" t="s">
        <v>361</v>
      </c>
      <c r="X116" s="131"/>
      <c r="Y116" s="127"/>
      <c r="Z116" s="123"/>
      <c r="AA116" s="7"/>
      <c r="AB116" s="109" t="s">
        <v>374</v>
      </c>
      <c r="AC116" s="109" t="s">
        <v>374</v>
      </c>
      <c r="AD116" s="124" t="s">
        <v>374</v>
      </c>
      <c r="AE116" s="111">
        <v>0</v>
      </c>
      <c r="AF116" s="110">
        <v>0</v>
      </c>
      <c r="AG116" s="110">
        <v>0</v>
      </c>
      <c r="AH116" s="112">
        <v>0</v>
      </c>
      <c r="AI116" s="113">
        <f>SUM(0.47*68.7%*10/60,0.35*57.8%*30/60,0.38*66.9%*20/60)</f>
        <v>0.239705</v>
      </c>
      <c r="AJ116" s="116" t="s">
        <v>375</v>
      </c>
      <c r="AK116" s="68">
        <v>0.239705</v>
      </c>
      <c r="AL116" s="68">
        <v>87.552251249999998</v>
      </c>
      <c r="AM116" s="112">
        <v>87.552251249999998</v>
      </c>
      <c r="AN116" s="111">
        <f>IF(Level1[[#This Row],[Standardised_Normalised_Mass_kg/capita/year]]&lt;&gt;"",Level1[[#This Row],[Standardised_Normalised_Mass_kg/capita/year]],Level1[[#This Row],[Derived_Normalised_kg/capita/year]])</f>
        <v>87.552251249999998</v>
      </c>
      <c r="AO116" s="68">
        <f>IF(Level1[[#This Row],[Household]]=1,IF(Level1[[#This Row],[Household_Diary?]]=1,'Cover Sheet'!$R$31,1),1)</f>
        <v>1</v>
      </c>
      <c r="AP116" s="68">
        <f>IF(Level1[[#This Row],[Household]]=1,IF(Level1[[#This Row],[Edible_Waste_Only?]]=1,'Cover Sheet'!$R$32,1),1)</f>
        <v>1</v>
      </c>
      <c r="AQ116" s="68">
        <f>IF(Level1[[#This Row],[Food_Service]]=1,IF(Level1[[#This Row],[Edible_Waste_Only?]]=1,'Cover Sheet'!$R$33,1),1)</f>
        <v>1</v>
      </c>
      <c r="AR116" s="68">
        <f>IF(Level1[[#This Row],[Retail]]=1,IF(Level1[[#This Row],[Edible_Waste_Only?]]=1,'Cover Sheet'!$R$34,1),1)</f>
        <v>1</v>
      </c>
      <c r="AS116" s="68">
        <f>PRODUCT(Level1[[#This Row],[Household_Diary_Adjustment]:[Retail_Inedible_Adjustment]])</f>
        <v>1</v>
      </c>
      <c r="AT116" s="114">
        <f>Level1[[#This Row],[Preferred_estimate_kg/capita]]*Level1[[#This Row],[Total_Adjustment]]</f>
        <v>87.552251249999998</v>
      </c>
      <c r="AU116" s="186"/>
    </row>
    <row r="117" spans="1:47" x14ac:dyDescent="0.2">
      <c r="A117" s="102">
        <v>63</v>
      </c>
      <c r="B117" s="116" t="s">
        <v>552</v>
      </c>
      <c r="C117" s="7">
        <v>2015</v>
      </c>
      <c r="D117" s="103" t="s">
        <v>414</v>
      </c>
      <c r="E117" s="104" t="s">
        <v>128</v>
      </c>
      <c r="F117" s="7">
        <v>586</v>
      </c>
      <c r="G117" s="7" t="s">
        <v>149</v>
      </c>
      <c r="H117" s="7" t="s">
        <v>160</v>
      </c>
      <c r="I117" s="7" t="s">
        <v>162</v>
      </c>
      <c r="J117" s="7" t="s">
        <v>166</v>
      </c>
      <c r="K117" s="7" t="s">
        <v>199</v>
      </c>
      <c r="L117" s="105">
        <v>216.56530000000001</v>
      </c>
      <c r="M117" s="104">
        <v>1</v>
      </c>
      <c r="N117" s="7"/>
      <c r="O117" s="105"/>
      <c r="P117" s="104" t="s">
        <v>225</v>
      </c>
      <c r="Q117" s="7">
        <v>2</v>
      </c>
      <c r="R117" s="7" t="s">
        <v>326</v>
      </c>
      <c r="S117" s="8"/>
      <c r="T117" s="8"/>
      <c r="U117" s="128">
        <v>2015</v>
      </c>
      <c r="V117" s="107">
        <v>0.51100000000000001</v>
      </c>
      <c r="W117" s="7" t="s">
        <v>361</v>
      </c>
      <c r="X117" s="129"/>
      <c r="Y117" s="130"/>
      <c r="Z117" s="108"/>
      <c r="AA117" s="7"/>
      <c r="AB117" s="109" t="s">
        <v>374</v>
      </c>
      <c r="AC117" s="109" t="s">
        <v>374</v>
      </c>
      <c r="AD117" s="110" t="s">
        <v>374</v>
      </c>
      <c r="AE117" s="111">
        <v>0</v>
      </c>
      <c r="AF117" s="110">
        <v>0</v>
      </c>
      <c r="AG117" s="110">
        <v>0</v>
      </c>
      <c r="AH117" s="112">
        <v>0</v>
      </c>
      <c r="AI117" s="113">
        <f>0.32*Level1[[#This Row],[FW_Share_estimate]]</f>
        <v>0.16352</v>
      </c>
      <c r="AJ117" s="7" t="s">
        <v>375</v>
      </c>
      <c r="AK117" s="68">
        <v>0.16352</v>
      </c>
      <c r="AL117" s="68">
        <v>59.725679999999997</v>
      </c>
      <c r="AM117" s="112">
        <v>59.725679999999997</v>
      </c>
      <c r="AN117" s="111">
        <f>IF(Level1[[#This Row],[Standardised_Normalised_Mass_kg/capita/year]]&lt;&gt;"",Level1[[#This Row],[Standardised_Normalised_Mass_kg/capita/year]],Level1[[#This Row],[Derived_Normalised_kg/capita/year]])</f>
        <v>59.725679999999997</v>
      </c>
      <c r="AO117" s="68">
        <f>IF(Level1[[#This Row],[Household]]=1,IF(Level1[[#This Row],[Household_Diary?]]=1,'Cover Sheet'!$R$31,1),1)</f>
        <v>1</v>
      </c>
      <c r="AP117" s="68">
        <f>IF(Level1[[#This Row],[Household]]=1,IF(Level1[[#This Row],[Edible_Waste_Only?]]=1,'Cover Sheet'!$R$32,1),1)</f>
        <v>1</v>
      </c>
      <c r="AQ117" s="68">
        <f>IF(Level1[[#This Row],[Food_Service]]=1,IF(Level1[[#This Row],[Edible_Waste_Only?]]=1,'Cover Sheet'!$R$33,1),1)</f>
        <v>1</v>
      </c>
      <c r="AR117" s="68">
        <f>IF(Level1[[#This Row],[Retail]]=1,IF(Level1[[#This Row],[Edible_Waste_Only?]]=1,'Cover Sheet'!$R$34,1),1)</f>
        <v>1</v>
      </c>
      <c r="AS117" s="68">
        <f>PRODUCT(Level1[[#This Row],[Household_Diary_Adjustment]:[Retail_Inedible_Adjustment]])</f>
        <v>1</v>
      </c>
      <c r="AT117" s="114">
        <f>Level1[[#This Row],[Preferred_estimate_kg/capita]]*Level1[[#This Row],[Total_Adjustment]]</f>
        <v>59.725679999999997</v>
      </c>
      <c r="AU117" s="186"/>
    </row>
    <row r="118" spans="1:47" x14ac:dyDescent="0.2">
      <c r="A118" s="115">
        <v>64</v>
      </c>
      <c r="B118" s="116" t="s">
        <v>651</v>
      </c>
      <c r="C118" s="116">
        <v>2015</v>
      </c>
      <c r="D118" s="117" t="s">
        <v>71</v>
      </c>
      <c r="E118" s="118" t="s">
        <v>129</v>
      </c>
      <c r="F118" s="116">
        <v>616</v>
      </c>
      <c r="G118" s="116" t="s">
        <v>156</v>
      </c>
      <c r="H118" s="116" t="s">
        <v>159</v>
      </c>
      <c r="I118" s="7" t="s">
        <v>161</v>
      </c>
      <c r="J118" s="7" t="s">
        <v>166</v>
      </c>
      <c r="K118" s="116" t="s">
        <v>200</v>
      </c>
      <c r="L118" s="105">
        <v>37.887799999999999</v>
      </c>
      <c r="M118" s="118">
        <v>1</v>
      </c>
      <c r="N118" s="116"/>
      <c r="O118" s="119"/>
      <c r="P118" s="118" t="s">
        <v>225</v>
      </c>
      <c r="Q118" s="116">
        <v>2</v>
      </c>
      <c r="R118" s="116" t="s">
        <v>327</v>
      </c>
      <c r="S118" s="120"/>
      <c r="T118" s="120"/>
      <c r="U118" s="125"/>
      <c r="V118" s="122">
        <f>SUM(27.7%*44.2/170.3,30.9%*41.6/170.3,34.1%*45.5/170.3,39.3%*39/170.3)</f>
        <v>0.32848091603053431</v>
      </c>
      <c r="W118" s="116" t="s">
        <v>361</v>
      </c>
      <c r="X118" s="122"/>
      <c r="Y118" s="127"/>
      <c r="Z118" s="123"/>
      <c r="AA118" s="7"/>
      <c r="AB118" s="109" t="s">
        <v>374</v>
      </c>
      <c r="AC118" s="109" t="s">
        <v>374</v>
      </c>
      <c r="AD118" s="124" t="s">
        <v>374</v>
      </c>
      <c r="AE118" s="111">
        <v>0</v>
      </c>
      <c r="AF118" s="110">
        <v>0</v>
      </c>
      <c r="AG118" s="110">
        <v>0</v>
      </c>
      <c r="AH118" s="112">
        <v>0</v>
      </c>
      <c r="AI118" s="113">
        <f>SUM(44.2*27.7%,41.6*30.9%,45.5*34.1%,39*39.3%)</f>
        <v>55.940300000000001</v>
      </c>
      <c r="AJ118" s="116" t="s">
        <v>377</v>
      </c>
      <c r="AK118" s="68">
        <v>55.940300000000001</v>
      </c>
      <c r="AL118" s="68">
        <v>55.940300000000001</v>
      </c>
      <c r="AM118" s="112">
        <v>55.940300000000001</v>
      </c>
      <c r="AN118" s="111">
        <f>IF(Level1[[#This Row],[Standardised_Normalised_Mass_kg/capita/year]]&lt;&gt;"",Level1[[#This Row],[Standardised_Normalised_Mass_kg/capita/year]],Level1[[#This Row],[Derived_Normalised_kg/capita/year]])</f>
        <v>55.940300000000001</v>
      </c>
      <c r="AO118" s="68">
        <f>IF(Level1[[#This Row],[Household]]=1,IF(Level1[[#This Row],[Household_Diary?]]=1,'Cover Sheet'!$R$31,1),1)</f>
        <v>1</v>
      </c>
      <c r="AP118" s="68">
        <f>IF(Level1[[#This Row],[Household]]=1,IF(Level1[[#This Row],[Edible_Waste_Only?]]=1,'Cover Sheet'!$R$32,1),1)</f>
        <v>1</v>
      </c>
      <c r="AQ118" s="68">
        <f>IF(Level1[[#This Row],[Food_Service]]=1,IF(Level1[[#This Row],[Edible_Waste_Only?]]=1,'Cover Sheet'!$R$33,1),1)</f>
        <v>1</v>
      </c>
      <c r="AR118" s="68">
        <f>IF(Level1[[#This Row],[Retail]]=1,IF(Level1[[#This Row],[Edible_Waste_Only?]]=1,'Cover Sheet'!$R$34,1),1)</f>
        <v>1</v>
      </c>
      <c r="AS118" s="68">
        <f>PRODUCT(Level1[[#This Row],[Household_Diary_Adjustment]:[Retail_Inedible_Adjustment]])</f>
        <v>1</v>
      </c>
      <c r="AT118" s="114">
        <f>Level1[[#This Row],[Preferred_estimate_kg/capita]]*Level1[[#This Row],[Total_Adjustment]]</f>
        <v>55.940300000000001</v>
      </c>
      <c r="AU118" s="186"/>
    </row>
    <row r="119" spans="1:47" x14ac:dyDescent="0.2">
      <c r="A119" s="102">
        <v>27</v>
      </c>
      <c r="B119" s="116" t="s">
        <v>586</v>
      </c>
      <c r="C119" s="7">
        <v>2014</v>
      </c>
      <c r="D119" s="105" t="s">
        <v>36</v>
      </c>
      <c r="E119" s="104" t="s">
        <v>104</v>
      </c>
      <c r="F119" s="7">
        <v>246</v>
      </c>
      <c r="G119" s="7" t="s">
        <v>153</v>
      </c>
      <c r="H119" s="7" t="s">
        <v>159</v>
      </c>
      <c r="I119" s="7" t="s">
        <v>161</v>
      </c>
      <c r="J119" s="7" t="s">
        <v>165</v>
      </c>
      <c r="K119" s="7"/>
      <c r="L119" s="105">
        <v>5.5321999999999996</v>
      </c>
      <c r="M119" s="104">
        <v>1</v>
      </c>
      <c r="N119" s="7"/>
      <c r="O119" s="105"/>
      <c r="P119" s="104" t="s">
        <v>227</v>
      </c>
      <c r="Q119" s="7">
        <v>2</v>
      </c>
      <c r="R119" s="7" t="s">
        <v>271</v>
      </c>
      <c r="S119" s="8">
        <v>1</v>
      </c>
      <c r="T119" s="8">
        <v>1</v>
      </c>
      <c r="U119" s="128">
        <v>2010</v>
      </c>
      <c r="V119" s="107"/>
      <c r="W119" s="7"/>
      <c r="X119" s="129"/>
      <c r="Y119" s="130" t="s">
        <v>514</v>
      </c>
      <c r="Z119" s="108">
        <f>AVERAGE(120,160)</f>
        <v>140</v>
      </c>
      <c r="AA119" s="7" t="s">
        <v>370</v>
      </c>
      <c r="AB119" s="109">
        <v>140</v>
      </c>
      <c r="AC119" s="109">
        <v>140000</v>
      </c>
      <c r="AD119" s="110">
        <v>140000</v>
      </c>
      <c r="AE119" s="111">
        <v>0</v>
      </c>
      <c r="AF119" s="110">
        <v>0</v>
      </c>
      <c r="AG119" s="110">
        <v>0</v>
      </c>
      <c r="AH119" s="112">
        <v>0</v>
      </c>
      <c r="AI119" s="113">
        <v>23</v>
      </c>
      <c r="AJ119" s="7" t="s">
        <v>377</v>
      </c>
      <c r="AK119" s="68">
        <v>23</v>
      </c>
      <c r="AL119" s="68">
        <v>23</v>
      </c>
      <c r="AM119" s="112">
        <v>23</v>
      </c>
      <c r="AN119" s="111">
        <f>IF(Level1[[#This Row],[Standardised_Normalised_Mass_kg/capita/year]]&lt;&gt;"",Level1[[#This Row],[Standardised_Normalised_Mass_kg/capita/year]],Level1[[#This Row],[Derived_Normalised_kg/capita/year]])</f>
        <v>23</v>
      </c>
      <c r="AO119" s="68">
        <f>IF(Level1[[#This Row],[Household]]=1,IF(Level1[[#This Row],[Household_Diary?]]=1,'Cover Sheet'!$R$31,1),1)</f>
        <v>1.4326647564469914</v>
      </c>
      <c r="AP119" s="68">
        <f>IF(Level1[[#This Row],[Household]]=1,IF(Level1[[#This Row],[Edible_Waste_Only?]]=1,'Cover Sheet'!$R$32,1),1)</f>
        <v>2.0408117215309693</v>
      </c>
      <c r="AQ119" s="68">
        <f>IF(Level1[[#This Row],[Food_Service]]=1,IF(Level1[[#This Row],[Edible_Waste_Only?]]=1,'Cover Sheet'!$R$33,1),1)</f>
        <v>1</v>
      </c>
      <c r="AR119" s="68">
        <f>IF(Level1[[#This Row],[Retail]]=1,IF(Level1[[#This Row],[Edible_Waste_Only?]]=1,'Cover Sheet'!$R$34,1),1)</f>
        <v>1</v>
      </c>
      <c r="AS119" s="68">
        <f>PRODUCT(Level1[[#This Row],[Household_Diary_Adjustment]:[Retail_Inedible_Adjustment]])</f>
        <v>2.9237990279813313</v>
      </c>
      <c r="AT119" s="114">
        <f>Level1[[#This Row],[Preferred_estimate_kg/capita]]*Level1[[#This Row],[Total_Adjustment]]</f>
        <v>67.247377643570616</v>
      </c>
      <c r="AU119" s="186"/>
    </row>
    <row r="120" spans="1:47" x14ac:dyDescent="0.2">
      <c r="A120" s="102">
        <v>27</v>
      </c>
      <c r="B120" s="116" t="s">
        <v>586</v>
      </c>
      <c r="C120" s="7">
        <v>2014</v>
      </c>
      <c r="D120" s="141" t="s">
        <v>37</v>
      </c>
      <c r="E120" s="104" t="s">
        <v>104</v>
      </c>
      <c r="F120" s="7">
        <v>246</v>
      </c>
      <c r="G120" s="7" t="s">
        <v>153</v>
      </c>
      <c r="H120" s="7" t="s">
        <v>159</v>
      </c>
      <c r="I120" s="7" t="s">
        <v>161</v>
      </c>
      <c r="J120" s="7" t="s">
        <v>165</v>
      </c>
      <c r="K120" s="7"/>
      <c r="L120" s="105">
        <v>5.5321999999999996</v>
      </c>
      <c r="M120" s="104"/>
      <c r="N120" s="7">
        <v>1</v>
      </c>
      <c r="O120" s="105"/>
      <c r="P120" s="104" t="s">
        <v>225</v>
      </c>
      <c r="Q120" s="13">
        <v>2</v>
      </c>
      <c r="R120" s="7" t="s">
        <v>273</v>
      </c>
      <c r="S120" s="10"/>
      <c r="T120" s="10">
        <v>1</v>
      </c>
      <c r="U120" s="128">
        <v>2012</v>
      </c>
      <c r="V120" s="107"/>
      <c r="W120" s="7"/>
      <c r="X120" s="107"/>
      <c r="Y120" s="105" t="s">
        <v>514</v>
      </c>
      <c r="Z120" s="108">
        <f>4+19+6+19+18+15+2</f>
        <v>83</v>
      </c>
      <c r="AA120" s="7" t="s">
        <v>370</v>
      </c>
      <c r="AB120" s="109">
        <v>83</v>
      </c>
      <c r="AC120" s="109">
        <v>83000</v>
      </c>
      <c r="AD120" s="110">
        <v>83000</v>
      </c>
      <c r="AE120" s="111">
        <v>0</v>
      </c>
      <c r="AF120" s="110">
        <v>5407400</v>
      </c>
      <c r="AG120" s="110">
        <v>0</v>
      </c>
      <c r="AH120" s="112">
        <v>0</v>
      </c>
      <c r="AI120" s="113">
        <v>15</v>
      </c>
      <c r="AJ120" s="7" t="s">
        <v>377</v>
      </c>
      <c r="AK120" s="68">
        <v>15</v>
      </c>
      <c r="AL120" s="68">
        <v>15</v>
      </c>
      <c r="AM120" s="112">
        <v>15</v>
      </c>
      <c r="AN120" s="111">
        <f>IF(Level1[[#This Row],[Standardised_Normalised_Mass_kg/capita/year]]&lt;&gt;"",Level1[[#This Row],[Standardised_Normalised_Mass_kg/capita/year]],Level1[[#This Row],[Derived_Normalised_kg/capita/year]])</f>
        <v>15</v>
      </c>
      <c r="AO120" s="68">
        <f>IF(Level1[[#This Row],[Household]]=1,IF(Level1[[#This Row],[Household_Diary?]]=1,'Cover Sheet'!$R$31,1),1)</f>
        <v>1</v>
      </c>
      <c r="AP120" s="68">
        <f>IF(Level1[[#This Row],[Household]]=1,IF(Level1[[#This Row],[Edible_Waste_Only?]]=1,'Cover Sheet'!$R$32,1),1)</f>
        <v>1</v>
      </c>
      <c r="AQ120" s="68">
        <f>IF(Level1[[#This Row],[Food_Service]]=1,IF(Level1[[#This Row],[Edible_Waste_Only?]]=1,'Cover Sheet'!$R$33,1),1)</f>
        <v>1.5045789123242672</v>
      </c>
      <c r="AR120" s="68">
        <f>IF(Level1[[#This Row],[Retail]]=1,IF(Level1[[#This Row],[Edible_Waste_Only?]]=1,'Cover Sheet'!$R$34,1),1)</f>
        <v>1</v>
      </c>
      <c r="AS120" s="68">
        <f>PRODUCT(Level1[[#This Row],[Household_Diary_Adjustment]:[Retail_Inedible_Adjustment]])</f>
        <v>1.5045789123242672</v>
      </c>
      <c r="AT120" s="114">
        <f>Level1[[#This Row],[Preferred_estimate_kg/capita]]*Level1[[#This Row],[Total_Adjustment]]</f>
        <v>22.568683684864009</v>
      </c>
      <c r="AU120" s="186"/>
    </row>
    <row r="121" spans="1:47" x14ac:dyDescent="0.2">
      <c r="A121" s="115">
        <v>30</v>
      </c>
      <c r="B121" s="116" t="s">
        <v>592</v>
      </c>
      <c r="C121" s="116">
        <v>2014</v>
      </c>
      <c r="D121" s="117" t="s">
        <v>39</v>
      </c>
      <c r="E121" s="118" t="s">
        <v>106</v>
      </c>
      <c r="F121" s="116">
        <v>268</v>
      </c>
      <c r="G121" s="116" t="s">
        <v>148</v>
      </c>
      <c r="H121" s="116" t="s">
        <v>160</v>
      </c>
      <c r="I121" s="7" t="s">
        <v>163</v>
      </c>
      <c r="J121" s="7" t="s">
        <v>166</v>
      </c>
      <c r="K121" s="116" t="s">
        <v>185</v>
      </c>
      <c r="L121" s="105">
        <v>3.9967999999999999</v>
      </c>
      <c r="M121" s="118">
        <v>1</v>
      </c>
      <c r="N121" s="116"/>
      <c r="O121" s="119"/>
      <c r="P121" s="118" t="s">
        <v>225</v>
      </c>
      <c r="Q121" s="116">
        <v>2</v>
      </c>
      <c r="R121" s="116" t="s">
        <v>278</v>
      </c>
      <c r="S121" s="120"/>
      <c r="T121" s="120"/>
      <c r="U121" s="125" t="s">
        <v>360</v>
      </c>
      <c r="V121" s="122"/>
      <c r="W121" s="116"/>
      <c r="X121" s="131"/>
      <c r="Y121" s="127"/>
      <c r="Z121" s="123"/>
      <c r="AA121" s="7"/>
      <c r="AB121" s="109" t="s">
        <v>374</v>
      </c>
      <c r="AC121" s="109" t="s">
        <v>374</v>
      </c>
      <c r="AD121" s="124" t="s">
        <v>374</v>
      </c>
      <c r="AE121" s="111">
        <v>0</v>
      </c>
      <c r="AF121" s="110">
        <v>0</v>
      </c>
      <c r="AG121" s="110">
        <v>0</v>
      </c>
      <c r="AH121" s="112">
        <v>0</v>
      </c>
      <c r="AI121" s="113">
        <v>8.4145000000000003</v>
      </c>
      <c r="AJ121" s="116" t="s">
        <v>380</v>
      </c>
      <c r="AK121" s="68">
        <v>8.4145000000000003</v>
      </c>
      <c r="AL121" s="68">
        <v>100.974</v>
      </c>
      <c r="AM121" s="112">
        <v>100.974</v>
      </c>
      <c r="AN121" s="111">
        <f>IF(Level1[[#This Row],[Standardised_Normalised_Mass_kg/capita/year]]&lt;&gt;"",Level1[[#This Row],[Standardised_Normalised_Mass_kg/capita/year]],Level1[[#This Row],[Derived_Normalised_kg/capita/year]])</f>
        <v>100.974</v>
      </c>
      <c r="AO121" s="68">
        <f>IF(Level1[[#This Row],[Household]]=1,IF(Level1[[#This Row],[Household_Diary?]]=1,'Cover Sheet'!$R$31,1),1)</f>
        <v>1</v>
      </c>
      <c r="AP121" s="68">
        <f>IF(Level1[[#This Row],[Household]]=1,IF(Level1[[#This Row],[Edible_Waste_Only?]]=1,'Cover Sheet'!$R$32,1),1)</f>
        <v>1</v>
      </c>
      <c r="AQ121" s="68">
        <f>IF(Level1[[#This Row],[Food_Service]]=1,IF(Level1[[#This Row],[Edible_Waste_Only?]]=1,'Cover Sheet'!$R$33,1),1)</f>
        <v>1</v>
      </c>
      <c r="AR121" s="68">
        <f>IF(Level1[[#This Row],[Retail]]=1,IF(Level1[[#This Row],[Edible_Waste_Only?]]=1,'Cover Sheet'!$R$34,1),1)</f>
        <v>1</v>
      </c>
      <c r="AS121" s="68">
        <f>PRODUCT(Level1[[#This Row],[Household_Diary_Adjustment]:[Retail_Inedible_Adjustment]])</f>
        <v>1</v>
      </c>
      <c r="AT121" s="114">
        <f>Level1[[#This Row],[Preferred_estimate_kg/capita]]*Level1[[#This Row],[Total_Adjustment]]</f>
        <v>100.974</v>
      </c>
      <c r="AU121" s="186"/>
    </row>
    <row r="122" spans="1:47" x14ac:dyDescent="0.2">
      <c r="A122" s="115">
        <v>35</v>
      </c>
      <c r="B122" s="116" t="s">
        <v>602</v>
      </c>
      <c r="C122" s="116">
        <v>2014</v>
      </c>
      <c r="D122" s="117" t="s">
        <v>44</v>
      </c>
      <c r="E122" s="118" t="s">
        <v>111</v>
      </c>
      <c r="F122" s="116">
        <v>356</v>
      </c>
      <c r="G122" s="116" t="s">
        <v>149</v>
      </c>
      <c r="H122" s="116" t="s">
        <v>160</v>
      </c>
      <c r="I122" s="7" t="s">
        <v>162</v>
      </c>
      <c r="J122" s="7" t="s">
        <v>166</v>
      </c>
      <c r="K122" s="116" t="s">
        <v>186</v>
      </c>
      <c r="L122" s="105">
        <v>1366.4177999999999</v>
      </c>
      <c r="M122" s="118">
        <v>1</v>
      </c>
      <c r="N122" s="116"/>
      <c r="O122" s="119"/>
      <c r="P122" s="118" t="s">
        <v>225</v>
      </c>
      <c r="Q122" s="116">
        <v>2</v>
      </c>
      <c r="R122" s="116" t="s">
        <v>286</v>
      </c>
      <c r="S122" s="120"/>
      <c r="T122" s="120"/>
      <c r="U122" s="125"/>
      <c r="V122" s="122">
        <f>SUM(80.7%*(42/144),74.5%*(67/144),83.45%*(35/144))</f>
        <v>0.78483680555555557</v>
      </c>
      <c r="W122" s="116" t="s">
        <v>361</v>
      </c>
      <c r="X122" s="131"/>
      <c r="Y122" s="127"/>
      <c r="Z122" s="123"/>
      <c r="AA122" s="7"/>
      <c r="AB122" s="109" t="s">
        <v>374</v>
      </c>
      <c r="AC122" s="109" t="s">
        <v>374</v>
      </c>
      <c r="AD122" s="124" t="s">
        <v>374</v>
      </c>
      <c r="AE122" s="111">
        <v>0</v>
      </c>
      <c r="AF122" s="110">
        <v>0</v>
      </c>
      <c r="AG122" s="110">
        <v>0</v>
      </c>
      <c r="AH122" s="112">
        <v>0</v>
      </c>
      <c r="AI122" s="113">
        <f>SUM(245.34*(185/630),186.34*(285/630),171.27*(160/630))</f>
        <v>199.83809523809524</v>
      </c>
      <c r="AJ122" s="116" t="s">
        <v>378</v>
      </c>
      <c r="AK122" s="68">
        <v>0.19983809523809523</v>
      </c>
      <c r="AL122" s="68">
        <v>72.990864285714281</v>
      </c>
      <c r="AM122" s="112">
        <v>72.990864285714281</v>
      </c>
      <c r="AN122" s="111">
        <f>IF(Level1[[#This Row],[Standardised_Normalised_Mass_kg/capita/year]]&lt;&gt;"",Level1[[#This Row],[Standardised_Normalised_Mass_kg/capita/year]],Level1[[#This Row],[Derived_Normalised_kg/capita/year]])</f>
        <v>72.990864285714281</v>
      </c>
      <c r="AO122" s="68">
        <f>IF(Level1[[#This Row],[Household]]=1,IF(Level1[[#This Row],[Household_Diary?]]=1,'Cover Sheet'!$R$31,1),1)</f>
        <v>1</v>
      </c>
      <c r="AP122" s="68">
        <f>IF(Level1[[#This Row],[Household]]=1,IF(Level1[[#This Row],[Edible_Waste_Only?]]=1,'Cover Sheet'!$R$32,1),1)</f>
        <v>1</v>
      </c>
      <c r="AQ122" s="68">
        <f>IF(Level1[[#This Row],[Food_Service]]=1,IF(Level1[[#This Row],[Edible_Waste_Only?]]=1,'Cover Sheet'!$R$33,1),1)</f>
        <v>1</v>
      </c>
      <c r="AR122" s="68">
        <f>IF(Level1[[#This Row],[Retail]]=1,IF(Level1[[#This Row],[Edible_Waste_Only?]]=1,'Cover Sheet'!$R$34,1),1)</f>
        <v>1</v>
      </c>
      <c r="AS122" s="68">
        <f>PRODUCT(Level1[[#This Row],[Household_Diary_Adjustment]:[Retail_Inedible_Adjustment]])</f>
        <v>1</v>
      </c>
      <c r="AT122" s="114">
        <f>Level1[[#This Row],[Preferred_estimate_kg/capita]]*Level1[[#This Row],[Total_Adjustment]]</f>
        <v>72.990864285714281</v>
      </c>
      <c r="AU122" s="186"/>
    </row>
    <row r="123" spans="1:47" x14ac:dyDescent="0.2">
      <c r="A123" s="115">
        <v>76</v>
      </c>
      <c r="B123" s="116" t="s">
        <v>671</v>
      </c>
      <c r="C123" s="116">
        <v>2014</v>
      </c>
      <c r="D123" s="117" t="s">
        <v>80</v>
      </c>
      <c r="E123" s="118" t="s">
        <v>138</v>
      </c>
      <c r="F123" s="116">
        <v>752</v>
      </c>
      <c r="G123" s="116" t="s">
        <v>153</v>
      </c>
      <c r="H123" s="116" t="s">
        <v>159</v>
      </c>
      <c r="I123" s="7" t="s">
        <v>161</v>
      </c>
      <c r="J123" s="7" t="s">
        <v>165</v>
      </c>
      <c r="K123" s="116"/>
      <c r="L123" s="105">
        <v>10.0364</v>
      </c>
      <c r="M123" s="118"/>
      <c r="N123" s="116">
        <v>1</v>
      </c>
      <c r="O123" s="119"/>
      <c r="P123" s="118" t="s">
        <v>224</v>
      </c>
      <c r="Q123" s="116">
        <v>1</v>
      </c>
      <c r="R123" s="149" t="s">
        <v>343</v>
      </c>
      <c r="S123" s="120"/>
      <c r="T123" s="120"/>
      <c r="U123" s="125">
        <v>2012</v>
      </c>
      <c r="V123" s="122"/>
      <c r="W123" s="116"/>
      <c r="X123" s="131">
        <f>SUM(62%*142000,52%*58000)/Level1[[#This Row],[Mass_estimate]]</f>
        <v>0.59099999999999997</v>
      </c>
      <c r="Y123" s="127" t="s">
        <v>497</v>
      </c>
      <c r="Z123" s="123">
        <f>SUM(142000,58000)</f>
        <v>200000</v>
      </c>
      <c r="AA123" s="7" t="s">
        <v>365</v>
      </c>
      <c r="AB123" s="109">
        <v>200000</v>
      </c>
      <c r="AC123" s="109">
        <v>200000</v>
      </c>
      <c r="AD123" s="124">
        <v>200000</v>
      </c>
      <c r="AE123" s="111">
        <v>0</v>
      </c>
      <c r="AF123" s="110">
        <v>0</v>
      </c>
      <c r="AG123" s="110">
        <v>0</v>
      </c>
      <c r="AH123" s="112">
        <v>0</v>
      </c>
      <c r="AI123" s="113">
        <f>SUM(15,6)</f>
        <v>21</v>
      </c>
      <c r="AJ123" s="116" t="s">
        <v>377</v>
      </c>
      <c r="AK123" s="68">
        <v>21</v>
      </c>
      <c r="AL123" s="68">
        <v>21</v>
      </c>
      <c r="AM123" s="112">
        <v>21</v>
      </c>
      <c r="AN123" s="111">
        <f>IF(Level1[[#This Row],[Standardised_Normalised_Mass_kg/capita/year]]&lt;&gt;"",Level1[[#This Row],[Standardised_Normalised_Mass_kg/capita/year]],Level1[[#This Row],[Derived_Normalised_kg/capita/year]])</f>
        <v>21</v>
      </c>
      <c r="AO123" s="68">
        <f>IF(Level1[[#This Row],[Household]]=1,IF(Level1[[#This Row],[Household_Diary?]]=1,'Cover Sheet'!$R$31,1),1)</f>
        <v>1</v>
      </c>
      <c r="AP123" s="68">
        <f>IF(Level1[[#This Row],[Household]]=1,IF(Level1[[#This Row],[Edible_Waste_Only?]]=1,'Cover Sheet'!$R$32,1),1)</f>
        <v>1</v>
      </c>
      <c r="AQ123" s="68">
        <f>IF(Level1[[#This Row],[Food_Service]]=1,IF(Level1[[#This Row],[Edible_Waste_Only?]]=1,'Cover Sheet'!$R$33,1),1)</f>
        <v>1</v>
      </c>
      <c r="AR123" s="68">
        <f>IF(Level1[[#This Row],[Retail]]=1,IF(Level1[[#This Row],[Edible_Waste_Only?]]=1,'Cover Sheet'!$R$34,1),1)</f>
        <v>1</v>
      </c>
      <c r="AS123" s="68">
        <f>PRODUCT(Level1[[#This Row],[Household_Diary_Adjustment]:[Retail_Inedible_Adjustment]])</f>
        <v>1</v>
      </c>
      <c r="AT123" s="114">
        <f>Level1[[#This Row],[Preferred_estimate_kg/capita]]*Level1[[#This Row],[Total_Adjustment]]</f>
        <v>21</v>
      </c>
      <c r="AU123" s="186"/>
    </row>
    <row r="124" spans="1:47" x14ac:dyDescent="0.2">
      <c r="A124" s="102">
        <v>76</v>
      </c>
      <c r="B124" s="116" t="s">
        <v>671</v>
      </c>
      <c r="C124" s="7">
        <v>2014</v>
      </c>
      <c r="D124" s="103" t="s">
        <v>80</v>
      </c>
      <c r="E124" s="104" t="s">
        <v>138</v>
      </c>
      <c r="F124" s="7">
        <v>752</v>
      </c>
      <c r="G124" s="7" t="s">
        <v>153</v>
      </c>
      <c r="H124" s="7" t="s">
        <v>159</v>
      </c>
      <c r="I124" s="7" t="s">
        <v>161</v>
      </c>
      <c r="J124" s="7" t="s">
        <v>165</v>
      </c>
      <c r="K124" s="7"/>
      <c r="L124" s="105">
        <v>10.0364</v>
      </c>
      <c r="M124" s="104">
        <v>1</v>
      </c>
      <c r="N124" s="7"/>
      <c r="O124" s="105"/>
      <c r="P124" s="104" t="s">
        <v>225</v>
      </c>
      <c r="Q124" s="7">
        <v>1</v>
      </c>
      <c r="R124" s="7" t="s">
        <v>342</v>
      </c>
      <c r="S124" s="8"/>
      <c r="T124" s="8"/>
      <c r="U124" s="128">
        <v>2012</v>
      </c>
      <c r="V124" s="107"/>
      <c r="W124" s="7"/>
      <c r="X124" s="129">
        <f>35%</f>
        <v>0.35</v>
      </c>
      <c r="Y124" s="130" t="s">
        <v>510</v>
      </c>
      <c r="Z124" s="108">
        <v>771000</v>
      </c>
      <c r="AA124" s="7" t="s">
        <v>365</v>
      </c>
      <c r="AB124" s="109">
        <v>771000</v>
      </c>
      <c r="AC124" s="109">
        <v>771000</v>
      </c>
      <c r="AD124" s="110">
        <v>771000</v>
      </c>
      <c r="AE124" s="111">
        <v>0</v>
      </c>
      <c r="AF124" s="110">
        <v>0</v>
      </c>
      <c r="AG124" s="110">
        <v>0</v>
      </c>
      <c r="AH124" s="112">
        <v>0</v>
      </c>
      <c r="AI124" s="113">
        <v>81</v>
      </c>
      <c r="AJ124" s="7" t="s">
        <v>377</v>
      </c>
      <c r="AK124" s="68">
        <v>81</v>
      </c>
      <c r="AL124" s="68">
        <v>81</v>
      </c>
      <c r="AM124" s="112">
        <v>81</v>
      </c>
      <c r="AN124" s="111">
        <f>IF(Level1[[#This Row],[Standardised_Normalised_Mass_kg/capita/year]]&lt;&gt;"",Level1[[#This Row],[Standardised_Normalised_Mass_kg/capita/year]],Level1[[#This Row],[Derived_Normalised_kg/capita/year]])</f>
        <v>81</v>
      </c>
      <c r="AO124" s="68">
        <f>IF(Level1[[#This Row],[Household]]=1,IF(Level1[[#This Row],[Household_Diary?]]=1,'Cover Sheet'!$R$31,1),1)</f>
        <v>1</v>
      </c>
      <c r="AP124" s="68">
        <f>IF(Level1[[#This Row],[Household]]=1,IF(Level1[[#This Row],[Edible_Waste_Only?]]=1,'Cover Sheet'!$R$32,1),1)</f>
        <v>1</v>
      </c>
      <c r="AQ124" s="68">
        <f>IF(Level1[[#This Row],[Food_Service]]=1,IF(Level1[[#This Row],[Edible_Waste_Only?]]=1,'Cover Sheet'!$R$33,1),1)</f>
        <v>1</v>
      </c>
      <c r="AR124" s="68">
        <f>IF(Level1[[#This Row],[Retail]]=1,IF(Level1[[#This Row],[Edible_Waste_Only?]]=1,'Cover Sheet'!$R$34,1),1)</f>
        <v>1</v>
      </c>
      <c r="AS124" s="68">
        <f>PRODUCT(Level1[[#This Row],[Household_Diary_Adjustment]:[Retail_Inedible_Adjustment]])</f>
        <v>1</v>
      </c>
      <c r="AT124" s="114">
        <f>Level1[[#This Row],[Preferred_estimate_kg/capita]]*Level1[[#This Row],[Total_Adjustment]]</f>
        <v>81</v>
      </c>
      <c r="AU124" s="186"/>
    </row>
    <row r="125" spans="1:47" x14ac:dyDescent="0.2">
      <c r="A125" s="102">
        <v>76</v>
      </c>
      <c r="B125" s="116" t="s">
        <v>671</v>
      </c>
      <c r="C125" s="7">
        <v>2014</v>
      </c>
      <c r="D125" s="103" t="s">
        <v>80</v>
      </c>
      <c r="E125" s="104" t="s">
        <v>138</v>
      </c>
      <c r="F125" s="7">
        <v>752</v>
      </c>
      <c r="G125" s="7" t="s">
        <v>153</v>
      </c>
      <c r="H125" s="7" t="s">
        <v>159</v>
      </c>
      <c r="I125" s="7" t="s">
        <v>161</v>
      </c>
      <c r="J125" s="7" t="s">
        <v>165</v>
      </c>
      <c r="K125" s="7"/>
      <c r="L125" s="105">
        <v>10.0364</v>
      </c>
      <c r="M125" s="104"/>
      <c r="N125" s="7">
        <v>1</v>
      </c>
      <c r="O125" s="105"/>
      <c r="P125" s="104" t="s">
        <v>224</v>
      </c>
      <c r="Q125" s="7">
        <v>1</v>
      </c>
      <c r="R125" s="150" t="s">
        <v>344</v>
      </c>
      <c r="S125" s="8"/>
      <c r="T125" s="8"/>
      <c r="U125" s="128">
        <v>2010</v>
      </c>
      <c r="V125" s="107"/>
      <c r="W125" s="7"/>
      <c r="X125" s="129"/>
      <c r="Y125" s="130"/>
      <c r="Z125" s="108">
        <f>SUM(127000,58000)</f>
        <v>185000</v>
      </c>
      <c r="AA125" s="7" t="s">
        <v>365</v>
      </c>
      <c r="AB125" s="109">
        <v>185000</v>
      </c>
      <c r="AC125" s="109">
        <v>185000</v>
      </c>
      <c r="AD125" s="110">
        <v>185000</v>
      </c>
      <c r="AE125" s="111">
        <v>0</v>
      </c>
      <c r="AF125" s="110">
        <v>0</v>
      </c>
      <c r="AG125" s="110">
        <v>0</v>
      </c>
      <c r="AH125" s="112">
        <v>0</v>
      </c>
      <c r="AI125" s="113">
        <f>SUM(14,6)</f>
        <v>20</v>
      </c>
      <c r="AJ125" s="7" t="s">
        <v>377</v>
      </c>
      <c r="AK125" s="68">
        <v>20</v>
      </c>
      <c r="AL125" s="68">
        <v>20</v>
      </c>
      <c r="AM125" s="112">
        <v>20</v>
      </c>
      <c r="AN125" s="111">
        <f>IF(Level1[[#This Row],[Standardised_Normalised_Mass_kg/capita/year]]&lt;&gt;"",Level1[[#This Row],[Standardised_Normalised_Mass_kg/capita/year]],Level1[[#This Row],[Derived_Normalised_kg/capita/year]])</f>
        <v>20</v>
      </c>
      <c r="AO125" s="68">
        <f>IF(Level1[[#This Row],[Household]]=1,IF(Level1[[#This Row],[Household_Diary?]]=1,'Cover Sheet'!$R$31,1),1)</f>
        <v>1</v>
      </c>
      <c r="AP125" s="68">
        <f>IF(Level1[[#This Row],[Household]]=1,IF(Level1[[#This Row],[Edible_Waste_Only?]]=1,'Cover Sheet'!$R$32,1),1)</f>
        <v>1</v>
      </c>
      <c r="AQ125" s="68">
        <f>IF(Level1[[#This Row],[Food_Service]]=1,IF(Level1[[#This Row],[Edible_Waste_Only?]]=1,'Cover Sheet'!$R$33,1),1)</f>
        <v>1</v>
      </c>
      <c r="AR125" s="68">
        <f>IF(Level1[[#This Row],[Retail]]=1,IF(Level1[[#This Row],[Edible_Waste_Only?]]=1,'Cover Sheet'!$R$34,1),1)</f>
        <v>1</v>
      </c>
      <c r="AS125" s="68">
        <f>PRODUCT(Level1[[#This Row],[Household_Diary_Adjustment]:[Retail_Inedible_Adjustment]])</f>
        <v>1</v>
      </c>
      <c r="AT125" s="114">
        <f>Level1[[#This Row],[Preferred_estimate_kg/capita]]*Level1[[#This Row],[Total_Adjustment]]</f>
        <v>20</v>
      </c>
      <c r="AU125" s="186"/>
    </row>
    <row r="126" spans="1:47" x14ac:dyDescent="0.2">
      <c r="A126" s="115">
        <v>12</v>
      </c>
      <c r="B126" s="116" t="s">
        <v>559</v>
      </c>
      <c r="C126" s="116">
        <v>2013</v>
      </c>
      <c r="D126" s="117" t="s">
        <v>22</v>
      </c>
      <c r="E126" s="118" t="s">
        <v>99</v>
      </c>
      <c r="F126" s="116">
        <v>156</v>
      </c>
      <c r="G126" s="116" t="s">
        <v>152</v>
      </c>
      <c r="H126" s="116" t="s">
        <v>160</v>
      </c>
      <c r="I126" s="7" t="s">
        <v>163</v>
      </c>
      <c r="J126" s="7" t="s">
        <v>166</v>
      </c>
      <c r="K126" s="116" t="s">
        <v>174</v>
      </c>
      <c r="L126" s="105">
        <v>1433.7837</v>
      </c>
      <c r="M126" s="118">
        <v>1</v>
      </c>
      <c r="N126" s="116"/>
      <c r="O126" s="119"/>
      <c r="P126" s="118" t="s">
        <v>224</v>
      </c>
      <c r="Q126" s="116">
        <v>2</v>
      </c>
      <c r="R126" s="116" t="s">
        <v>251</v>
      </c>
      <c r="S126" s="120"/>
      <c r="T126" s="120"/>
      <c r="U126" s="125">
        <v>2010</v>
      </c>
      <c r="V126" s="122"/>
      <c r="W126" s="116"/>
      <c r="X126" s="122"/>
      <c r="Y126" s="119"/>
      <c r="Z126" s="123"/>
      <c r="AA126" s="7"/>
      <c r="AB126" s="109" t="s">
        <v>374</v>
      </c>
      <c r="AC126" s="109" t="s">
        <v>374</v>
      </c>
      <c r="AD126" s="124" t="s">
        <v>374</v>
      </c>
      <c r="AE126" s="111">
        <v>0</v>
      </c>
      <c r="AF126" s="110">
        <v>0</v>
      </c>
      <c r="AG126" s="110">
        <v>0</v>
      </c>
      <c r="AH126" s="112">
        <v>0</v>
      </c>
      <c r="AI126" s="113">
        <v>7.0000000000000007E-2</v>
      </c>
      <c r="AJ126" s="116" t="s">
        <v>375</v>
      </c>
      <c r="AK126" s="68">
        <v>7.0000000000000007E-2</v>
      </c>
      <c r="AL126" s="68">
        <v>25.567500000000003</v>
      </c>
      <c r="AM126" s="112">
        <v>25.567500000000003</v>
      </c>
      <c r="AN126" s="111">
        <f>IF(Level1[[#This Row],[Standardised_Normalised_Mass_kg/capita/year]]&lt;&gt;"",Level1[[#This Row],[Standardised_Normalised_Mass_kg/capita/year]],Level1[[#This Row],[Derived_Normalised_kg/capita/year]])</f>
        <v>25.567500000000003</v>
      </c>
      <c r="AO126" s="68">
        <f>IF(Level1[[#This Row],[Household]]=1,IF(Level1[[#This Row],[Household_Diary?]]=1,'Cover Sheet'!$R$31,1),1)</f>
        <v>1</v>
      </c>
      <c r="AP126" s="68">
        <f>IF(Level1[[#This Row],[Household]]=1,IF(Level1[[#This Row],[Edible_Waste_Only?]]=1,'Cover Sheet'!$R$32,1),1)</f>
        <v>1</v>
      </c>
      <c r="AQ126" s="68">
        <f>IF(Level1[[#This Row],[Food_Service]]=1,IF(Level1[[#This Row],[Edible_Waste_Only?]]=1,'Cover Sheet'!$R$33,1),1)</f>
        <v>1</v>
      </c>
      <c r="AR126" s="68">
        <f>IF(Level1[[#This Row],[Retail]]=1,IF(Level1[[#This Row],[Edible_Waste_Only?]]=1,'Cover Sheet'!$R$34,1),1)</f>
        <v>1</v>
      </c>
      <c r="AS126" s="68">
        <f>PRODUCT(Level1[[#This Row],[Household_Diary_Adjustment]:[Retail_Inedible_Adjustment]])</f>
        <v>1</v>
      </c>
      <c r="AT126" s="114">
        <f>Level1[[#This Row],[Preferred_estimate_kg/capita]]*Level1[[#This Row],[Total_Adjustment]]</f>
        <v>25.567500000000003</v>
      </c>
      <c r="AU126" s="186"/>
    </row>
    <row r="127" spans="1:47" x14ac:dyDescent="0.2">
      <c r="A127" s="115">
        <v>19</v>
      </c>
      <c r="B127" s="116" t="s">
        <v>551</v>
      </c>
      <c r="C127" s="116">
        <v>2013</v>
      </c>
      <c r="D127" s="117" t="s">
        <v>411</v>
      </c>
      <c r="E127" s="118" t="s">
        <v>100</v>
      </c>
      <c r="F127" s="116">
        <v>170</v>
      </c>
      <c r="G127" s="116" t="s">
        <v>150</v>
      </c>
      <c r="H127" s="116" t="s">
        <v>160</v>
      </c>
      <c r="I127" s="7" t="s">
        <v>163</v>
      </c>
      <c r="J127" s="7" t="s">
        <v>166</v>
      </c>
      <c r="K127" s="116" t="s">
        <v>183</v>
      </c>
      <c r="L127" s="105">
        <v>50.339399999999998</v>
      </c>
      <c r="M127" s="118">
        <v>1</v>
      </c>
      <c r="N127" s="116"/>
      <c r="O127" s="119"/>
      <c r="P127" s="118" t="s">
        <v>225</v>
      </c>
      <c r="Q127" s="116">
        <v>2</v>
      </c>
      <c r="R127" s="116" t="s">
        <v>260</v>
      </c>
      <c r="S127" s="120"/>
      <c r="T127" s="120"/>
      <c r="U127" s="121">
        <v>2011</v>
      </c>
      <c r="V127" s="122">
        <v>0.60260000000000002</v>
      </c>
      <c r="W127" s="116" t="s">
        <v>361</v>
      </c>
      <c r="X127" s="131" t="s">
        <v>383</v>
      </c>
      <c r="Y127" s="127" t="s">
        <v>486</v>
      </c>
      <c r="Z127" s="123"/>
      <c r="AA127" s="7"/>
      <c r="AB127" s="109" t="s">
        <v>374</v>
      </c>
      <c r="AC127" s="109" t="s">
        <v>374</v>
      </c>
      <c r="AD127" s="124" t="s">
        <v>374</v>
      </c>
      <c r="AE127" s="111">
        <v>0</v>
      </c>
      <c r="AF127" s="110">
        <v>0</v>
      </c>
      <c r="AG127" s="110">
        <v>7258629</v>
      </c>
      <c r="AH127" s="112">
        <v>0</v>
      </c>
      <c r="AI127" s="113">
        <f>0.32*Level1[[#This Row],[FW_Share_estimate]]</f>
        <v>0.192832</v>
      </c>
      <c r="AJ127" s="116" t="s">
        <v>375</v>
      </c>
      <c r="AK127" s="68">
        <v>0.192832</v>
      </c>
      <c r="AL127" s="68">
        <v>70.431888000000001</v>
      </c>
      <c r="AM127" s="112">
        <v>70.431888000000001</v>
      </c>
      <c r="AN127" s="111">
        <f>IF(Level1[[#This Row],[Standardised_Normalised_Mass_kg/capita/year]]&lt;&gt;"",Level1[[#This Row],[Standardised_Normalised_Mass_kg/capita/year]],Level1[[#This Row],[Derived_Normalised_kg/capita/year]])</f>
        <v>70.431888000000001</v>
      </c>
      <c r="AO127" s="68">
        <f>IF(Level1[[#This Row],[Household]]=1,IF(Level1[[#This Row],[Household_Diary?]]=1,'Cover Sheet'!$R$31,1),1)</f>
        <v>1</v>
      </c>
      <c r="AP127" s="68">
        <f>IF(Level1[[#This Row],[Household]]=1,IF(Level1[[#This Row],[Edible_Waste_Only?]]=1,'Cover Sheet'!$R$32,1),1)</f>
        <v>1</v>
      </c>
      <c r="AQ127" s="68">
        <f>IF(Level1[[#This Row],[Food_Service]]=1,IF(Level1[[#This Row],[Edible_Waste_Only?]]=1,'Cover Sheet'!$R$33,1),1)</f>
        <v>1</v>
      </c>
      <c r="AR127" s="68">
        <f>IF(Level1[[#This Row],[Retail]]=1,IF(Level1[[#This Row],[Edible_Waste_Only?]]=1,'Cover Sheet'!$R$34,1),1)</f>
        <v>1</v>
      </c>
      <c r="AS127" s="68">
        <f>PRODUCT(Level1[[#This Row],[Household_Diary_Adjustment]:[Retail_Inedible_Adjustment]])</f>
        <v>1</v>
      </c>
      <c r="AT127" s="114">
        <f>Level1[[#This Row],[Preferred_estimate_kg/capita]]*Level1[[#This Row],[Total_Adjustment]]</f>
        <v>70.431888000000001</v>
      </c>
      <c r="AU127" s="186"/>
    </row>
    <row r="128" spans="1:47" x14ac:dyDescent="0.2">
      <c r="A128" s="102">
        <v>40</v>
      </c>
      <c r="B128" s="116" t="s">
        <v>612</v>
      </c>
      <c r="C128" s="7">
        <v>2013</v>
      </c>
      <c r="D128" s="103" t="s">
        <v>49</v>
      </c>
      <c r="E128" s="104" t="s">
        <v>113</v>
      </c>
      <c r="F128" s="7">
        <v>368</v>
      </c>
      <c r="G128" s="7" t="s">
        <v>148</v>
      </c>
      <c r="H128" s="7" t="s">
        <v>160</v>
      </c>
      <c r="I128" s="7" t="s">
        <v>163</v>
      </c>
      <c r="J128" s="7" t="s">
        <v>166</v>
      </c>
      <c r="K128" s="7" t="s">
        <v>190</v>
      </c>
      <c r="L128" s="105">
        <v>39.309800000000003</v>
      </c>
      <c r="M128" s="104">
        <v>1</v>
      </c>
      <c r="N128" s="7"/>
      <c r="O128" s="105"/>
      <c r="P128" s="104" t="s">
        <v>225</v>
      </c>
      <c r="Q128" s="7">
        <v>2</v>
      </c>
      <c r="R128" s="7" t="s">
        <v>291</v>
      </c>
      <c r="S128" s="8"/>
      <c r="T128" s="8"/>
      <c r="U128" s="128">
        <v>2009</v>
      </c>
      <c r="V128" s="107">
        <v>0.68169999999999997</v>
      </c>
      <c r="W128" s="7" t="s">
        <v>361</v>
      </c>
      <c r="X128" s="129"/>
      <c r="Y128" s="130"/>
      <c r="Z128" s="108"/>
      <c r="AA128" s="7"/>
      <c r="AB128" s="109" t="s">
        <v>374</v>
      </c>
      <c r="AC128" s="109" t="s">
        <v>374</v>
      </c>
      <c r="AD128" s="110" t="s">
        <v>374</v>
      </c>
      <c r="AE128" s="111">
        <v>0</v>
      </c>
      <c r="AF128" s="110">
        <v>0</v>
      </c>
      <c r="AG128" s="110">
        <v>0</v>
      </c>
      <c r="AH128" s="112">
        <v>0</v>
      </c>
      <c r="AI128" s="113">
        <f>0.34*Level1[[#This Row],[FW_Share_estimate]]</f>
        <v>0.23177800000000001</v>
      </c>
      <c r="AJ128" s="7" t="s">
        <v>375</v>
      </c>
      <c r="AK128" s="68">
        <v>0.23177800000000001</v>
      </c>
      <c r="AL128" s="68">
        <v>84.656914499999999</v>
      </c>
      <c r="AM128" s="112">
        <v>84.656914499999999</v>
      </c>
      <c r="AN128" s="111">
        <f>IF(Level1[[#This Row],[Standardised_Normalised_Mass_kg/capita/year]]&lt;&gt;"",Level1[[#This Row],[Standardised_Normalised_Mass_kg/capita/year]],Level1[[#This Row],[Derived_Normalised_kg/capita/year]])</f>
        <v>84.656914499999999</v>
      </c>
      <c r="AO128" s="68">
        <f>IF(Level1[[#This Row],[Household]]=1,IF(Level1[[#This Row],[Household_Diary?]]=1,'Cover Sheet'!$R$31,1),1)</f>
        <v>1</v>
      </c>
      <c r="AP128" s="68">
        <f>IF(Level1[[#This Row],[Household]]=1,IF(Level1[[#This Row],[Edible_Waste_Only?]]=1,'Cover Sheet'!$R$32,1),1)</f>
        <v>1</v>
      </c>
      <c r="AQ128" s="68">
        <f>IF(Level1[[#This Row],[Food_Service]]=1,IF(Level1[[#This Row],[Edible_Waste_Only?]]=1,'Cover Sheet'!$R$33,1),1)</f>
        <v>1</v>
      </c>
      <c r="AR128" s="68">
        <f>IF(Level1[[#This Row],[Retail]]=1,IF(Level1[[#This Row],[Edible_Waste_Only?]]=1,'Cover Sheet'!$R$34,1),1)</f>
        <v>1</v>
      </c>
      <c r="AS128" s="68">
        <f>PRODUCT(Level1[[#This Row],[Household_Diary_Adjustment]:[Retail_Inedible_Adjustment]])</f>
        <v>1</v>
      </c>
      <c r="AT128" s="114">
        <f>Level1[[#This Row],[Preferred_estimate_kg/capita]]*Level1[[#This Row],[Total_Adjustment]]</f>
        <v>84.656914499999999</v>
      </c>
      <c r="AU128" s="186"/>
    </row>
    <row r="129" spans="1:47" x14ac:dyDescent="0.2">
      <c r="A129" s="102">
        <v>53</v>
      </c>
      <c r="B129" s="116" t="s">
        <v>634</v>
      </c>
      <c r="C129" s="7">
        <v>2013</v>
      </c>
      <c r="D129" s="103" t="s">
        <v>62</v>
      </c>
      <c r="E129" s="104" t="s">
        <v>121</v>
      </c>
      <c r="F129" s="7">
        <v>458</v>
      </c>
      <c r="G129" s="7" t="s">
        <v>157</v>
      </c>
      <c r="H129" s="7" t="s">
        <v>160</v>
      </c>
      <c r="I129" s="7" t="s">
        <v>163</v>
      </c>
      <c r="J129" s="7" t="s">
        <v>165</v>
      </c>
      <c r="K129" s="7"/>
      <c r="L129" s="105">
        <v>31.9498</v>
      </c>
      <c r="M129" s="104">
        <v>1</v>
      </c>
      <c r="N129" s="7"/>
      <c r="O129" s="105"/>
      <c r="P129" s="104" t="s">
        <v>224</v>
      </c>
      <c r="Q129" s="7">
        <v>2</v>
      </c>
      <c r="R129" s="7" t="s">
        <v>312</v>
      </c>
      <c r="S129" s="8"/>
      <c r="T129" s="8"/>
      <c r="U129" s="128">
        <v>2011</v>
      </c>
      <c r="V129" s="107"/>
      <c r="W129" s="7"/>
      <c r="X129" s="129"/>
      <c r="Y129" s="130"/>
      <c r="Z129" s="108">
        <v>3192404</v>
      </c>
      <c r="AA129" s="7" t="s">
        <v>365</v>
      </c>
      <c r="AB129" s="109">
        <v>3192404</v>
      </c>
      <c r="AC129" s="109">
        <v>3192404</v>
      </c>
      <c r="AD129" s="110">
        <v>3192404</v>
      </c>
      <c r="AE129" s="111">
        <v>1</v>
      </c>
      <c r="AF129" s="110">
        <v>28621800</v>
      </c>
      <c r="AG129" s="110">
        <v>0</v>
      </c>
      <c r="AH129" s="112">
        <v>111.53749938857794</v>
      </c>
      <c r="AI129" s="113"/>
      <c r="AJ129" s="7"/>
      <c r="AK129" s="68" t="s">
        <v>374</v>
      </c>
      <c r="AL129" s="68" t="s">
        <v>374</v>
      </c>
      <c r="AM129" s="112" t="s">
        <v>374</v>
      </c>
      <c r="AN129" s="111">
        <f>IF(Level1[[#This Row],[Standardised_Normalised_Mass_kg/capita/year]]&lt;&gt;"",Level1[[#This Row],[Standardised_Normalised_Mass_kg/capita/year]],Level1[[#This Row],[Derived_Normalised_kg/capita/year]])</f>
        <v>111.53749938857794</v>
      </c>
      <c r="AO129" s="68">
        <f>IF(Level1[[#This Row],[Household]]=1,IF(Level1[[#This Row],[Household_Diary?]]=1,'Cover Sheet'!$R$31,1),1)</f>
        <v>1</v>
      </c>
      <c r="AP129" s="68">
        <f>IF(Level1[[#This Row],[Household]]=1,IF(Level1[[#This Row],[Edible_Waste_Only?]]=1,'Cover Sheet'!$R$32,1),1)</f>
        <v>1</v>
      </c>
      <c r="AQ129" s="68">
        <f>IF(Level1[[#This Row],[Food_Service]]=1,IF(Level1[[#This Row],[Edible_Waste_Only?]]=1,'Cover Sheet'!$R$33,1),1)</f>
        <v>1</v>
      </c>
      <c r="AR129" s="68">
        <f>IF(Level1[[#This Row],[Retail]]=1,IF(Level1[[#This Row],[Edible_Waste_Only?]]=1,'Cover Sheet'!$R$34,1),1)</f>
        <v>1</v>
      </c>
      <c r="AS129" s="68">
        <f>PRODUCT(Level1[[#This Row],[Household_Diary_Adjustment]:[Retail_Inedible_Adjustment]])</f>
        <v>1</v>
      </c>
      <c r="AT129" s="114">
        <f>Level1[[#This Row],[Preferred_estimate_kg/capita]]*Level1[[#This Row],[Total_Adjustment]]</f>
        <v>111.53749938857794</v>
      </c>
      <c r="AU129" s="186"/>
    </row>
    <row r="130" spans="1:47" x14ac:dyDescent="0.2">
      <c r="A130" s="102">
        <v>53</v>
      </c>
      <c r="B130" s="116" t="s">
        <v>634</v>
      </c>
      <c r="C130" s="7">
        <v>2013</v>
      </c>
      <c r="D130" s="103" t="s">
        <v>62</v>
      </c>
      <c r="E130" s="104" t="s">
        <v>121</v>
      </c>
      <c r="F130" s="7">
        <v>458</v>
      </c>
      <c r="G130" s="7" t="s">
        <v>157</v>
      </c>
      <c r="H130" s="7" t="s">
        <v>160</v>
      </c>
      <c r="I130" s="7" t="s">
        <v>163</v>
      </c>
      <c r="J130" s="7" t="s">
        <v>165</v>
      </c>
      <c r="K130" s="7"/>
      <c r="L130" s="105">
        <v>31.9498</v>
      </c>
      <c r="M130" s="104"/>
      <c r="N130" s="7"/>
      <c r="O130" s="105">
        <v>1</v>
      </c>
      <c r="P130" s="104" t="s">
        <v>224</v>
      </c>
      <c r="Q130" s="7">
        <v>2</v>
      </c>
      <c r="R130" s="7" t="s">
        <v>312</v>
      </c>
      <c r="S130" s="8"/>
      <c r="T130" s="8"/>
      <c r="U130" s="128">
        <v>2011</v>
      </c>
      <c r="V130" s="107"/>
      <c r="W130" s="7"/>
      <c r="X130" s="129"/>
      <c r="Y130" s="130"/>
      <c r="Z130" s="108">
        <f>SUM(2040929,108678,106288)</f>
        <v>2255895</v>
      </c>
      <c r="AA130" s="7" t="s">
        <v>365</v>
      </c>
      <c r="AB130" s="109">
        <v>2255895</v>
      </c>
      <c r="AC130" s="109">
        <v>2255895</v>
      </c>
      <c r="AD130" s="110">
        <v>2255895</v>
      </c>
      <c r="AE130" s="111">
        <v>1</v>
      </c>
      <c r="AF130" s="110">
        <v>28621800</v>
      </c>
      <c r="AG130" s="110">
        <v>0</v>
      </c>
      <c r="AH130" s="112">
        <v>78.81736997673103</v>
      </c>
      <c r="AI130" s="113"/>
      <c r="AJ130" s="7"/>
      <c r="AK130" s="68" t="s">
        <v>374</v>
      </c>
      <c r="AL130" s="68" t="s">
        <v>374</v>
      </c>
      <c r="AM130" s="112" t="s">
        <v>374</v>
      </c>
      <c r="AN130" s="111">
        <f>IF(Level1[[#This Row],[Standardised_Normalised_Mass_kg/capita/year]]&lt;&gt;"",Level1[[#This Row],[Standardised_Normalised_Mass_kg/capita/year]],Level1[[#This Row],[Derived_Normalised_kg/capita/year]])</f>
        <v>78.81736997673103</v>
      </c>
      <c r="AO130" s="68">
        <f>IF(Level1[[#This Row],[Household]]=1,IF(Level1[[#This Row],[Household_Diary?]]=1,'Cover Sheet'!$R$31,1),1)</f>
        <v>1</v>
      </c>
      <c r="AP130" s="68">
        <f>IF(Level1[[#This Row],[Household]]=1,IF(Level1[[#This Row],[Edible_Waste_Only?]]=1,'Cover Sheet'!$R$32,1),1)</f>
        <v>1</v>
      </c>
      <c r="AQ130" s="68">
        <f>IF(Level1[[#This Row],[Food_Service]]=1,IF(Level1[[#This Row],[Edible_Waste_Only?]]=1,'Cover Sheet'!$R$33,1),1)</f>
        <v>1</v>
      </c>
      <c r="AR130" s="68">
        <f>IF(Level1[[#This Row],[Retail]]=1,IF(Level1[[#This Row],[Edible_Waste_Only?]]=1,'Cover Sheet'!$R$34,1),1)</f>
        <v>1</v>
      </c>
      <c r="AS130" s="68">
        <f>PRODUCT(Level1[[#This Row],[Household_Diary_Adjustment]:[Retail_Inedible_Adjustment]])</f>
        <v>1</v>
      </c>
      <c r="AT130" s="114">
        <f>Level1[[#This Row],[Preferred_estimate_kg/capita]]*Level1[[#This Row],[Total_Adjustment]]</f>
        <v>78.81736997673103</v>
      </c>
      <c r="AU130" s="186"/>
    </row>
    <row r="131" spans="1:47" x14ac:dyDescent="0.2">
      <c r="A131" s="115">
        <v>53</v>
      </c>
      <c r="B131" s="116" t="s">
        <v>634</v>
      </c>
      <c r="C131" s="116">
        <v>2013</v>
      </c>
      <c r="D131" s="117" t="s">
        <v>62</v>
      </c>
      <c r="E131" s="118" t="s">
        <v>121</v>
      </c>
      <c r="F131" s="116">
        <v>458</v>
      </c>
      <c r="G131" s="116" t="s">
        <v>157</v>
      </c>
      <c r="H131" s="116" t="s">
        <v>160</v>
      </c>
      <c r="I131" s="7" t="s">
        <v>163</v>
      </c>
      <c r="J131" s="7" t="s">
        <v>165</v>
      </c>
      <c r="K131" s="116"/>
      <c r="L131" s="105">
        <v>31.9498</v>
      </c>
      <c r="M131" s="118"/>
      <c r="N131" s="116">
        <v>1</v>
      </c>
      <c r="O131" s="119"/>
      <c r="P131" s="118" t="s">
        <v>224</v>
      </c>
      <c r="Q131" s="116">
        <v>2</v>
      </c>
      <c r="R131" s="116" t="s">
        <v>312</v>
      </c>
      <c r="S131" s="120"/>
      <c r="T131" s="120"/>
      <c r="U131" s="125">
        <v>2011</v>
      </c>
      <c r="V131" s="122"/>
      <c r="W131" s="116"/>
      <c r="X131" s="131"/>
      <c r="Y131" s="127"/>
      <c r="Z131" s="123">
        <f>SUM(1941608,572284,26962,21808,808)</f>
        <v>2563470</v>
      </c>
      <c r="AA131" s="7" t="s">
        <v>365</v>
      </c>
      <c r="AB131" s="109">
        <v>2563470</v>
      </c>
      <c r="AC131" s="109">
        <v>2563470</v>
      </c>
      <c r="AD131" s="124">
        <v>2563470</v>
      </c>
      <c r="AE131" s="111">
        <v>1</v>
      </c>
      <c r="AF131" s="110">
        <v>28621800</v>
      </c>
      <c r="AG131" s="110">
        <v>0</v>
      </c>
      <c r="AH131" s="112">
        <v>89.563549462297971</v>
      </c>
      <c r="AI131" s="113"/>
      <c r="AJ131" s="116"/>
      <c r="AK131" s="68" t="s">
        <v>374</v>
      </c>
      <c r="AL131" s="68" t="s">
        <v>374</v>
      </c>
      <c r="AM131" s="112" t="s">
        <v>374</v>
      </c>
      <c r="AN131" s="111">
        <f>IF(Level1[[#This Row],[Standardised_Normalised_Mass_kg/capita/year]]&lt;&gt;"",Level1[[#This Row],[Standardised_Normalised_Mass_kg/capita/year]],Level1[[#This Row],[Derived_Normalised_kg/capita/year]])</f>
        <v>89.563549462297971</v>
      </c>
      <c r="AO131" s="68">
        <f>IF(Level1[[#This Row],[Household]]=1,IF(Level1[[#This Row],[Household_Diary?]]=1,'Cover Sheet'!$R$31,1),1)</f>
        <v>1</v>
      </c>
      <c r="AP131" s="68">
        <f>IF(Level1[[#This Row],[Household]]=1,IF(Level1[[#This Row],[Edible_Waste_Only?]]=1,'Cover Sheet'!$R$32,1),1)</f>
        <v>1</v>
      </c>
      <c r="AQ131" s="68">
        <f>IF(Level1[[#This Row],[Food_Service]]=1,IF(Level1[[#This Row],[Edible_Waste_Only?]]=1,'Cover Sheet'!$R$33,1),1)</f>
        <v>1</v>
      </c>
      <c r="AR131" s="68">
        <f>IF(Level1[[#This Row],[Retail]]=1,IF(Level1[[#This Row],[Edible_Waste_Only?]]=1,'Cover Sheet'!$R$34,1),1)</f>
        <v>1</v>
      </c>
      <c r="AS131" s="68">
        <f>PRODUCT(Level1[[#This Row],[Household_Diary_Adjustment]:[Retail_Inedible_Adjustment]])</f>
        <v>1</v>
      </c>
      <c r="AT131" s="114">
        <f>Level1[[#This Row],[Preferred_estimate_kg/capita]]*Level1[[#This Row],[Total_Adjustment]]</f>
        <v>89.563549462297971</v>
      </c>
      <c r="AU131" s="186"/>
    </row>
    <row r="132" spans="1:47" x14ac:dyDescent="0.2">
      <c r="A132" s="102">
        <v>66</v>
      </c>
      <c r="B132" s="116" t="s">
        <v>654</v>
      </c>
      <c r="C132" s="7">
        <v>2013</v>
      </c>
      <c r="D132" s="103" t="s">
        <v>73</v>
      </c>
      <c r="E132" s="104" t="s">
        <v>131</v>
      </c>
      <c r="F132" s="7">
        <v>646</v>
      </c>
      <c r="G132" s="7" t="s">
        <v>154</v>
      </c>
      <c r="H132" s="7" t="s">
        <v>160</v>
      </c>
      <c r="I132" s="7" t="s">
        <v>164</v>
      </c>
      <c r="J132" s="7" t="s">
        <v>166</v>
      </c>
      <c r="K132" s="7" t="s">
        <v>201</v>
      </c>
      <c r="L132" s="105">
        <v>12.627000000000001</v>
      </c>
      <c r="M132" s="104">
        <v>1</v>
      </c>
      <c r="N132" s="7"/>
      <c r="O132" s="105"/>
      <c r="P132" s="104" t="s">
        <v>225</v>
      </c>
      <c r="Q132" s="7">
        <v>2</v>
      </c>
      <c r="R132" s="7" t="s">
        <v>329</v>
      </c>
      <c r="S132" s="8"/>
      <c r="T132" s="8"/>
      <c r="U132" s="128">
        <v>2011</v>
      </c>
      <c r="V132" s="107">
        <v>0.74</v>
      </c>
      <c r="W132" s="7" t="s">
        <v>362</v>
      </c>
      <c r="X132" s="129"/>
      <c r="Y132" s="130"/>
      <c r="Z132" s="108"/>
      <c r="AA132" s="7"/>
      <c r="AB132" s="109" t="s">
        <v>374</v>
      </c>
      <c r="AC132" s="109" t="s">
        <v>374</v>
      </c>
      <c r="AD132" s="110" t="s">
        <v>374</v>
      </c>
      <c r="AE132" s="111">
        <v>0</v>
      </c>
      <c r="AF132" s="110">
        <v>0</v>
      </c>
      <c r="AG132" s="110">
        <v>0</v>
      </c>
      <c r="AH132" s="112">
        <v>0</v>
      </c>
      <c r="AI132" s="113">
        <v>0.45</v>
      </c>
      <c r="AJ132" s="7" t="s">
        <v>375</v>
      </c>
      <c r="AK132" s="68">
        <v>0.45</v>
      </c>
      <c r="AL132" s="68">
        <v>164.36250000000001</v>
      </c>
      <c r="AM132" s="112">
        <v>164.36250000000001</v>
      </c>
      <c r="AN132" s="111">
        <f>IF(Level1[[#This Row],[Standardised_Normalised_Mass_kg/capita/year]]&lt;&gt;"",Level1[[#This Row],[Standardised_Normalised_Mass_kg/capita/year]],Level1[[#This Row],[Derived_Normalised_kg/capita/year]])</f>
        <v>164.36250000000001</v>
      </c>
      <c r="AO132" s="68">
        <f>IF(Level1[[#This Row],[Household]]=1,IF(Level1[[#This Row],[Household_Diary?]]=1,'Cover Sheet'!$R$31,1),1)</f>
        <v>1</v>
      </c>
      <c r="AP132" s="68">
        <f>IF(Level1[[#This Row],[Household]]=1,IF(Level1[[#This Row],[Edible_Waste_Only?]]=1,'Cover Sheet'!$R$32,1),1)</f>
        <v>1</v>
      </c>
      <c r="AQ132" s="68">
        <f>IF(Level1[[#This Row],[Food_Service]]=1,IF(Level1[[#This Row],[Edible_Waste_Only?]]=1,'Cover Sheet'!$R$33,1),1)</f>
        <v>1</v>
      </c>
      <c r="AR132" s="68">
        <f>IF(Level1[[#This Row],[Retail]]=1,IF(Level1[[#This Row],[Edible_Waste_Only?]]=1,'Cover Sheet'!$R$34,1),1)</f>
        <v>1</v>
      </c>
      <c r="AS132" s="68">
        <f>PRODUCT(Level1[[#This Row],[Household_Diary_Adjustment]:[Retail_Inedible_Adjustment]])</f>
        <v>1</v>
      </c>
      <c r="AT132" s="114">
        <f>Level1[[#This Row],[Preferred_estimate_kg/capita]]*Level1[[#This Row],[Total_Adjustment]]</f>
        <v>164.36250000000001</v>
      </c>
      <c r="AU132" s="186"/>
    </row>
    <row r="133" spans="1:47" x14ac:dyDescent="0.2">
      <c r="A133" s="102">
        <v>78</v>
      </c>
      <c r="B133" s="116" t="s">
        <v>673</v>
      </c>
      <c r="C133" s="7">
        <v>2013</v>
      </c>
      <c r="D133" s="103" t="s">
        <v>82</v>
      </c>
      <c r="E133" s="104" t="s">
        <v>139</v>
      </c>
      <c r="F133" s="7">
        <v>756</v>
      </c>
      <c r="G133" s="7" t="s">
        <v>147</v>
      </c>
      <c r="H133" s="7" t="s">
        <v>159</v>
      </c>
      <c r="I133" s="7" t="s">
        <v>161</v>
      </c>
      <c r="J133" s="7" t="s">
        <v>165</v>
      </c>
      <c r="K133" s="7"/>
      <c r="L133" s="105">
        <v>8.5914000000000001</v>
      </c>
      <c r="M133" s="104"/>
      <c r="N133" s="7">
        <v>1</v>
      </c>
      <c r="O133" s="105"/>
      <c r="P133" s="104" t="s">
        <v>224</v>
      </c>
      <c r="Q133" s="7">
        <v>2</v>
      </c>
      <c r="R133" s="7" t="s">
        <v>346</v>
      </c>
      <c r="S133" s="8"/>
      <c r="T133" s="8"/>
      <c r="U133" s="106">
        <v>2007</v>
      </c>
      <c r="V133" s="107"/>
      <c r="W133" s="7"/>
      <c r="X133" s="107"/>
      <c r="Y133" s="105"/>
      <c r="Z133" s="108"/>
      <c r="AA133" s="7"/>
      <c r="AB133" s="109" t="s">
        <v>374</v>
      </c>
      <c r="AC133" s="109" t="s">
        <v>374</v>
      </c>
      <c r="AD133" s="110" t="s">
        <v>374</v>
      </c>
      <c r="AE133" s="111">
        <v>0</v>
      </c>
      <c r="AF133" s="110">
        <v>0</v>
      </c>
      <c r="AG133" s="110">
        <v>0</v>
      </c>
      <c r="AH133" s="112">
        <v>0</v>
      </c>
      <c r="AI133" s="113">
        <f>20.6+19.4</f>
        <v>40</v>
      </c>
      <c r="AJ133" s="7" t="s">
        <v>377</v>
      </c>
      <c r="AK133" s="68">
        <v>40</v>
      </c>
      <c r="AL133" s="68">
        <v>40</v>
      </c>
      <c r="AM133" s="112">
        <v>40</v>
      </c>
      <c r="AN133" s="111">
        <f>IF(Level1[[#This Row],[Standardised_Normalised_Mass_kg/capita/year]]&lt;&gt;"",Level1[[#This Row],[Standardised_Normalised_Mass_kg/capita/year]],Level1[[#This Row],[Derived_Normalised_kg/capita/year]])</f>
        <v>40</v>
      </c>
      <c r="AO133" s="68">
        <f>IF(Level1[[#This Row],[Household]]=1,IF(Level1[[#This Row],[Household_Diary?]]=1,'Cover Sheet'!$R$31,1),1)</f>
        <v>1</v>
      </c>
      <c r="AP133" s="68">
        <f>IF(Level1[[#This Row],[Household]]=1,IF(Level1[[#This Row],[Edible_Waste_Only?]]=1,'Cover Sheet'!$R$32,1),1)</f>
        <v>1</v>
      </c>
      <c r="AQ133" s="68">
        <f>IF(Level1[[#This Row],[Food_Service]]=1,IF(Level1[[#This Row],[Edible_Waste_Only?]]=1,'Cover Sheet'!$R$33,1),1)</f>
        <v>1</v>
      </c>
      <c r="AR133" s="68">
        <f>IF(Level1[[#This Row],[Retail]]=1,IF(Level1[[#This Row],[Edible_Waste_Only?]]=1,'Cover Sheet'!$R$34,1),1)</f>
        <v>1</v>
      </c>
      <c r="AS133" s="68">
        <f>PRODUCT(Level1[[#This Row],[Household_Diary_Adjustment]:[Retail_Inedible_Adjustment]])</f>
        <v>1</v>
      </c>
      <c r="AT133" s="114">
        <f>Level1[[#This Row],[Preferred_estimate_kg/capita]]*Level1[[#This Row],[Total_Adjustment]]</f>
        <v>40</v>
      </c>
      <c r="AU133" s="186"/>
    </row>
    <row r="134" spans="1:47" x14ac:dyDescent="0.2">
      <c r="A134" s="102">
        <v>80</v>
      </c>
      <c r="B134" s="116" t="s">
        <v>677</v>
      </c>
      <c r="C134" s="7">
        <v>2013</v>
      </c>
      <c r="D134" s="141" t="s">
        <v>84</v>
      </c>
      <c r="E134" s="104" t="s">
        <v>141</v>
      </c>
      <c r="F134" s="7">
        <v>834</v>
      </c>
      <c r="G134" s="7" t="s">
        <v>154</v>
      </c>
      <c r="H134" s="7" t="s">
        <v>160</v>
      </c>
      <c r="I134" s="7" t="s">
        <v>162</v>
      </c>
      <c r="J134" s="7" t="s">
        <v>166</v>
      </c>
      <c r="K134" s="7" t="s">
        <v>216</v>
      </c>
      <c r="L134" s="105">
        <v>58.005499999999998</v>
      </c>
      <c r="M134" s="104">
        <v>1</v>
      </c>
      <c r="N134" s="7"/>
      <c r="O134" s="105"/>
      <c r="P134" s="104" t="s">
        <v>225</v>
      </c>
      <c r="Q134" s="7">
        <v>2</v>
      </c>
      <c r="R134" s="7" t="s">
        <v>350</v>
      </c>
      <c r="S134" s="8"/>
      <c r="T134" s="8"/>
      <c r="U134" s="128">
        <v>2008</v>
      </c>
      <c r="V134" s="107">
        <v>0.74099999999999999</v>
      </c>
      <c r="W134" s="7" t="s">
        <v>362</v>
      </c>
      <c r="X134" s="107"/>
      <c r="Y134" s="105"/>
      <c r="Z134" s="108"/>
      <c r="AA134" s="7"/>
      <c r="AB134" s="109" t="s">
        <v>374</v>
      </c>
      <c r="AC134" s="109" t="s">
        <v>374</v>
      </c>
      <c r="AD134" s="110" t="s">
        <v>374</v>
      </c>
      <c r="AE134" s="111">
        <v>0</v>
      </c>
      <c r="AF134" s="110">
        <v>0</v>
      </c>
      <c r="AG134" s="110">
        <v>0</v>
      </c>
      <c r="AH134" s="112">
        <v>0</v>
      </c>
      <c r="AI134" s="113">
        <f>0.44*Level1[[#This Row],[FW_Share_estimate]]</f>
        <v>0.32604</v>
      </c>
      <c r="AJ134" s="7" t="s">
        <v>375</v>
      </c>
      <c r="AK134" s="68">
        <v>0.32604</v>
      </c>
      <c r="AL134" s="68">
        <v>119.08611000000001</v>
      </c>
      <c r="AM134" s="112">
        <v>119.08611000000001</v>
      </c>
      <c r="AN134" s="111">
        <f>IF(Level1[[#This Row],[Standardised_Normalised_Mass_kg/capita/year]]&lt;&gt;"",Level1[[#This Row],[Standardised_Normalised_Mass_kg/capita/year]],Level1[[#This Row],[Derived_Normalised_kg/capita/year]])</f>
        <v>119.08611000000001</v>
      </c>
      <c r="AO134" s="68">
        <f>IF(Level1[[#This Row],[Household]]=1,IF(Level1[[#This Row],[Household_Diary?]]=1,'Cover Sheet'!$R$31,1),1)</f>
        <v>1</v>
      </c>
      <c r="AP134" s="68">
        <f>IF(Level1[[#This Row],[Household]]=1,IF(Level1[[#This Row],[Edible_Waste_Only?]]=1,'Cover Sheet'!$R$32,1),1)</f>
        <v>1</v>
      </c>
      <c r="AQ134" s="68">
        <f>IF(Level1[[#This Row],[Food_Service]]=1,IF(Level1[[#This Row],[Edible_Waste_Only?]]=1,'Cover Sheet'!$R$33,1),1)</f>
        <v>1</v>
      </c>
      <c r="AR134" s="68">
        <f>IF(Level1[[#This Row],[Retail]]=1,IF(Level1[[#This Row],[Edible_Waste_Only?]]=1,'Cover Sheet'!$R$34,1),1)</f>
        <v>1</v>
      </c>
      <c r="AS134" s="68">
        <f>PRODUCT(Level1[[#This Row],[Household_Diary_Adjustment]:[Retail_Inedible_Adjustment]])</f>
        <v>1</v>
      </c>
      <c r="AT134" s="114">
        <f>Level1[[#This Row],[Preferred_estimate_kg/capita]]*Level1[[#This Row],[Total_Adjustment]]</f>
        <v>119.08611000000001</v>
      </c>
      <c r="AU134" s="186"/>
    </row>
    <row r="135" spans="1:47" x14ac:dyDescent="0.2">
      <c r="A135" s="115">
        <v>5</v>
      </c>
      <c r="B135" s="116" t="s">
        <v>544</v>
      </c>
      <c r="C135" s="116">
        <v>2012</v>
      </c>
      <c r="D135" s="117" t="s">
        <v>15</v>
      </c>
      <c r="E135" s="118" t="s">
        <v>94</v>
      </c>
      <c r="F135" s="116">
        <v>50</v>
      </c>
      <c r="G135" s="116" t="s">
        <v>149</v>
      </c>
      <c r="H135" s="116" t="s">
        <v>160</v>
      </c>
      <c r="I135" s="7" t="s">
        <v>162</v>
      </c>
      <c r="J135" s="7" t="s">
        <v>166</v>
      </c>
      <c r="K135" s="116" t="s">
        <v>167</v>
      </c>
      <c r="L135" s="105">
        <v>163.0462</v>
      </c>
      <c r="M135" s="118">
        <v>1</v>
      </c>
      <c r="N135" s="116"/>
      <c r="O135" s="119"/>
      <c r="P135" s="118" t="s">
        <v>225</v>
      </c>
      <c r="Q135" s="116">
        <v>2</v>
      </c>
      <c r="R135" s="116" t="s">
        <v>239</v>
      </c>
      <c r="S135" s="120"/>
      <c r="T135" s="120"/>
      <c r="U135" s="125">
        <v>2010</v>
      </c>
      <c r="V135" s="122">
        <v>0.72</v>
      </c>
      <c r="W135" s="116" t="s">
        <v>361</v>
      </c>
      <c r="X135" s="131"/>
      <c r="Y135" s="134"/>
      <c r="Z135" s="123"/>
      <c r="AA135" s="7"/>
      <c r="AB135" s="109" t="s">
        <v>374</v>
      </c>
      <c r="AC135" s="109" t="s">
        <v>374</v>
      </c>
      <c r="AD135" s="124" t="s">
        <v>374</v>
      </c>
      <c r="AE135" s="111">
        <v>0</v>
      </c>
      <c r="AF135" s="110">
        <v>0</v>
      </c>
      <c r="AG135" s="110">
        <v>0</v>
      </c>
      <c r="AH135" s="112">
        <v>0</v>
      </c>
      <c r="AI135" s="113">
        <f>0.28*Level1[[#This Row],[FW_Share_estimate]]</f>
        <v>0.2016</v>
      </c>
      <c r="AJ135" s="116" t="s">
        <v>375</v>
      </c>
      <c r="AK135" s="68">
        <v>0.2016</v>
      </c>
      <c r="AL135" s="68">
        <v>73.634399999999999</v>
      </c>
      <c r="AM135" s="112">
        <v>73.634399999999999</v>
      </c>
      <c r="AN135" s="111">
        <f>IF(Level1[[#This Row],[Standardised_Normalised_Mass_kg/capita/year]]&lt;&gt;"",Level1[[#This Row],[Standardised_Normalised_Mass_kg/capita/year]],Level1[[#This Row],[Derived_Normalised_kg/capita/year]])</f>
        <v>73.634399999999999</v>
      </c>
      <c r="AO135" s="68">
        <f>IF(Level1[[#This Row],[Household]]=1,IF(Level1[[#This Row],[Household_Diary?]]=1,'Cover Sheet'!$R$31,1),1)</f>
        <v>1</v>
      </c>
      <c r="AP135" s="68">
        <f>IF(Level1[[#This Row],[Household]]=1,IF(Level1[[#This Row],[Edible_Waste_Only?]]=1,'Cover Sheet'!$R$32,1),1)</f>
        <v>1</v>
      </c>
      <c r="AQ135" s="68">
        <f>IF(Level1[[#This Row],[Food_Service]]=1,IF(Level1[[#This Row],[Edible_Waste_Only?]]=1,'Cover Sheet'!$R$33,1),1)</f>
        <v>1</v>
      </c>
      <c r="AR135" s="68">
        <f>IF(Level1[[#This Row],[Retail]]=1,IF(Level1[[#This Row],[Edible_Waste_Only?]]=1,'Cover Sheet'!$R$34,1),1)</f>
        <v>1</v>
      </c>
      <c r="AS135" s="68">
        <f>PRODUCT(Level1[[#This Row],[Household_Diary_Adjustment]:[Retail_Inedible_Adjustment]])</f>
        <v>1</v>
      </c>
      <c r="AT135" s="114">
        <f>Level1[[#This Row],[Preferred_estimate_kg/capita]]*Level1[[#This Row],[Total_Adjustment]]</f>
        <v>73.634399999999999</v>
      </c>
      <c r="AU135" s="186"/>
    </row>
    <row r="136" spans="1:47" x14ac:dyDescent="0.2">
      <c r="A136" s="115">
        <v>39</v>
      </c>
      <c r="B136" s="116" t="s">
        <v>610</v>
      </c>
      <c r="C136" s="116">
        <v>2012</v>
      </c>
      <c r="D136" s="117" t="s">
        <v>48</v>
      </c>
      <c r="E136" s="118" t="s">
        <v>113</v>
      </c>
      <c r="F136" s="116">
        <v>368</v>
      </c>
      <c r="G136" s="116" t="s">
        <v>148</v>
      </c>
      <c r="H136" s="116" t="s">
        <v>160</v>
      </c>
      <c r="I136" s="7" t="s">
        <v>163</v>
      </c>
      <c r="J136" s="7" t="s">
        <v>166</v>
      </c>
      <c r="K136" s="116" t="s">
        <v>189</v>
      </c>
      <c r="L136" s="105">
        <v>39.309800000000003</v>
      </c>
      <c r="M136" s="118">
        <v>1</v>
      </c>
      <c r="N136" s="116"/>
      <c r="O136" s="119"/>
      <c r="P136" s="118" t="s">
        <v>227</v>
      </c>
      <c r="Q136" s="116">
        <v>2</v>
      </c>
      <c r="R136" s="116" t="s">
        <v>290</v>
      </c>
      <c r="S136" s="120">
        <v>1</v>
      </c>
      <c r="T136" s="120"/>
      <c r="U136" s="125">
        <v>2012</v>
      </c>
      <c r="V136" s="122">
        <v>0.28189999999999998</v>
      </c>
      <c r="W136" s="116" t="s">
        <v>363</v>
      </c>
      <c r="X136" s="131"/>
      <c r="Y136" s="127"/>
      <c r="Z136" s="123"/>
      <c r="AA136" s="7"/>
      <c r="AB136" s="109" t="s">
        <v>374</v>
      </c>
      <c r="AC136" s="109" t="s">
        <v>374</v>
      </c>
      <c r="AD136" s="124" t="s">
        <v>374</v>
      </c>
      <c r="AE136" s="111">
        <v>0</v>
      </c>
      <c r="AF136" s="110">
        <v>0</v>
      </c>
      <c r="AG136" s="110">
        <v>0</v>
      </c>
      <c r="AH136" s="112">
        <v>0</v>
      </c>
      <c r="AI136" s="113">
        <f>5239.6/5.2</f>
        <v>1007.6153846153846</v>
      </c>
      <c r="AJ136" s="116" t="s">
        <v>381</v>
      </c>
      <c r="AK136" s="68">
        <v>1.0076153846153846</v>
      </c>
      <c r="AL136" s="68">
        <v>52.396000000000001</v>
      </c>
      <c r="AM136" s="112">
        <v>52.396000000000001</v>
      </c>
      <c r="AN136" s="111">
        <f>IF(Level1[[#This Row],[Standardised_Normalised_Mass_kg/capita/year]]&lt;&gt;"",Level1[[#This Row],[Standardised_Normalised_Mass_kg/capita/year]],Level1[[#This Row],[Derived_Normalised_kg/capita/year]])</f>
        <v>52.396000000000001</v>
      </c>
      <c r="AO136" s="68">
        <f>IF(Level1[[#This Row],[Household]]=1,IF(Level1[[#This Row],[Household_Diary?]]=1,'Cover Sheet'!$R$31,1),1)</f>
        <v>1.4326647564469914</v>
      </c>
      <c r="AP136" s="68">
        <f>IF(Level1[[#This Row],[Household]]=1,IF(Level1[[#This Row],[Edible_Waste_Only?]]=1,'Cover Sheet'!$R$32,1),1)</f>
        <v>1</v>
      </c>
      <c r="AQ136" s="68">
        <f>IF(Level1[[#This Row],[Food_Service]]=1,IF(Level1[[#This Row],[Edible_Waste_Only?]]=1,'Cover Sheet'!$R$33,1),1)</f>
        <v>1</v>
      </c>
      <c r="AR136" s="68">
        <f>IF(Level1[[#This Row],[Retail]]=1,IF(Level1[[#This Row],[Edible_Waste_Only?]]=1,'Cover Sheet'!$R$34,1),1)</f>
        <v>1</v>
      </c>
      <c r="AS136" s="68">
        <f>PRODUCT(Level1[[#This Row],[Household_Diary_Adjustment]:[Retail_Inedible_Adjustment]])</f>
        <v>1.4326647564469914</v>
      </c>
      <c r="AT136" s="114">
        <f>Level1[[#This Row],[Preferred_estimate_kg/capita]]*Level1[[#This Row],[Total_Adjustment]]</f>
        <v>75.065902578796567</v>
      </c>
      <c r="AU136" s="186"/>
    </row>
    <row r="137" spans="1:47" x14ac:dyDescent="0.2">
      <c r="A137" s="115">
        <v>54</v>
      </c>
      <c r="B137" s="116" t="s">
        <v>636</v>
      </c>
      <c r="C137" s="116">
        <v>2012</v>
      </c>
      <c r="D137" s="117" t="s">
        <v>63</v>
      </c>
      <c r="E137" s="118" t="s">
        <v>121</v>
      </c>
      <c r="F137" s="116">
        <v>458</v>
      </c>
      <c r="G137" s="116" t="s">
        <v>157</v>
      </c>
      <c r="H137" s="116" t="s">
        <v>160</v>
      </c>
      <c r="I137" s="7" t="s">
        <v>163</v>
      </c>
      <c r="J137" s="7" t="s">
        <v>166</v>
      </c>
      <c r="K137" s="116" t="s">
        <v>197</v>
      </c>
      <c r="L137" s="105">
        <v>31.9498</v>
      </c>
      <c r="M137" s="118">
        <v>1</v>
      </c>
      <c r="N137" s="116"/>
      <c r="O137" s="119"/>
      <c r="P137" s="118" t="s">
        <v>225</v>
      </c>
      <c r="Q137" s="116">
        <v>2</v>
      </c>
      <c r="R137" s="116" t="s">
        <v>313</v>
      </c>
      <c r="S137" s="120"/>
      <c r="T137" s="120"/>
      <c r="U137" s="125">
        <v>2010</v>
      </c>
      <c r="V137" s="122">
        <v>0.42859999999999998</v>
      </c>
      <c r="W137" s="116" t="s">
        <v>361</v>
      </c>
      <c r="X137" s="131" t="s">
        <v>384</v>
      </c>
      <c r="Y137" s="127" t="s">
        <v>485</v>
      </c>
      <c r="Z137" s="123"/>
      <c r="AA137" s="7"/>
      <c r="AB137" s="109" t="s">
        <v>374</v>
      </c>
      <c r="AC137" s="109" t="s">
        <v>374</v>
      </c>
      <c r="AD137" s="124" t="s">
        <v>374</v>
      </c>
      <c r="AE137" s="111">
        <v>0</v>
      </c>
      <c r="AF137" s="110">
        <v>0</v>
      </c>
      <c r="AG137" s="110">
        <v>0</v>
      </c>
      <c r="AH137" s="112">
        <v>0</v>
      </c>
      <c r="AI137" s="113">
        <v>195.34</v>
      </c>
      <c r="AJ137" s="116" t="s">
        <v>378</v>
      </c>
      <c r="AK137" s="68">
        <v>0.19534000000000001</v>
      </c>
      <c r="AL137" s="68">
        <v>71.347935000000007</v>
      </c>
      <c r="AM137" s="112">
        <v>71.347935000000007</v>
      </c>
      <c r="AN137" s="111">
        <f>IF(Level1[[#This Row],[Standardised_Normalised_Mass_kg/capita/year]]&lt;&gt;"",Level1[[#This Row],[Standardised_Normalised_Mass_kg/capita/year]],Level1[[#This Row],[Derived_Normalised_kg/capita/year]])</f>
        <v>71.347935000000007</v>
      </c>
      <c r="AO137" s="68">
        <f>IF(Level1[[#This Row],[Household]]=1,IF(Level1[[#This Row],[Household_Diary?]]=1,'Cover Sheet'!$R$31,1),1)</f>
        <v>1</v>
      </c>
      <c r="AP137" s="68">
        <f>IF(Level1[[#This Row],[Household]]=1,IF(Level1[[#This Row],[Edible_Waste_Only?]]=1,'Cover Sheet'!$R$32,1),1)</f>
        <v>1</v>
      </c>
      <c r="AQ137" s="68">
        <f>IF(Level1[[#This Row],[Food_Service]]=1,IF(Level1[[#This Row],[Edible_Waste_Only?]]=1,'Cover Sheet'!$R$33,1),1)</f>
        <v>1</v>
      </c>
      <c r="AR137" s="68">
        <f>IF(Level1[[#This Row],[Retail]]=1,IF(Level1[[#This Row],[Edible_Waste_Only?]]=1,'Cover Sheet'!$R$34,1),1)</f>
        <v>1</v>
      </c>
      <c r="AS137" s="68">
        <f>PRODUCT(Level1[[#This Row],[Household_Diary_Adjustment]:[Retail_Inedible_Adjustment]])</f>
        <v>1</v>
      </c>
      <c r="AT137" s="114">
        <f>Level1[[#This Row],[Preferred_estimate_kg/capita]]*Level1[[#This Row],[Total_Adjustment]]</f>
        <v>71.347935000000007</v>
      </c>
      <c r="AU137" s="186"/>
    </row>
    <row r="138" spans="1:47" x14ac:dyDescent="0.2">
      <c r="A138" s="102">
        <v>72</v>
      </c>
      <c r="B138" s="116" t="s">
        <v>664</v>
      </c>
      <c r="C138" s="7">
        <v>2012</v>
      </c>
      <c r="D138" s="103" t="s">
        <v>77</v>
      </c>
      <c r="E138" s="104" t="s">
        <v>135</v>
      </c>
      <c r="F138" s="7">
        <v>710</v>
      </c>
      <c r="G138" s="7" t="s">
        <v>154</v>
      </c>
      <c r="H138" s="7" t="s">
        <v>160</v>
      </c>
      <c r="I138" s="7" t="s">
        <v>163</v>
      </c>
      <c r="J138" s="7" t="s">
        <v>165</v>
      </c>
      <c r="K138" s="7"/>
      <c r="L138" s="105">
        <v>58.558300000000003</v>
      </c>
      <c r="M138" s="104">
        <v>1</v>
      </c>
      <c r="N138" s="7"/>
      <c r="O138" s="105"/>
      <c r="P138" s="104" t="s">
        <v>224</v>
      </c>
      <c r="Q138" s="7">
        <v>2</v>
      </c>
      <c r="R138" s="7" t="s">
        <v>335</v>
      </c>
      <c r="S138" s="8"/>
      <c r="T138" s="8"/>
      <c r="U138" s="128">
        <v>2010</v>
      </c>
      <c r="V138" s="107">
        <v>0.14949999999999999</v>
      </c>
      <c r="W138" s="7" t="s">
        <v>362</v>
      </c>
      <c r="X138" s="107"/>
      <c r="Y138" s="105"/>
      <c r="Z138" s="108">
        <v>1.4</v>
      </c>
      <c r="AA138" s="7" t="s">
        <v>367</v>
      </c>
      <c r="AB138" s="109">
        <v>1.4</v>
      </c>
      <c r="AC138" s="109">
        <v>1400000</v>
      </c>
      <c r="AD138" s="110">
        <v>1400000</v>
      </c>
      <c r="AE138" s="111">
        <v>1</v>
      </c>
      <c r="AF138" s="110">
        <v>51217000</v>
      </c>
      <c r="AG138" s="110">
        <v>0</v>
      </c>
      <c r="AH138" s="112">
        <v>27.334674034012146</v>
      </c>
      <c r="AI138" s="113"/>
      <c r="AJ138" s="138"/>
      <c r="AK138" s="68" t="s">
        <v>374</v>
      </c>
      <c r="AL138" s="68" t="s">
        <v>374</v>
      </c>
      <c r="AM138" s="112" t="s">
        <v>374</v>
      </c>
      <c r="AN138" s="111">
        <f>IF(Level1[[#This Row],[Standardised_Normalised_Mass_kg/capita/year]]&lt;&gt;"",Level1[[#This Row],[Standardised_Normalised_Mass_kg/capita/year]],Level1[[#This Row],[Derived_Normalised_kg/capita/year]])</f>
        <v>27.334674034012146</v>
      </c>
      <c r="AO138" s="68">
        <f>IF(Level1[[#This Row],[Household]]=1,IF(Level1[[#This Row],[Household_Diary?]]=1,'Cover Sheet'!$R$31,1),1)</f>
        <v>1</v>
      </c>
      <c r="AP138" s="68">
        <f>IF(Level1[[#This Row],[Household]]=1,IF(Level1[[#This Row],[Edible_Waste_Only?]]=1,'Cover Sheet'!$R$32,1),1)</f>
        <v>1</v>
      </c>
      <c r="AQ138" s="68">
        <f>IF(Level1[[#This Row],[Food_Service]]=1,IF(Level1[[#This Row],[Edible_Waste_Only?]]=1,'Cover Sheet'!$R$33,1),1)</f>
        <v>1</v>
      </c>
      <c r="AR138" s="68">
        <f>IF(Level1[[#This Row],[Retail]]=1,IF(Level1[[#This Row],[Edible_Waste_Only?]]=1,'Cover Sheet'!$R$34,1),1)</f>
        <v>1</v>
      </c>
      <c r="AS138" s="68">
        <f>PRODUCT(Level1[[#This Row],[Household_Diary_Adjustment]:[Retail_Inedible_Adjustment]])</f>
        <v>1</v>
      </c>
      <c r="AT138" s="114">
        <f>Level1[[#This Row],[Preferred_estimate_kg/capita]]*Level1[[#This Row],[Total_Adjustment]]</f>
        <v>27.334674034012146</v>
      </c>
      <c r="AU138" s="186"/>
    </row>
    <row r="139" spans="1:47" x14ac:dyDescent="0.2">
      <c r="A139" s="169">
        <v>84</v>
      </c>
      <c r="B139" s="116" t="s">
        <v>684</v>
      </c>
      <c r="C139" s="31">
        <v>2012</v>
      </c>
      <c r="D139" s="172" t="s">
        <v>88</v>
      </c>
      <c r="E139" s="174" t="s">
        <v>144</v>
      </c>
      <c r="F139" s="31">
        <v>894</v>
      </c>
      <c r="G139" s="31" t="s">
        <v>154</v>
      </c>
      <c r="H139" s="31" t="s">
        <v>160</v>
      </c>
      <c r="I139" s="31" t="s">
        <v>162</v>
      </c>
      <c r="J139" s="31" t="s">
        <v>166</v>
      </c>
      <c r="K139" s="31" t="s">
        <v>219</v>
      </c>
      <c r="L139" s="177">
        <v>17.861000000000001</v>
      </c>
      <c r="M139" s="174">
        <v>1</v>
      </c>
      <c r="N139" s="31"/>
      <c r="O139" s="177"/>
      <c r="P139" s="174" t="s">
        <v>225</v>
      </c>
      <c r="Q139" s="31">
        <v>2</v>
      </c>
      <c r="R139" s="31" t="s">
        <v>356</v>
      </c>
      <c r="S139" s="180"/>
      <c r="T139" s="180"/>
      <c r="U139" s="182"/>
      <c r="V139" s="36">
        <f>AVERAGE(50,45,25)%</f>
        <v>0.4</v>
      </c>
      <c r="W139" s="31" t="s">
        <v>361</v>
      </c>
      <c r="X139" s="38"/>
      <c r="Y139" s="39"/>
      <c r="Z139" s="37"/>
      <c r="AA139" s="31"/>
      <c r="AB139" s="109" t="s">
        <v>374</v>
      </c>
      <c r="AC139" s="109" t="s">
        <v>374</v>
      </c>
      <c r="AD139" s="33" t="s">
        <v>374</v>
      </c>
      <c r="AE139" s="32">
        <v>0</v>
      </c>
      <c r="AF139" s="33">
        <v>0</v>
      </c>
      <c r="AG139" s="33">
        <v>0</v>
      </c>
      <c r="AH139" s="34">
        <v>0</v>
      </c>
      <c r="AI139" s="35">
        <f>AVERAGE(0.3,0.23,0.11)</f>
        <v>0.21333333333333335</v>
      </c>
      <c r="AJ139" s="31" t="s">
        <v>375</v>
      </c>
      <c r="AK139" s="68">
        <v>0.21333333333333335</v>
      </c>
      <c r="AL139" s="68">
        <v>77.92</v>
      </c>
      <c r="AM139" s="34">
        <v>77.92</v>
      </c>
      <c r="AN139" s="32">
        <f>IF(Level1[[#This Row],[Standardised_Normalised_Mass_kg/capita/year]]&lt;&gt;"",Level1[[#This Row],[Standardised_Normalised_Mass_kg/capita/year]],Level1[[#This Row],[Derived_Normalised_kg/capita/year]])</f>
        <v>77.92</v>
      </c>
      <c r="AO139" s="68">
        <f>IF(Level1[[#This Row],[Household]]=1,IF(Level1[[#This Row],[Household_Diary?]]=1,'Cover Sheet'!$R$31,1),1)</f>
        <v>1</v>
      </c>
      <c r="AP139" s="68">
        <f>IF(Level1[[#This Row],[Household]]=1,IF(Level1[[#This Row],[Edible_Waste_Only?]]=1,'Cover Sheet'!$R$32,1),1)</f>
        <v>1</v>
      </c>
      <c r="AQ139" s="68">
        <f>IF(Level1[[#This Row],[Food_Service]]=1,IF(Level1[[#This Row],[Edible_Waste_Only?]]=1,'Cover Sheet'!$R$33,1),1)</f>
        <v>1</v>
      </c>
      <c r="AR139" s="68">
        <f>IF(Level1[[#This Row],[Retail]]=1,IF(Level1[[#This Row],[Edible_Waste_Only?]]=1,'Cover Sheet'!$R$34,1),1)</f>
        <v>1</v>
      </c>
      <c r="AS139" s="68">
        <f>PRODUCT(Level1[[#This Row],[Household_Diary_Adjustment]:[Retail_Inedible_Adjustment]])</f>
        <v>1</v>
      </c>
      <c r="AT139" s="184">
        <f>Level1[[#This Row],[Preferred_estimate_kg/capita]]*Level1[[#This Row],[Total_Adjustment]]</f>
        <v>77.92</v>
      </c>
      <c r="AU139" s="186"/>
    </row>
    <row r="140" spans="1:47" x14ac:dyDescent="0.2">
      <c r="A140" s="115">
        <v>9</v>
      </c>
      <c r="B140" s="116" t="s">
        <v>1</v>
      </c>
      <c r="C140" s="116">
        <v>2011</v>
      </c>
      <c r="D140" s="117" t="s">
        <v>19</v>
      </c>
      <c r="E140" s="118" t="s">
        <v>96</v>
      </c>
      <c r="F140" s="116">
        <v>84</v>
      </c>
      <c r="G140" s="116" t="s">
        <v>150</v>
      </c>
      <c r="H140" s="116" t="s">
        <v>160</v>
      </c>
      <c r="I140" s="7" t="s">
        <v>163</v>
      </c>
      <c r="J140" s="7" t="s">
        <v>166</v>
      </c>
      <c r="K140" s="116" t="s">
        <v>170</v>
      </c>
      <c r="L140" s="105">
        <v>0.39040000000000002</v>
      </c>
      <c r="M140" s="118">
        <v>1</v>
      </c>
      <c r="N140" s="116"/>
      <c r="O140" s="119"/>
      <c r="P140" s="118" t="s">
        <v>225</v>
      </c>
      <c r="Q140" s="116">
        <v>2</v>
      </c>
      <c r="R140" s="116" t="s">
        <v>245</v>
      </c>
      <c r="S140" s="120"/>
      <c r="T140" s="120"/>
      <c r="U140" s="125"/>
      <c r="V140" s="122">
        <f>(481.59/980.83)</f>
        <v>0.4910025182753382</v>
      </c>
      <c r="W140" s="116" t="s">
        <v>361</v>
      </c>
      <c r="X140" s="131"/>
      <c r="Y140" s="127"/>
      <c r="Z140" s="123"/>
      <c r="AA140" s="7"/>
      <c r="AB140" s="109" t="s">
        <v>374</v>
      </c>
      <c r="AC140" s="109" t="s">
        <v>374</v>
      </c>
      <c r="AD140" s="124" t="s">
        <v>374</v>
      </c>
      <c r="AE140" s="111">
        <v>0</v>
      </c>
      <c r="AF140" s="110">
        <v>0</v>
      </c>
      <c r="AG140" s="110">
        <v>0</v>
      </c>
      <c r="AH140" s="112">
        <v>0</v>
      </c>
      <c r="AI140" s="113">
        <f>0.53*Level1[[#This Row],[FW_Share_estimate]]</f>
        <v>0.26023133468592924</v>
      </c>
      <c r="AJ140" s="116" t="s">
        <v>375</v>
      </c>
      <c r="AK140" s="68">
        <v>0.26023133468592924</v>
      </c>
      <c r="AL140" s="68">
        <v>95.049494994035655</v>
      </c>
      <c r="AM140" s="112">
        <v>95.049494994035655</v>
      </c>
      <c r="AN140" s="111">
        <f>IF(Level1[[#This Row],[Standardised_Normalised_Mass_kg/capita/year]]&lt;&gt;"",Level1[[#This Row],[Standardised_Normalised_Mass_kg/capita/year]],Level1[[#This Row],[Derived_Normalised_kg/capita/year]])</f>
        <v>95.049494994035655</v>
      </c>
      <c r="AO140" s="68">
        <f>IF(Level1[[#This Row],[Household]]=1,IF(Level1[[#This Row],[Household_Diary?]]=1,'Cover Sheet'!$R$31,1),1)</f>
        <v>1</v>
      </c>
      <c r="AP140" s="68">
        <f>IF(Level1[[#This Row],[Household]]=1,IF(Level1[[#This Row],[Edible_Waste_Only?]]=1,'Cover Sheet'!$R$32,1),1)</f>
        <v>1</v>
      </c>
      <c r="AQ140" s="68">
        <f>IF(Level1[[#This Row],[Food_Service]]=1,IF(Level1[[#This Row],[Edible_Waste_Only?]]=1,'Cover Sheet'!$R$33,1),1)</f>
        <v>1</v>
      </c>
      <c r="AR140" s="68">
        <f>IF(Level1[[#This Row],[Retail]]=1,IF(Level1[[#This Row],[Edible_Waste_Only?]]=1,'Cover Sheet'!$R$34,1),1)</f>
        <v>1</v>
      </c>
      <c r="AS140" s="68">
        <f>PRODUCT(Level1[[#This Row],[Household_Diary_Adjustment]:[Retail_Inedible_Adjustment]])</f>
        <v>1</v>
      </c>
      <c r="AT140" s="114">
        <f>Level1[[#This Row],[Preferred_estimate_kg/capita]]*Level1[[#This Row],[Total_Adjustment]]</f>
        <v>95.049494994035655</v>
      </c>
      <c r="AU140" s="186"/>
    </row>
    <row r="141" spans="1:47" x14ac:dyDescent="0.2">
      <c r="A141" s="102">
        <v>9</v>
      </c>
      <c r="B141" s="116" t="s">
        <v>1</v>
      </c>
      <c r="C141" s="7">
        <v>2011</v>
      </c>
      <c r="D141" s="103" t="s">
        <v>19</v>
      </c>
      <c r="E141" s="104" t="s">
        <v>96</v>
      </c>
      <c r="F141" s="7">
        <v>84</v>
      </c>
      <c r="G141" s="7" t="s">
        <v>150</v>
      </c>
      <c r="H141" s="7" t="s">
        <v>160</v>
      </c>
      <c r="I141" s="7" t="s">
        <v>163</v>
      </c>
      <c r="J141" s="7" t="s">
        <v>166</v>
      </c>
      <c r="K141" s="7" t="s">
        <v>171</v>
      </c>
      <c r="L141" s="105">
        <v>0.39040000000000002</v>
      </c>
      <c r="M141" s="104">
        <v>1</v>
      </c>
      <c r="N141" s="7"/>
      <c r="O141" s="105"/>
      <c r="P141" s="104" t="s">
        <v>225</v>
      </c>
      <c r="Q141" s="7">
        <v>2</v>
      </c>
      <c r="R141" s="7" t="s">
        <v>246</v>
      </c>
      <c r="S141" s="8"/>
      <c r="T141" s="8"/>
      <c r="U141" s="128"/>
      <c r="V141" s="107">
        <f>171.65/790.12</f>
        <v>0.21724548169898245</v>
      </c>
      <c r="W141" s="7" t="s">
        <v>361</v>
      </c>
      <c r="X141" s="129"/>
      <c r="Y141" s="130"/>
      <c r="Z141" s="108"/>
      <c r="AA141" s="7"/>
      <c r="AB141" s="109" t="s">
        <v>374</v>
      </c>
      <c r="AC141" s="109" t="s">
        <v>374</v>
      </c>
      <c r="AD141" s="110" t="s">
        <v>374</v>
      </c>
      <c r="AE141" s="111">
        <v>0</v>
      </c>
      <c r="AF141" s="110">
        <v>0</v>
      </c>
      <c r="AG141" s="110">
        <v>0</v>
      </c>
      <c r="AH141" s="112">
        <v>0</v>
      </c>
      <c r="AI141" s="113">
        <f>0.57*Level1[[#This Row],[FW_Share_estimate]]</f>
        <v>0.12382992456841999</v>
      </c>
      <c r="AJ141" s="7" t="s">
        <v>375</v>
      </c>
      <c r="AK141" s="68">
        <v>0.12382992456841999</v>
      </c>
      <c r="AL141" s="68">
        <v>45.228879948615401</v>
      </c>
      <c r="AM141" s="112">
        <v>45.228879948615401</v>
      </c>
      <c r="AN141" s="111">
        <f>IF(Level1[[#This Row],[Standardised_Normalised_Mass_kg/capita/year]]&lt;&gt;"",Level1[[#This Row],[Standardised_Normalised_Mass_kg/capita/year]],Level1[[#This Row],[Derived_Normalised_kg/capita/year]])</f>
        <v>45.228879948615401</v>
      </c>
      <c r="AO141" s="68">
        <f>IF(Level1[[#This Row],[Household]]=1,IF(Level1[[#This Row],[Household_Diary?]]=1,'Cover Sheet'!$R$31,1),1)</f>
        <v>1</v>
      </c>
      <c r="AP141" s="68">
        <f>IF(Level1[[#This Row],[Household]]=1,IF(Level1[[#This Row],[Edible_Waste_Only?]]=1,'Cover Sheet'!$R$32,1),1)</f>
        <v>1</v>
      </c>
      <c r="AQ141" s="68">
        <f>IF(Level1[[#This Row],[Food_Service]]=1,IF(Level1[[#This Row],[Edible_Waste_Only?]]=1,'Cover Sheet'!$R$33,1),1)</f>
        <v>1</v>
      </c>
      <c r="AR141" s="68">
        <f>IF(Level1[[#This Row],[Retail]]=1,IF(Level1[[#This Row],[Edible_Waste_Only?]]=1,'Cover Sheet'!$R$34,1),1)</f>
        <v>1</v>
      </c>
      <c r="AS141" s="68">
        <f>PRODUCT(Level1[[#This Row],[Household_Diary_Adjustment]:[Retail_Inedible_Adjustment]])</f>
        <v>1</v>
      </c>
      <c r="AT141" s="114">
        <f>Level1[[#This Row],[Preferred_estimate_kg/capita]]*Level1[[#This Row],[Total_Adjustment]]</f>
        <v>45.228879948615401</v>
      </c>
      <c r="AU141" s="186"/>
    </row>
    <row r="142" spans="1:47" x14ac:dyDescent="0.2">
      <c r="A142" s="115">
        <v>9</v>
      </c>
      <c r="B142" s="116" t="s">
        <v>1</v>
      </c>
      <c r="C142" s="116">
        <v>2011</v>
      </c>
      <c r="D142" s="117" t="s">
        <v>19</v>
      </c>
      <c r="E142" s="118" t="s">
        <v>96</v>
      </c>
      <c r="F142" s="116">
        <v>84</v>
      </c>
      <c r="G142" s="116" t="s">
        <v>150</v>
      </c>
      <c r="H142" s="116" t="s">
        <v>160</v>
      </c>
      <c r="I142" s="7" t="s">
        <v>163</v>
      </c>
      <c r="J142" s="7" t="s">
        <v>166</v>
      </c>
      <c r="K142" s="116" t="s">
        <v>172</v>
      </c>
      <c r="L142" s="105">
        <v>0.39040000000000002</v>
      </c>
      <c r="M142" s="118">
        <v>1</v>
      </c>
      <c r="N142" s="116"/>
      <c r="O142" s="119"/>
      <c r="P142" s="118" t="s">
        <v>225</v>
      </c>
      <c r="Q142" s="116">
        <v>2</v>
      </c>
      <c r="R142" s="116" t="s">
        <v>247</v>
      </c>
      <c r="S142" s="120"/>
      <c r="T142" s="120"/>
      <c r="U142" s="125"/>
      <c r="V142" s="122">
        <f>194.82/845.14</f>
        <v>0.23051802068296376</v>
      </c>
      <c r="W142" s="116" t="s">
        <v>361</v>
      </c>
      <c r="X142" s="131"/>
      <c r="Y142" s="127"/>
      <c r="Z142" s="123"/>
      <c r="AA142" s="7"/>
      <c r="AB142" s="109" t="s">
        <v>374</v>
      </c>
      <c r="AC142" s="109" t="s">
        <v>374</v>
      </c>
      <c r="AD142" s="124" t="s">
        <v>374</v>
      </c>
      <c r="AE142" s="111">
        <v>0</v>
      </c>
      <c r="AF142" s="110">
        <v>0</v>
      </c>
      <c r="AG142" s="110">
        <v>0</v>
      </c>
      <c r="AH142" s="112">
        <v>0</v>
      </c>
      <c r="AI142" s="113">
        <f>0.43*Level1[[#This Row],[FW_Share_estimate]]</f>
        <v>9.9122748893674409E-2</v>
      </c>
      <c r="AJ142" s="116" t="s">
        <v>375</v>
      </c>
      <c r="AK142" s="68">
        <v>9.9122748893674409E-2</v>
      </c>
      <c r="AL142" s="68">
        <v>36.204584033414577</v>
      </c>
      <c r="AM142" s="112">
        <v>36.204584033414577</v>
      </c>
      <c r="AN142" s="111">
        <f>IF(Level1[[#This Row],[Standardised_Normalised_Mass_kg/capita/year]]&lt;&gt;"",Level1[[#This Row],[Standardised_Normalised_Mass_kg/capita/year]],Level1[[#This Row],[Derived_Normalised_kg/capita/year]])</f>
        <v>36.204584033414577</v>
      </c>
      <c r="AO142" s="68">
        <f>IF(Level1[[#This Row],[Household]]=1,IF(Level1[[#This Row],[Household_Diary?]]=1,'Cover Sheet'!$R$31,1),1)</f>
        <v>1</v>
      </c>
      <c r="AP142" s="68">
        <f>IF(Level1[[#This Row],[Household]]=1,IF(Level1[[#This Row],[Edible_Waste_Only?]]=1,'Cover Sheet'!$R$32,1),1)</f>
        <v>1</v>
      </c>
      <c r="AQ142" s="68">
        <f>IF(Level1[[#This Row],[Food_Service]]=1,IF(Level1[[#This Row],[Edible_Waste_Only?]]=1,'Cover Sheet'!$R$33,1),1)</f>
        <v>1</v>
      </c>
      <c r="AR142" s="68">
        <f>IF(Level1[[#This Row],[Retail]]=1,IF(Level1[[#This Row],[Edible_Waste_Only?]]=1,'Cover Sheet'!$R$34,1),1)</f>
        <v>1</v>
      </c>
      <c r="AS142" s="68">
        <f>PRODUCT(Level1[[#This Row],[Household_Diary_Adjustment]:[Retail_Inedible_Adjustment]])</f>
        <v>1</v>
      </c>
      <c r="AT142" s="114">
        <f>Level1[[#This Row],[Preferred_estimate_kg/capita]]*Level1[[#This Row],[Total_Adjustment]]</f>
        <v>36.204584033414577</v>
      </c>
      <c r="AU142" s="186"/>
    </row>
    <row r="143" spans="1:47" x14ac:dyDescent="0.2">
      <c r="A143" s="102">
        <v>9</v>
      </c>
      <c r="B143" s="116" t="s">
        <v>1</v>
      </c>
      <c r="C143" s="7">
        <v>2011</v>
      </c>
      <c r="D143" s="103" t="s">
        <v>19</v>
      </c>
      <c r="E143" s="104" t="s">
        <v>96</v>
      </c>
      <c r="F143" s="7">
        <v>84</v>
      </c>
      <c r="G143" s="7" t="s">
        <v>150</v>
      </c>
      <c r="H143" s="7" t="s">
        <v>160</v>
      </c>
      <c r="I143" s="7" t="s">
        <v>163</v>
      </c>
      <c r="J143" s="7" t="s">
        <v>166</v>
      </c>
      <c r="K143" s="7" t="s">
        <v>173</v>
      </c>
      <c r="L143" s="105">
        <v>0.39040000000000002</v>
      </c>
      <c r="M143" s="104">
        <v>1</v>
      </c>
      <c r="N143" s="7"/>
      <c r="O143" s="105"/>
      <c r="P143" s="104" t="s">
        <v>225</v>
      </c>
      <c r="Q143" s="7">
        <v>2</v>
      </c>
      <c r="R143" s="7" t="s">
        <v>248</v>
      </c>
      <c r="S143" s="8"/>
      <c r="T143" s="8"/>
      <c r="U143" s="128"/>
      <c r="V143" s="107">
        <f>120.76/992.7</f>
        <v>0.12164803062355192</v>
      </c>
      <c r="W143" s="7" t="s">
        <v>361</v>
      </c>
      <c r="X143" s="129"/>
      <c r="Y143" s="130"/>
      <c r="Z143" s="108"/>
      <c r="AA143" s="7"/>
      <c r="AB143" s="109" t="s">
        <v>374</v>
      </c>
      <c r="AC143" s="109" t="s">
        <v>374</v>
      </c>
      <c r="AD143" s="110" t="s">
        <v>374</v>
      </c>
      <c r="AE143" s="111">
        <v>0</v>
      </c>
      <c r="AF143" s="110">
        <v>0</v>
      </c>
      <c r="AG143" s="110">
        <v>0</v>
      </c>
      <c r="AH143" s="112">
        <v>0</v>
      </c>
      <c r="AI143" s="113">
        <f>0.77*Level1[[#This Row],[FW_Share_estimate]]</f>
        <v>9.3668983580134979E-2</v>
      </c>
      <c r="AJ143" s="7" t="s">
        <v>375</v>
      </c>
      <c r="AK143" s="68">
        <v>9.3668983580134979E-2</v>
      </c>
      <c r="AL143" s="68">
        <v>34.212596252644303</v>
      </c>
      <c r="AM143" s="112">
        <v>34.212596252644303</v>
      </c>
      <c r="AN143" s="111">
        <f>IF(Level1[[#This Row],[Standardised_Normalised_Mass_kg/capita/year]]&lt;&gt;"",Level1[[#This Row],[Standardised_Normalised_Mass_kg/capita/year]],Level1[[#This Row],[Derived_Normalised_kg/capita/year]])</f>
        <v>34.212596252644303</v>
      </c>
      <c r="AO143" s="68">
        <f>IF(Level1[[#This Row],[Household]]=1,IF(Level1[[#This Row],[Household_Diary?]]=1,'Cover Sheet'!$R$31,1),1)</f>
        <v>1</v>
      </c>
      <c r="AP143" s="68">
        <f>IF(Level1[[#This Row],[Household]]=1,IF(Level1[[#This Row],[Edible_Waste_Only?]]=1,'Cover Sheet'!$R$32,1),1)</f>
        <v>1</v>
      </c>
      <c r="AQ143" s="68">
        <f>IF(Level1[[#This Row],[Food_Service]]=1,IF(Level1[[#This Row],[Edible_Waste_Only?]]=1,'Cover Sheet'!$R$33,1),1)</f>
        <v>1</v>
      </c>
      <c r="AR143" s="68">
        <f>IF(Level1[[#This Row],[Retail]]=1,IF(Level1[[#This Row],[Edible_Waste_Only?]]=1,'Cover Sheet'!$R$34,1),1)</f>
        <v>1</v>
      </c>
      <c r="AS143" s="68">
        <f>PRODUCT(Level1[[#This Row],[Household_Diary_Adjustment]:[Retail_Inedible_Adjustment]])</f>
        <v>1</v>
      </c>
      <c r="AT143" s="114">
        <f>Level1[[#This Row],[Preferred_estimate_kg/capita]]*Level1[[#This Row],[Total_Adjustment]]</f>
        <v>34.212596252644303</v>
      </c>
      <c r="AU143" s="186"/>
    </row>
    <row r="144" spans="1:47" x14ac:dyDescent="0.2">
      <c r="A144" s="102">
        <v>29</v>
      </c>
      <c r="B144" s="116" t="s">
        <v>590</v>
      </c>
      <c r="C144" s="7">
        <v>2010</v>
      </c>
      <c r="D144" s="103" t="s">
        <v>38</v>
      </c>
      <c r="E144" s="104" t="s">
        <v>105</v>
      </c>
      <c r="F144" s="7">
        <v>250</v>
      </c>
      <c r="G144" s="7" t="s">
        <v>147</v>
      </c>
      <c r="H144" s="7" t="s">
        <v>159</v>
      </c>
      <c r="I144" s="7" t="s">
        <v>161</v>
      </c>
      <c r="J144" s="7" t="s">
        <v>165</v>
      </c>
      <c r="K144" s="7"/>
      <c r="L144" s="105">
        <v>65.1297</v>
      </c>
      <c r="M144" s="104"/>
      <c r="N144" s="7">
        <v>1</v>
      </c>
      <c r="O144" s="105"/>
      <c r="P144" s="104" t="s">
        <v>224</v>
      </c>
      <c r="Q144" s="7">
        <v>2</v>
      </c>
      <c r="R144" s="7" t="s">
        <v>277</v>
      </c>
      <c r="S144" s="8"/>
      <c r="T144" s="8"/>
      <c r="U144" s="106">
        <v>2008</v>
      </c>
      <c r="V144" s="107"/>
      <c r="W144" s="7"/>
      <c r="X144" s="129"/>
      <c r="Y144" s="130"/>
      <c r="Z144" s="108">
        <v>1080000</v>
      </c>
      <c r="AA144" s="7" t="s">
        <v>365</v>
      </c>
      <c r="AB144" s="109">
        <v>1080000</v>
      </c>
      <c r="AC144" s="109">
        <v>1080000</v>
      </c>
      <c r="AD144" s="110">
        <v>1080000</v>
      </c>
      <c r="AE144" s="111">
        <v>1</v>
      </c>
      <c r="AF144" s="110">
        <v>62175740</v>
      </c>
      <c r="AG144" s="110">
        <v>0</v>
      </c>
      <c r="AH144" s="112">
        <v>17.370118956364653</v>
      </c>
      <c r="AI144" s="113"/>
      <c r="AJ144" s="7"/>
      <c r="AK144" s="68" t="s">
        <v>374</v>
      </c>
      <c r="AL144" s="68" t="s">
        <v>374</v>
      </c>
      <c r="AM144" s="112" t="s">
        <v>374</v>
      </c>
      <c r="AN144" s="111">
        <f>IF(Level1[[#This Row],[Standardised_Normalised_Mass_kg/capita/year]]&lt;&gt;"",Level1[[#This Row],[Standardised_Normalised_Mass_kg/capita/year]],Level1[[#This Row],[Derived_Normalised_kg/capita/year]])</f>
        <v>17.370118956364653</v>
      </c>
      <c r="AO144" s="68">
        <f>IF(Level1[[#This Row],[Household]]=1,IF(Level1[[#This Row],[Household_Diary?]]=1,'Cover Sheet'!$R$31,1),1)</f>
        <v>1</v>
      </c>
      <c r="AP144" s="68">
        <f>IF(Level1[[#This Row],[Household]]=1,IF(Level1[[#This Row],[Edible_Waste_Only?]]=1,'Cover Sheet'!$R$32,1),1)</f>
        <v>1</v>
      </c>
      <c r="AQ144" s="68">
        <f>IF(Level1[[#This Row],[Food_Service]]=1,IF(Level1[[#This Row],[Edible_Waste_Only?]]=1,'Cover Sheet'!$R$33,1),1)</f>
        <v>1</v>
      </c>
      <c r="AR144" s="68">
        <f>IF(Level1[[#This Row],[Retail]]=1,IF(Level1[[#This Row],[Edible_Waste_Only?]]=1,'Cover Sheet'!$R$34,1),1)</f>
        <v>1</v>
      </c>
      <c r="AS144" s="68">
        <f>PRODUCT(Level1[[#This Row],[Household_Diary_Adjustment]:[Retail_Inedible_Adjustment]])</f>
        <v>1</v>
      </c>
      <c r="AT144" s="114">
        <f>Level1[[#This Row],[Preferred_estimate_kg/capita]]*Level1[[#This Row],[Total_Adjustment]]</f>
        <v>17.370118956364653</v>
      </c>
      <c r="AU144" s="186"/>
    </row>
    <row r="145" spans="1:47" x14ac:dyDescent="0.2">
      <c r="A145" s="102">
        <v>42</v>
      </c>
      <c r="B145" s="116" t="s">
        <v>615</v>
      </c>
      <c r="C145" s="7">
        <v>2010</v>
      </c>
      <c r="D145" s="103" t="s">
        <v>51</v>
      </c>
      <c r="E145" s="104" t="s">
        <v>113</v>
      </c>
      <c r="F145" s="7">
        <v>368</v>
      </c>
      <c r="G145" s="7" t="s">
        <v>148</v>
      </c>
      <c r="H145" s="7" t="s">
        <v>160</v>
      </c>
      <c r="I145" s="7" t="s">
        <v>163</v>
      </c>
      <c r="J145" s="7" t="s">
        <v>166</v>
      </c>
      <c r="K145" s="7" t="s">
        <v>192</v>
      </c>
      <c r="L145" s="105">
        <v>39.309800000000003</v>
      </c>
      <c r="M145" s="104">
        <v>1</v>
      </c>
      <c r="N145" s="7"/>
      <c r="O145" s="105"/>
      <c r="P145" s="104" t="s">
        <v>225</v>
      </c>
      <c r="Q145" s="7">
        <v>2</v>
      </c>
      <c r="R145" s="7" t="s">
        <v>293</v>
      </c>
      <c r="S145" s="8"/>
      <c r="T145" s="8"/>
      <c r="U145" s="128">
        <v>2009</v>
      </c>
      <c r="V145" s="107">
        <v>0.70379999999999998</v>
      </c>
      <c r="W145" s="7" t="s">
        <v>362</v>
      </c>
      <c r="X145" s="129"/>
      <c r="Y145" s="130"/>
      <c r="Z145" s="108"/>
      <c r="AA145" s="7"/>
      <c r="AB145" s="109" t="s">
        <v>374</v>
      </c>
      <c r="AC145" s="109" t="s">
        <v>374</v>
      </c>
      <c r="AD145" s="110" t="s">
        <v>374</v>
      </c>
      <c r="AE145" s="111">
        <v>0</v>
      </c>
      <c r="AF145" s="110">
        <v>0</v>
      </c>
      <c r="AG145" s="110">
        <v>0</v>
      </c>
      <c r="AH145" s="112">
        <v>0</v>
      </c>
      <c r="AI145" s="113">
        <f>0.535*Level1[[#This Row],[FW_Share_estimate]]</f>
        <v>0.37653300000000001</v>
      </c>
      <c r="AJ145" s="7" t="s">
        <v>375</v>
      </c>
      <c r="AK145" s="68">
        <v>0.37653300000000001</v>
      </c>
      <c r="AL145" s="68">
        <v>137.52867825000001</v>
      </c>
      <c r="AM145" s="112">
        <v>137.52867825000001</v>
      </c>
      <c r="AN145" s="111">
        <f>IF(Level1[[#This Row],[Standardised_Normalised_Mass_kg/capita/year]]&lt;&gt;"",Level1[[#This Row],[Standardised_Normalised_Mass_kg/capita/year]],Level1[[#This Row],[Derived_Normalised_kg/capita/year]])</f>
        <v>137.52867825000001</v>
      </c>
      <c r="AO145" s="68">
        <f>IF(Level1[[#This Row],[Household]]=1,IF(Level1[[#This Row],[Household_Diary?]]=1,'Cover Sheet'!$R$31,1),1)</f>
        <v>1</v>
      </c>
      <c r="AP145" s="68">
        <f>IF(Level1[[#This Row],[Household]]=1,IF(Level1[[#This Row],[Edible_Waste_Only?]]=1,'Cover Sheet'!$R$32,1),1)</f>
        <v>1</v>
      </c>
      <c r="AQ145" s="68">
        <f>IF(Level1[[#This Row],[Food_Service]]=1,IF(Level1[[#This Row],[Edible_Waste_Only?]]=1,'Cover Sheet'!$R$33,1),1)</f>
        <v>1</v>
      </c>
      <c r="AR145" s="68">
        <f>IF(Level1[[#This Row],[Retail]]=1,IF(Level1[[#This Row],[Edible_Waste_Only?]]=1,'Cover Sheet'!$R$34,1),1)</f>
        <v>1</v>
      </c>
      <c r="AS145" s="68">
        <f>PRODUCT(Level1[[#This Row],[Household_Diary_Adjustment]:[Retail_Inedible_Adjustment]])</f>
        <v>1</v>
      </c>
      <c r="AT145" s="114">
        <f>Level1[[#This Row],[Preferred_estimate_kg/capita]]*Level1[[#This Row],[Total_Adjustment]]</f>
        <v>137.52867825000001</v>
      </c>
      <c r="AU145" s="186"/>
    </row>
    <row r="146" spans="1:47" x14ac:dyDescent="0.2">
      <c r="A146" s="102">
        <v>49</v>
      </c>
      <c r="B146" s="116" t="s">
        <v>548</v>
      </c>
      <c r="C146" s="7">
        <v>2010</v>
      </c>
      <c r="D146" s="103" t="s">
        <v>58</v>
      </c>
      <c r="E146" s="104" t="s">
        <v>118</v>
      </c>
      <c r="F146" s="7">
        <v>404</v>
      </c>
      <c r="G146" s="7" t="s">
        <v>154</v>
      </c>
      <c r="H146" s="7" t="s">
        <v>160</v>
      </c>
      <c r="I146" s="7" t="s">
        <v>162</v>
      </c>
      <c r="J146" s="7" t="s">
        <v>166</v>
      </c>
      <c r="K146" s="7" t="s">
        <v>195</v>
      </c>
      <c r="L146" s="105">
        <v>52.573999999999998</v>
      </c>
      <c r="M146" s="104"/>
      <c r="N146" s="7">
        <v>1</v>
      </c>
      <c r="O146" s="105"/>
      <c r="P146" s="104" t="s">
        <v>225</v>
      </c>
      <c r="Q146" s="7">
        <v>2</v>
      </c>
      <c r="R146" s="7" t="s">
        <v>305</v>
      </c>
      <c r="S146" s="8"/>
      <c r="T146" s="8"/>
      <c r="U146" s="128">
        <v>2009</v>
      </c>
      <c r="V146" s="148">
        <f>AVERAGE(88.88%,85.17%,71.48%)</f>
        <v>0.81843333333333323</v>
      </c>
      <c r="W146" s="7" t="s">
        <v>361</v>
      </c>
      <c r="X146" s="107"/>
      <c r="Y146" s="105"/>
      <c r="Z146" s="108">
        <f>SUM(60116*88.88%,SUM(49000,58600)*85.17%,SUM(68500,91104)*71.48%)</f>
        <v>259158.96</v>
      </c>
      <c r="AA146" s="7" t="s">
        <v>369</v>
      </c>
      <c r="AB146" s="109">
        <v>94657810.140000001</v>
      </c>
      <c r="AC146" s="109">
        <v>94657.810140000001</v>
      </c>
      <c r="AD146" s="110">
        <v>94657.810140000001</v>
      </c>
      <c r="AE146" s="111">
        <v>1</v>
      </c>
      <c r="AF146" s="110">
        <v>0</v>
      </c>
      <c r="AG146" s="110">
        <v>3040000</v>
      </c>
      <c r="AH146" s="112">
        <v>31.137437546052631</v>
      </c>
      <c r="AI146" s="113"/>
      <c r="AJ146" s="7"/>
      <c r="AK146" s="68" t="s">
        <v>374</v>
      </c>
      <c r="AL146" s="68" t="s">
        <v>374</v>
      </c>
      <c r="AM146" s="112" t="s">
        <v>374</v>
      </c>
      <c r="AN146" s="111">
        <f>IF(Level1[[#This Row],[Standardised_Normalised_Mass_kg/capita/year]]&lt;&gt;"",Level1[[#This Row],[Standardised_Normalised_Mass_kg/capita/year]],Level1[[#This Row],[Derived_Normalised_kg/capita/year]])</f>
        <v>31.137437546052631</v>
      </c>
      <c r="AO146" s="68">
        <f>IF(Level1[[#This Row],[Household]]=1,IF(Level1[[#This Row],[Household_Diary?]]=1,'Cover Sheet'!$R$31,1),1)</f>
        <v>1</v>
      </c>
      <c r="AP146" s="68">
        <f>IF(Level1[[#This Row],[Household]]=1,IF(Level1[[#This Row],[Edible_Waste_Only?]]=1,'Cover Sheet'!$R$32,1),1)</f>
        <v>1</v>
      </c>
      <c r="AQ146" s="68">
        <f>IF(Level1[[#This Row],[Food_Service]]=1,IF(Level1[[#This Row],[Edible_Waste_Only?]]=1,'Cover Sheet'!$R$33,1),1)</f>
        <v>1</v>
      </c>
      <c r="AR146" s="68">
        <f>IF(Level1[[#This Row],[Retail]]=1,IF(Level1[[#This Row],[Edible_Waste_Only?]]=1,'Cover Sheet'!$R$34,1),1)</f>
        <v>1</v>
      </c>
      <c r="AS146" s="68">
        <f>PRODUCT(Level1[[#This Row],[Household_Diary_Adjustment]:[Retail_Inedible_Adjustment]])</f>
        <v>1</v>
      </c>
      <c r="AT146" s="114">
        <f>Level1[[#This Row],[Preferred_estimate_kg/capita]]*Level1[[#This Row],[Total_Adjustment]]</f>
        <v>31.137437546052631</v>
      </c>
      <c r="AU146" s="186"/>
    </row>
    <row r="147" spans="1:47" x14ac:dyDescent="0.2">
      <c r="A147" s="115">
        <v>49</v>
      </c>
      <c r="B147" s="116" t="s">
        <v>548</v>
      </c>
      <c r="C147" s="116">
        <v>2010</v>
      </c>
      <c r="D147" s="117" t="s">
        <v>58</v>
      </c>
      <c r="E147" s="118" t="s">
        <v>118</v>
      </c>
      <c r="F147" s="116">
        <v>404</v>
      </c>
      <c r="G147" s="116" t="s">
        <v>154</v>
      </c>
      <c r="H147" s="116" t="s">
        <v>160</v>
      </c>
      <c r="I147" s="7" t="s">
        <v>162</v>
      </c>
      <c r="J147" s="7" t="s">
        <v>166</v>
      </c>
      <c r="K147" s="116" t="s">
        <v>195</v>
      </c>
      <c r="L147" s="105">
        <v>52.573999999999998</v>
      </c>
      <c r="M147" s="118">
        <v>1</v>
      </c>
      <c r="N147" s="116"/>
      <c r="O147" s="119"/>
      <c r="P147" s="118" t="s">
        <v>225</v>
      </c>
      <c r="Q147" s="116">
        <v>2</v>
      </c>
      <c r="R147" s="116" t="s">
        <v>302</v>
      </c>
      <c r="S147" s="120"/>
      <c r="T147" s="120"/>
      <c r="U147" s="125">
        <v>2009</v>
      </c>
      <c r="V147" s="122">
        <f>AVERAGE(66.38,65.95,58.94)%</f>
        <v>0.63756666666666661</v>
      </c>
      <c r="W147" s="116" t="s">
        <v>361</v>
      </c>
      <c r="X147" s="131"/>
      <c r="Y147" s="127"/>
      <c r="Z147" s="123">
        <f>SUM(246635*66.38%,505076*65.95%,566670*58.94%)</f>
        <v>830809.23299999989</v>
      </c>
      <c r="AA147" s="7" t="s">
        <v>372</v>
      </c>
      <c r="AB147" s="109">
        <v>303453072.35324997</v>
      </c>
      <c r="AC147" s="109">
        <v>303453.07235325</v>
      </c>
      <c r="AD147" s="124">
        <v>303453.07235325</v>
      </c>
      <c r="AE147" s="111">
        <v>0</v>
      </c>
      <c r="AF147" s="110">
        <v>0</v>
      </c>
      <c r="AG147" s="110">
        <v>3040000</v>
      </c>
      <c r="AH147" s="112">
        <v>0</v>
      </c>
      <c r="AI147" s="113">
        <f>SUM((0.621*66.38%)*(397362/SUM(397362,1066393,1576245)),(0.474*65.95%)*(1066393/SUM(397362,1066393,1576245)),(0.36*58.94%)*(1576245/SUM(397362,1066393,1576245)))</f>
        <v>0.27355661323243419</v>
      </c>
      <c r="AJ147" s="116" t="s">
        <v>375</v>
      </c>
      <c r="AK147" s="68">
        <v>0.27355661323243419</v>
      </c>
      <c r="AL147" s="68">
        <v>99.916552983146588</v>
      </c>
      <c r="AM147" s="112">
        <v>99.916552983146588</v>
      </c>
      <c r="AN147" s="111">
        <f>IF(Level1[[#This Row],[Standardised_Normalised_Mass_kg/capita/year]]&lt;&gt;"",Level1[[#This Row],[Standardised_Normalised_Mass_kg/capita/year]],Level1[[#This Row],[Derived_Normalised_kg/capita/year]])</f>
        <v>99.916552983146588</v>
      </c>
      <c r="AO147" s="68">
        <f>IF(Level1[[#This Row],[Household]]=1,IF(Level1[[#This Row],[Household_Diary?]]=1,'Cover Sheet'!$R$31,1),1)</f>
        <v>1</v>
      </c>
      <c r="AP147" s="68">
        <f>IF(Level1[[#This Row],[Household]]=1,IF(Level1[[#This Row],[Edible_Waste_Only?]]=1,'Cover Sheet'!$R$32,1),1)</f>
        <v>1</v>
      </c>
      <c r="AQ147" s="68">
        <f>IF(Level1[[#This Row],[Food_Service]]=1,IF(Level1[[#This Row],[Edible_Waste_Only?]]=1,'Cover Sheet'!$R$33,1),1)</f>
        <v>1</v>
      </c>
      <c r="AR147" s="68">
        <f>IF(Level1[[#This Row],[Retail]]=1,IF(Level1[[#This Row],[Edible_Waste_Only?]]=1,'Cover Sheet'!$R$34,1),1)</f>
        <v>1</v>
      </c>
      <c r="AS147" s="68">
        <f>PRODUCT(Level1[[#This Row],[Household_Diary_Adjustment]:[Retail_Inedible_Adjustment]])</f>
        <v>1</v>
      </c>
      <c r="AT147" s="147">
        <f>Level1[[#This Row],[Preferred_estimate_kg/capita]]*Level1[[#This Row],[Total_Adjustment]]</f>
        <v>99.916552983146588</v>
      </c>
      <c r="AU147" s="186"/>
    </row>
    <row r="148" spans="1:47" x14ac:dyDescent="0.2">
      <c r="A148" s="115">
        <v>49</v>
      </c>
      <c r="B148" s="116" t="s">
        <v>548</v>
      </c>
      <c r="C148" s="116">
        <v>2010</v>
      </c>
      <c r="D148" s="117" t="s">
        <v>58</v>
      </c>
      <c r="E148" s="118" t="s">
        <v>118</v>
      </c>
      <c r="F148" s="116">
        <v>404</v>
      </c>
      <c r="G148" s="116" t="s">
        <v>154</v>
      </c>
      <c r="H148" s="116" t="s">
        <v>160</v>
      </c>
      <c r="I148" s="7" t="s">
        <v>162</v>
      </c>
      <c r="J148" s="7" t="s">
        <v>166</v>
      </c>
      <c r="K148" s="116" t="s">
        <v>195</v>
      </c>
      <c r="L148" s="105">
        <v>52.573999999999998</v>
      </c>
      <c r="M148" s="118"/>
      <c r="N148" s="116"/>
      <c r="O148" s="119">
        <v>1</v>
      </c>
      <c r="P148" s="118" t="s">
        <v>225</v>
      </c>
      <c r="Q148" s="116">
        <v>2</v>
      </c>
      <c r="R148" s="116" t="s">
        <v>304</v>
      </c>
      <c r="S148" s="120"/>
      <c r="T148" s="120"/>
      <c r="U148" s="125">
        <v>2009</v>
      </c>
      <c r="V148" s="122">
        <f>AVERAGE(46.15%,89.1%)</f>
        <v>0.67624999999999991</v>
      </c>
      <c r="W148" s="116" t="s">
        <v>361</v>
      </c>
      <c r="X148" s="131"/>
      <c r="Y148" s="127"/>
      <c r="Z148" s="123">
        <f>SUM(23970.5*46.15%,90000*89.1%)</f>
        <v>91252.385749999987</v>
      </c>
      <c r="AA148" s="7" t="s">
        <v>369</v>
      </c>
      <c r="AB148" s="109">
        <v>33329933.895187493</v>
      </c>
      <c r="AC148" s="109">
        <v>33329.933895187496</v>
      </c>
      <c r="AD148" s="124">
        <v>33329.933895187496</v>
      </c>
      <c r="AE148" s="111">
        <v>1</v>
      </c>
      <c r="AF148" s="110">
        <v>0</v>
      </c>
      <c r="AG148" s="110">
        <v>3040000</v>
      </c>
      <c r="AH148" s="112">
        <v>10.963794044469571</v>
      </c>
      <c r="AI148" s="113"/>
      <c r="AJ148" s="116"/>
      <c r="AK148" s="68" t="s">
        <v>374</v>
      </c>
      <c r="AL148" s="68" t="s">
        <v>374</v>
      </c>
      <c r="AM148" s="112" t="s">
        <v>374</v>
      </c>
      <c r="AN148" s="111">
        <f>IF(Level1[[#This Row],[Standardised_Normalised_Mass_kg/capita/year]]&lt;&gt;"",Level1[[#This Row],[Standardised_Normalised_Mass_kg/capita/year]],Level1[[#This Row],[Derived_Normalised_kg/capita/year]])</f>
        <v>10.963794044469571</v>
      </c>
      <c r="AO148" s="68">
        <f>IF(Level1[[#This Row],[Household]]=1,IF(Level1[[#This Row],[Household_Diary?]]=1,'Cover Sheet'!$R$31,1),1)</f>
        <v>1</v>
      </c>
      <c r="AP148" s="68">
        <f>IF(Level1[[#This Row],[Household]]=1,IF(Level1[[#This Row],[Edible_Waste_Only?]]=1,'Cover Sheet'!$R$32,1),1)</f>
        <v>1</v>
      </c>
      <c r="AQ148" s="68">
        <f>IF(Level1[[#This Row],[Food_Service]]=1,IF(Level1[[#This Row],[Edible_Waste_Only?]]=1,'Cover Sheet'!$R$33,1),1)</f>
        <v>1</v>
      </c>
      <c r="AR148" s="68">
        <f>IF(Level1[[#This Row],[Retail]]=1,IF(Level1[[#This Row],[Edible_Waste_Only?]]=1,'Cover Sheet'!$R$34,1),1)</f>
        <v>1</v>
      </c>
      <c r="AS148" s="68">
        <f>PRODUCT(Level1[[#This Row],[Household_Diary_Adjustment]:[Retail_Inedible_Adjustment]])</f>
        <v>1</v>
      </c>
      <c r="AT148" s="114">
        <f>Level1[[#This Row],[Preferred_estimate_kg/capita]]*Level1[[#This Row],[Total_Adjustment]]</f>
        <v>10.963794044469571</v>
      </c>
      <c r="AU148" s="186"/>
    </row>
    <row r="149" spans="1:47" x14ac:dyDescent="0.2">
      <c r="A149" s="102">
        <v>82</v>
      </c>
      <c r="B149" s="116" t="s">
        <v>680</v>
      </c>
      <c r="C149" s="7">
        <v>2010</v>
      </c>
      <c r="D149" s="141" t="s">
        <v>86</v>
      </c>
      <c r="E149" s="104" t="s">
        <v>143</v>
      </c>
      <c r="F149" s="7">
        <v>704</v>
      </c>
      <c r="G149" s="7" t="s">
        <v>157</v>
      </c>
      <c r="H149" s="7" t="s">
        <v>160</v>
      </c>
      <c r="I149" s="7" t="s">
        <v>162</v>
      </c>
      <c r="J149" s="7" t="s">
        <v>166</v>
      </c>
      <c r="K149" s="7" t="s">
        <v>217</v>
      </c>
      <c r="L149" s="105">
        <v>96.462100000000007</v>
      </c>
      <c r="M149" s="104">
        <v>1</v>
      </c>
      <c r="N149" s="7"/>
      <c r="O149" s="105"/>
      <c r="P149" s="104" t="s">
        <v>225</v>
      </c>
      <c r="Q149" s="7">
        <v>2</v>
      </c>
      <c r="R149" s="7" t="s">
        <v>354</v>
      </c>
      <c r="S149" s="8"/>
      <c r="T149" s="8"/>
      <c r="U149" s="128">
        <v>2009</v>
      </c>
      <c r="V149" s="148">
        <f>AVERAGE(84.18,85.1)%</f>
        <v>0.84640000000000004</v>
      </c>
      <c r="W149" s="7" t="s">
        <v>361</v>
      </c>
      <c r="X149" s="107"/>
      <c r="Y149" s="105"/>
      <c r="Z149" s="108"/>
      <c r="AA149" s="7"/>
      <c r="AB149" s="109" t="s">
        <v>374</v>
      </c>
      <c r="AC149" s="109" t="s">
        <v>374</v>
      </c>
      <c r="AD149" s="110" t="s">
        <v>374</v>
      </c>
      <c r="AE149" s="111">
        <v>0</v>
      </c>
      <c r="AF149" s="110">
        <v>0</v>
      </c>
      <c r="AG149" s="110">
        <v>0</v>
      </c>
      <c r="AH149" s="112">
        <v>0</v>
      </c>
      <c r="AI149" s="113">
        <f>AVERAGE(228.18,239.34)</f>
        <v>233.76</v>
      </c>
      <c r="AJ149" s="7" t="s">
        <v>378</v>
      </c>
      <c r="AK149" s="68">
        <v>0.23376</v>
      </c>
      <c r="AL149" s="68">
        <v>85.380839999999992</v>
      </c>
      <c r="AM149" s="112">
        <v>85.380839999999992</v>
      </c>
      <c r="AN149" s="111">
        <f>IF(Level1[[#This Row],[Standardised_Normalised_Mass_kg/capita/year]]&lt;&gt;"",Level1[[#This Row],[Standardised_Normalised_Mass_kg/capita/year]],Level1[[#This Row],[Derived_Normalised_kg/capita/year]])</f>
        <v>85.380839999999992</v>
      </c>
      <c r="AO149" s="68">
        <f>IF(Level1[[#This Row],[Household]]=1,IF(Level1[[#This Row],[Household_Diary?]]=1,'Cover Sheet'!$R$31,1),1)</f>
        <v>1</v>
      </c>
      <c r="AP149" s="68">
        <f>IF(Level1[[#This Row],[Household]]=1,IF(Level1[[#This Row],[Edible_Waste_Only?]]=1,'Cover Sheet'!$R$32,1),1)</f>
        <v>1</v>
      </c>
      <c r="AQ149" s="68">
        <f>IF(Level1[[#This Row],[Food_Service]]=1,IF(Level1[[#This Row],[Edible_Waste_Only?]]=1,'Cover Sheet'!$R$33,1),1)</f>
        <v>1</v>
      </c>
      <c r="AR149" s="68">
        <f>IF(Level1[[#This Row],[Retail]]=1,IF(Level1[[#This Row],[Edible_Waste_Only?]]=1,'Cover Sheet'!$R$34,1),1)</f>
        <v>1</v>
      </c>
      <c r="AS149" s="68">
        <f>PRODUCT(Level1[[#This Row],[Household_Diary_Adjustment]:[Retail_Inedible_Adjustment]])</f>
        <v>1</v>
      </c>
      <c r="AT149" s="114">
        <f>Level1[[#This Row],[Preferred_estimate_kg/capita]]*Level1[[#This Row],[Total_Adjustment]]</f>
        <v>85.380839999999992</v>
      </c>
      <c r="AU149" s="186"/>
    </row>
    <row r="150" spans="1:47" x14ac:dyDescent="0.2">
      <c r="A150" s="115">
        <v>16</v>
      </c>
      <c r="B150" s="116" t="s">
        <v>567</v>
      </c>
      <c r="C150" s="116">
        <v>2009</v>
      </c>
      <c r="D150" s="139" t="s">
        <v>26</v>
      </c>
      <c r="E150" s="118" t="s">
        <v>99</v>
      </c>
      <c r="F150" s="116">
        <v>156</v>
      </c>
      <c r="G150" s="116" t="s">
        <v>152</v>
      </c>
      <c r="H150" s="116" t="s">
        <v>160</v>
      </c>
      <c r="I150" s="7" t="s">
        <v>163</v>
      </c>
      <c r="J150" s="7" t="s">
        <v>166</v>
      </c>
      <c r="K150" s="116" t="s">
        <v>174</v>
      </c>
      <c r="L150" s="105">
        <v>1433.7837</v>
      </c>
      <c r="M150" s="118">
        <v>1</v>
      </c>
      <c r="N150" s="116"/>
      <c r="O150" s="119"/>
      <c r="P150" s="118" t="s">
        <v>225</v>
      </c>
      <c r="Q150" s="116">
        <v>2</v>
      </c>
      <c r="R150" s="116" t="s">
        <v>255</v>
      </c>
      <c r="S150" s="120"/>
      <c r="T150" s="120"/>
      <c r="U150" s="125">
        <v>2008</v>
      </c>
      <c r="V150" s="122">
        <v>0.69299999999999995</v>
      </c>
      <c r="W150" s="116" t="s">
        <v>362</v>
      </c>
      <c r="X150" s="122"/>
      <c r="Y150" s="119"/>
      <c r="Z150" s="123"/>
      <c r="AA150" s="7"/>
      <c r="AB150" s="109" t="s">
        <v>374</v>
      </c>
      <c r="AC150" s="109" t="s">
        <v>374</v>
      </c>
      <c r="AD150" s="124" t="s">
        <v>374</v>
      </c>
      <c r="AE150" s="111">
        <v>0</v>
      </c>
      <c r="AF150" s="110">
        <v>0</v>
      </c>
      <c r="AG150" s="110">
        <v>0</v>
      </c>
      <c r="AH150" s="112">
        <v>0</v>
      </c>
      <c r="AI150" s="113">
        <f>0.233*Level1[[#This Row],[FW_Share_estimate]]</f>
        <v>0.161469</v>
      </c>
      <c r="AJ150" s="116" t="s">
        <v>375</v>
      </c>
      <c r="AK150" s="68">
        <v>0.161469</v>
      </c>
      <c r="AL150" s="68">
        <v>58.976552249999997</v>
      </c>
      <c r="AM150" s="112">
        <v>58.976552249999997</v>
      </c>
      <c r="AN150" s="111">
        <f>IF(Level1[[#This Row],[Standardised_Normalised_Mass_kg/capita/year]]&lt;&gt;"",Level1[[#This Row],[Standardised_Normalised_Mass_kg/capita/year]],Level1[[#This Row],[Derived_Normalised_kg/capita/year]])</f>
        <v>58.976552249999997</v>
      </c>
      <c r="AO150" s="68">
        <f>IF(Level1[[#This Row],[Household]]=1,IF(Level1[[#This Row],[Household_Diary?]]=1,'Cover Sheet'!$R$31,1),1)</f>
        <v>1</v>
      </c>
      <c r="AP150" s="68">
        <f>IF(Level1[[#This Row],[Household]]=1,IF(Level1[[#This Row],[Edible_Waste_Only?]]=1,'Cover Sheet'!$R$32,1),1)</f>
        <v>1</v>
      </c>
      <c r="AQ150" s="68">
        <f>IF(Level1[[#This Row],[Food_Service]]=1,IF(Level1[[#This Row],[Edible_Waste_Only?]]=1,'Cover Sheet'!$R$33,1),1)</f>
        <v>1</v>
      </c>
      <c r="AR150" s="68">
        <f>IF(Level1[[#This Row],[Retail]]=1,IF(Level1[[#This Row],[Edible_Waste_Only?]]=1,'Cover Sheet'!$R$34,1),1)</f>
        <v>1</v>
      </c>
      <c r="AS150" s="68">
        <f>PRODUCT(Level1[[#This Row],[Household_Diary_Adjustment]:[Retail_Inedible_Adjustment]])</f>
        <v>1</v>
      </c>
      <c r="AT150" s="114">
        <f>Level1[[#This Row],[Preferred_estimate_kg/capita]]*Level1[[#This Row],[Total_Adjustment]]</f>
        <v>58.976552249999997</v>
      </c>
      <c r="AU150" s="186"/>
    </row>
    <row r="151" spans="1:47" x14ac:dyDescent="0.2">
      <c r="A151" s="115">
        <v>43</v>
      </c>
      <c r="B151" s="116" t="s">
        <v>617</v>
      </c>
      <c r="C151" s="116">
        <v>2009</v>
      </c>
      <c r="D151" s="117" t="s">
        <v>52</v>
      </c>
      <c r="E151" s="118" t="s">
        <v>113</v>
      </c>
      <c r="F151" s="116">
        <v>368</v>
      </c>
      <c r="G151" s="116" t="s">
        <v>148</v>
      </c>
      <c r="H151" s="116" t="s">
        <v>160</v>
      </c>
      <c r="I151" s="7" t="s">
        <v>163</v>
      </c>
      <c r="J151" s="7" t="s">
        <v>166</v>
      </c>
      <c r="K151" s="116" t="s">
        <v>193</v>
      </c>
      <c r="L151" s="105">
        <v>39.309800000000003</v>
      </c>
      <c r="M151" s="118">
        <v>1</v>
      </c>
      <c r="N151" s="116"/>
      <c r="O151" s="119"/>
      <c r="P151" s="118" t="s">
        <v>225</v>
      </c>
      <c r="Q151" s="116">
        <v>2</v>
      </c>
      <c r="R151" s="116" t="s">
        <v>294</v>
      </c>
      <c r="S151" s="120"/>
      <c r="T151" s="120"/>
      <c r="U151" s="125">
        <v>2008</v>
      </c>
      <c r="V151" s="122">
        <f>(AVERAGE(69.952%,61.882%)*(15/65))+(AVERAGE(65.627%,62.247%)*(25/65))+(AVERAGE(68.96%,66.027%)*(25/65))</f>
        <v>0.65761807692307694</v>
      </c>
      <c r="W151" s="116" t="s">
        <v>361</v>
      </c>
      <c r="X151" s="131"/>
      <c r="Y151" s="127"/>
      <c r="Z151" s="123"/>
      <c r="AA151" s="7"/>
      <c r="AB151" s="109" t="s">
        <v>374</v>
      </c>
      <c r="AC151" s="109" t="s">
        <v>374</v>
      </c>
      <c r="AD151" s="124" t="s">
        <v>374</v>
      </c>
      <c r="AE151" s="111">
        <v>0</v>
      </c>
      <c r="AF151" s="110">
        <v>0</v>
      </c>
      <c r="AG151" s="110">
        <v>0</v>
      </c>
      <c r="AH151" s="112">
        <v>0</v>
      </c>
      <c r="AI151" s="113">
        <f>0.68*Level1[[#This Row],[FW_Share_estimate]]</f>
        <v>0.44718029230769235</v>
      </c>
      <c r="AJ151" s="116" t="s">
        <v>375</v>
      </c>
      <c r="AK151" s="68">
        <v>0.44718029230769235</v>
      </c>
      <c r="AL151" s="68">
        <v>163.33260176538462</v>
      </c>
      <c r="AM151" s="112">
        <v>163.33260176538462</v>
      </c>
      <c r="AN151" s="111">
        <f>IF(Level1[[#This Row],[Standardised_Normalised_Mass_kg/capita/year]]&lt;&gt;"",Level1[[#This Row],[Standardised_Normalised_Mass_kg/capita/year]],Level1[[#This Row],[Derived_Normalised_kg/capita/year]])</f>
        <v>163.33260176538462</v>
      </c>
      <c r="AO151" s="68">
        <f>IF(Level1[[#This Row],[Household]]=1,IF(Level1[[#This Row],[Household_Diary?]]=1,'Cover Sheet'!$R$31,1),1)</f>
        <v>1</v>
      </c>
      <c r="AP151" s="68">
        <f>IF(Level1[[#This Row],[Household]]=1,IF(Level1[[#This Row],[Edible_Waste_Only?]]=1,'Cover Sheet'!$R$32,1),1)</f>
        <v>1</v>
      </c>
      <c r="AQ151" s="68">
        <f>IF(Level1[[#This Row],[Food_Service]]=1,IF(Level1[[#This Row],[Edible_Waste_Only?]]=1,'Cover Sheet'!$R$33,1),1)</f>
        <v>1</v>
      </c>
      <c r="AR151" s="68">
        <f>IF(Level1[[#This Row],[Retail]]=1,IF(Level1[[#This Row],[Edible_Waste_Only?]]=1,'Cover Sheet'!$R$34,1),1)</f>
        <v>1</v>
      </c>
      <c r="AS151" s="68">
        <f>PRODUCT(Level1[[#This Row],[Household_Diary_Adjustment]:[Retail_Inedible_Adjustment]])</f>
        <v>1</v>
      </c>
      <c r="AT151" s="114">
        <f>Level1[[#This Row],[Preferred_estimate_kg/capita]]*Level1[[#This Row],[Total_Adjustment]]</f>
        <v>163.33260176538462</v>
      </c>
      <c r="AU151" s="186"/>
    </row>
    <row r="152" spans="1:47" x14ac:dyDescent="0.2">
      <c r="A152" s="102">
        <v>6</v>
      </c>
      <c r="B152" s="116" t="s">
        <v>546</v>
      </c>
      <c r="C152" s="7">
        <v>2008</v>
      </c>
      <c r="D152" s="103" t="s">
        <v>16</v>
      </c>
      <c r="E152" s="104" t="s">
        <v>94</v>
      </c>
      <c r="F152" s="7">
        <v>50</v>
      </c>
      <c r="G152" s="7" t="s">
        <v>149</v>
      </c>
      <c r="H152" s="7" t="s">
        <v>160</v>
      </c>
      <c r="I152" s="7" t="s">
        <v>162</v>
      </c>
      <c r="J152" s="7" t="s">
        <v>166</v>
      </c>
      <c r="K152" s="7" t="s">
        <v>167</v>
      </c>
      <c r="L152" s="105">
        <v>163.0462</v>
      </c>
      <c r="M152" s="104">
        <v>1</v>
      </c>
      <c r="N152" s="7"/>
      <c r="O152" s="105"/>
      <c r="P152" s="104" t="s">
        <v>225</v>
      </c>
      <c r="Q152" s="7">
        <v>2</v>
      </c>
      <c r="R152" s="7" t="s">
        <v>240</v>
      </c>
      <c r="S152" s="8"/>
      <c r="T152" s="8"/>
      <c r="U152" s="128">
        <v>2006</v>
      </c>
      <c r="V152" s="107">
        <v>0.62</v>
      </c>
      <c r="W152" s="7" t="s">
        <v>361</v>
      </c>
      <c r="X152" s="107"/>
      <c r="Y152" s="105"/>
      <c r="Z152" s="108"/>
      <c r="AA152" s="7"/>
      <c r="AB152" s="109" t="s">
        <v>374</v>
      </c>
      <c r="AC152" s="109" t="s">
        <v>374</v>
      </c>
      <c r="AD152" s="110" t="s">
        <v>374</v>
      </c>
      <c r="AE152" s="111">
        <v>0</v>
      </c>
      <c r="AF152" s="110">
        <v>0</v>
      </c>
      <c r="AG152" s="110">
        <v>0</v>
      </c>
      <c r="AH152" s="112">
        <v>0</v>
      </c>
      <c r="AI152" s="113">
        <f>0.25*Level1[[#This Row],[FW_Share_estimate]]</f>
        <v>0.155</v>
      </c>
      <c r="AJ152" s="7" t="s">
        <v>375</v>
      </c>
      <c r="AK152" s="68">
        <v>0.155</v>
      </c>
      <c r="AL152" s="68">
        <v>56.613750000000003</v>
      </c>
      <c r="AM152" s="112">
        <v>56.613750000000003</v>
      </c>
      <c r="AN152" s="111">
        <f>IF(Level1[[#This Row],[Standardised_Normalised_Mass_kg/capita/year]]&lt;&gt;"",Level1[[#This Row],[Standardised_Normalised_Mass_kg/capita/year]],Level1[[#This Row],[Derived_Normalised_kg/capita/year]])</f>
        <v>56.613750000000003</v>
      </c>
      <c r="AO152" s="68">
        <f>IF(Level1[[#This Row],[Household]]=1,IF(Level1[[#This Row],[Household_Diary?]]=1,'Cover Sheet'!$R$31,1),1)</f>
        <v>1</v>
      </c>
      <c r="AP152" s="68">
        <f>IF(Level1[[#This Row],[Household]]=1,IF(Level1[[#This Row],[Edible_Waste_Only?]]=1,'Cover Sheet'!$R$32,1),1)</f>
        <v>1</v>
      </c>
      <c r="AQ152" s="68">
        <f>IF(Level1[[#This Row],[Food_Service]]=1,IF(Level1[[#This Row],[Edible_Waste_Only?]]=1,'Cover Sheet'!$R$33,1),1)</f>
        <v>1</v>
      </c>
      <c r="AR152" s="68">
        <f>IF(Level1[[#This Row],[Retail]]=1,IF(Level1[[#This Row],[Edible_Waste_Only?]]=1,'Cover Sheet'!$R$34,1),1)</f>
        <v>1</v>
      </c>
      <c r="AS152" s="68">
        <f>PRODUCT(Level1[[#This Row],[Household_Diary_Adjustment]:[Retail_Inedible_Adjustment]])</f>
        <v>1</v>
      </c>
      <c r="AT152" s="114">
        <f>Level1[[#This Row],[Preferred_estimate_kg/capita]]*Level1[[#This Row],[Total_Adjustment]]</f>
        <v>56.613750000000003</v>
      </c>
      <c r="AU152" s="186"/>
    </row>
    <row r="153" spans="1:47" ht="16" thickBot="1" x14ac:dyDescent="0.25">
      <c r="A153" s="170">
        <v>7</v>
      </c>
      <c r="B153" s="116" t="s">
        <v>550</v>
      </c>
      <c r="C153" s="171">
        <v>2005</v>
      </c>
      <c r="D153" s="173" t="s">
        <v>17</v>
      </c>
      <c r="E153" s="175" t="s">
        <v>94</v>
      </c>
      <c r="F153" s="171">
        <v>50</v>
      </c>
      <c r="G153" s="171" t="s">
        <v>149</v>
      </c>
      <c r="H153" s="171" t="s">
        <v>160</v>
      </c>
      <c r="I153" s="176" t="s">
        <v>162</v>
      </c>
      <c r="J153" s="176" t="s">
        <v>166</v>
      </c>
      <c r="K153" s="171" t="s">
        <v>168</v>
      </c>
      <c r="L153" s="178">
        <v>163.0462</v>
      </c>
      <c r="M153" s="175"/>
      <c r="N153" s="171">
        <v>1</v>
      </c>
      <c r="O153" s="179"/>
      <c r="P153" s="175" t="s">
        <v>225</v>
      </c>
      <c r="Q153" s="171">
        <v>2</v>
      </c>
      <c r="R153" s="171" t="s">
        <v>241</v>
      </c>
      <c r="S153" s="181"/>
      <c r="T153" s="181"/>
      <c r="U153" s="183">
        <v>2004</v>
      </c>
      <c r="V153" s="122">
        <f>AVERAGE(97,96)%</f>
        <v>0.96499999999999997</v>
      </c>
      <c r="W153" s="116" t="s">
        <v>361</v>
      </c>
      <c r="X153" s="131"/>
      <c r="Y153" s="127"/>
      <c r="Z153" s="123">
        <f>54*Level1[[#This Row],[FW_Share_estimate]]</f>
        <v>52.11</v>
      </c>
      <c r="AA153" s="7" t="s">
        <v>366</v>
      </c>
      <c r="AB153" s="109">
        <v>19033.177500000002</v>
      </c>
      <c r="AC153" s="109">
        <v>19033.177500000002</v>
      </c>
      <c r="AD153" s="124">
        <v>19033.177500000002</v>
      </c>
      <c r="AE153" s="111">
        <v>1</v>
      </c>
      <c r="AF153" s="110">
        <v>0</v>
      </c>
      <c r="AG153" s="110">
        <v>5700000</v>
      </c>
      <c r="AH153" s="112">
        <v>3.3391539473684211</v>
      </c>
      <c r="AI153" s="113">
        <f>23.8*Level1[[#This Row],[FW_Share_estimate]]</f>
        <v>22.966999999999999</v>
      </c>
      <c r="AJ153" s="116" t="s">
        <v>376</v>
      </c>
      <c r="AK153" s="68">
        <v>22.966999999999999</v>
      </c>
      <c r="AL153" s="68">
        <v>8388.6967499999992</v>
      </c>
      <c r="AM153" s="112" t="s">
        <v>374</v>
      </c>
      <c r="AN153" s="111">
        <f>IF(Level1[[#This Row],[Standardised_Normalised_Mass_kg/capita/year]]&lt;&gt;"",Level1[[#This Row],[Standardised_Normalised_Mass_kg/capita/year]],Level1[[#This Row],[Derived_Normalised_kg/capita/year]])</f>
        <v>3.3391539473684211</v>
      </c>
      <c r="AO153" s="68">
        <f>IF(Level1[[#This Row],[Household]]=1,IF(Level1[[#This Row],[Household_Diary?]]=1,'Cover Sheet'!$R$31,1),1)</f>
        <v>1</v>
      </c>
      <c r="AP153" s="68">
        <f>IF(Level1[[#This Row],[Household]]=1,IF(Level1[[#This Row],[Edible_Waste_Only?]]=1,'Cover Sheet'!$R$32,1),1)</f>
        <v>1</v>
      </c>
      <c r="AQ153" s="68">
        <f>IF(Level1[[#This Row],[Food_Service]]=1,IF(Level1[[#This Row],[Edible_Waste_Only?]]=1,'Cover Sheet'!$R$33,1),1)</f>
        <v>1</v>
      </c>
      <c r="AR153" s="68">
        <f>IF(Level1[[#This Row],[Retail]]=1,IF(Level1[[#This Row],[Edible_Waste_Only?]]=1,'Cover Sheet'!$R$34,1),1)</f>
        <v>1</v>
      </c>
      <c r="AS153" s="68">
        <f>PRODUCT(Level1[[#This Row],[Household_Diary_Adjustment]:[Retail_Inedible_Adjustment]])</f>
        <v>1</v>
      </c>
      <c r="AT153" s="185">
        <f>Level1[[#This Row],[Preferred_estimate_kg/capita]]*Level1[[#This Row],[Total_Adjustment]]</f>
        <v>3.3391539473684211</v>
      </c>
      <c r="AU153" s="186"/>
    </row>
  </sheetData>
  <phoneticPr fontId="15" type="noConversion"/>
  <conditionalFormatting sqref="AO1">
    <cfRule type="containsErrors" dxfId="46" priority="61">
      <formula>ISERROR(AO1)</formula>
    </cfRule>
  </conditionalFormatting>
  <conditionalFormatting sqref="AP1">
    <cfRule type="containsErrors" dxfId="45" priority="59">
      <formula>ISERROR(AP1)</formula>
    </cfRule>
  </conditionalFormatting>
  <conditionalFormatting sqref="AQ1">
    <cfRule type="containsErrors" dxfId="44" priority="57">
      <formula>ISERROR(AQ1)</formula>
    </cfRule>
  </conditionalFormatting>
  <conditionalFormatting sqref="AR1">
    <cfRule type="containsErrors" dxfId="43" priority="55">
      <formula>ISERROR(AR1)</formula>
    </cfRule>
  </conditionalFormatting>
  <conditionalFormatting sqref="AT1">
    <cfRule type="containsErrors" dxfId="42" priority="51">
      <formula>ISERROR(AT1)</formula>
    </cfRule>
  </conditionalFormatting>
  <conditionalFormatting sqref="AN1">
    <cfRule type="containsErrors" dxfId="41" priority="35">
      <formula>ISERROR(AN1)</formula>
    </cfRule>
  </conditionalFormatting>
  <conditionalFormatting sqref="AS1">
    <cfRule type="containsErrors" dxfId="40" priority="34">
      <formula>ISERROR(AS1)</formula>
    </cfRule>
  </conditionalFormatting>
  <conditionalFormatting sqref="AC2:AC153">
    <cfRule type="containsErrors" dxfId="39" priority="30">
      <formula>ISERROR(AC2)</formula>
    </cfRule>
  </conditionalFormatting>
  <conditionalFormatting sqref="AC2:AC153">
    <cfRule type="cellIs" dxfId="38" priority="29" operator="equal">
      <formula>$Z2</formula>
    </cfRule>
  </conditionalFormatting>
  <conditionalFormatting sqref="AC2:AC153">
    <cfRule type="containsErrors" dxfId="37" priority="28">
      <formula>ISERROR(AC2)</formula>
    </cfRule>
  </conditionalFormatting>
  <conditionalFormatting sqref="AB2:AB153">
    <cfRule type="containsErrors" dxfId="36" priority="27">
      <formula>ISERROR(AB2)</formula>
    </cfRule>
  </conditionalFormatting>
  <conditionalFormatting sqref="AB2:AB153">
    <cfRule type="cellIs" dxfId="35" priority="26" operator="equal">
      <formula>$Z2</formula>
    </cfRule>
  </conditionalFormatting>
  <conditionalFormatting sqref="AB2:AB153">
    <cfRule type="containsErrors" dxfId="34" priority="25">
      <formula>ISERROR(AB2)</formula>
    </cfRule>
  </conditionalFormatting>
  <conditionalFormatting sqref="AK2:AK153">
    <cfRule type="containsErrors" dxfId="33" priority="24">
      <formula>ISERROR(AK2)</formula>
    </cfRule>
  </conditionalFormatting>
  <conditionalFormatting sqref="AK2:AK153">
    <cfRule type="cellIs" dxfId="32" priority="23" operator="equal">
      <formula>$AI2</formula>
    </cfRule>
  </conditionalFormatting>
  <conditionalFormatting sqref="AK2:AK153">
    <cfRule type="containsErrors" dxfId="31" priority="22">
      <formula>ISERROR(AK2)</formula>
    </cfRule>
  </conditionalFormatting>
  <conditionalFormatting sqref="AL3:AL153">
    <cfRule type="containsErrors" dxfId="30" priority="21">
      <formula>ISERROR(AL3)</formula>
    </cfRule>
  </conditionalFormatting>
  <conditionalFormatting sqref="AL2:AL153">
    <cfRule type="containsErrors" dxfId="29" priority="18">
      <formula>ISERROR(AL2)</formula>
    </cfRule>
  </conditionalFormatting>
  <conditionalFormatting sqref="AL2:AL153">
    <cfRule type="cellIs" dxfId="28" priority="17" operator="equal">
      <formula>$AI2</formula>
    </cfRule>
  </conditionalFormatting>
  <conditionalFormatting sqref="AL2:AL153">
    <cfRule type="containsErrors" dxfId="27" priority="16">
      <formula>ISERROR(AL2)</formula>
    </cfRule>
  </conditionalFormatting>
  <conditionalFormatting sqref="AO2:AO153">
    <cfRule type="containsErrors" dxfId="26" priority="15">
      <formula>ISERROR(AO2)</formula>
    </cfRule>
  </conditionalFormatting>
  <conditionalFormatting sqref="AO2:AO153">
    <cfRule type="cellIs" dxfId="25" priority="14" operator="equal">
      <formula>1</formula>
    </cfRule>
  </conditionalFormatting>
  <conditionalFormatting sqref="AO2:AO153">
    <cfRule type="containsErrors" dxfId="24" priority="13">
      <formula>ISERROR(AO2)</formula>
    </cfRule>
  </conditionalFormatting>
  <conditionalFormatting sqref="AP2:AP153">
    <cfRule type="containsErrors" dxfId="23" priority="12">
      <formula>ISERROR(AP2)</formula>
    </cfRule>
  </conditionalFormatting>
  <conditionalFormatting sqref="AP2:AP153">
    <cfRule type="cellIs" dxfId="22" priority="11" operator="equal">
      <formula>1</formula>
    </cfRule>
  </conditionalFormatting>
  <conditionalFormatting sqref="AP2:AP153">
    <cfRule type="containsErrors" dxfId="21" priority="10">
      <formula>ISERROR(AP2)</formula>
    </cfRule>
  </conditionalFormatting>
  <conditionalFormatting sqref="AQ2:AQ153">
    <cfRule type="containsErrors" dxfId="20" priority="9">
      <formula>ISERROR(AQ2)</formula>
    </cfRule>
  </conditionalFormatting>
  <conditionalFormatting sqref="AQ2:AQ153">
    <cfRule type="cellIs" dxfId="19" priority="8" operator="equal">
      <formula>1</formula>
    </cfRule>
  </conditionalFormatting>
  <conditionalFormatting sqref="AQ2:AQ153">
    <cfRule type="containsErrors" dxfId="18" priority="7">
      <formula>ISERROR(AQ2)</formula>
    </cfRule>
  </conditionalFormatting>
  <conditionalFormatting sqref="AR2:AR153">
    <cfRule type="containsErrors" dxfId="17" priority="6">
      <formula>ISERROR(AR2)</formula>
    </cfRule>
  </conditionalFormatting>
  <conditionalFormatting sqref="AR2:AR153">
    <cfRule type="cellIs" dxfId="16" priority="5" operator="equal">
      <formula>1</formula>
    </cfRule>
  </conditionalFormatting>
  <conditionalFormatting sqref="AR2:AR153">
    <cfRule type="containsErrors" dxfId="15" priority="4">
      <formula>ISERROR(AR2)</formula>
    </cfRule>
  </conditionalFormatting>
  <conditionalFormatting sqref="AS2:AS153">
    <cfRule type="containsErrors" dxfId="14" priority="3">
      <formula>ISERROR(AS2)</formula>
    </cfRule>
  </conditionalFormatting>
  <conditionalFormatting sqref="AS2:AS153">
    <cfRule type="cellIs" dxfId="13" priority="2" operator="equal">
      <formula>1</formula>
    </cfRule>
  </conditionalFormatting>
  <conditionalFormatting sqref="AS2:AS153">
    <cfRule type="containsErrors" dxfId="12" priority="1">
      <formula>ISERROR(AS2)</formula>
    </cfRule>
  </conditionalFormatting>
  <hyperlinks>
    <hyperlink ref="D77" r:id="rId1" xr:uid="{E41E5EFC-2BDA-49B4-A7C4-158C34FD978A}"/>
    <hyperlink ref="D23" r:id="rId2" xr:uid="{0145641D-6B8F-4AC0-A454-2D78DBFABAA3}"/>
    <hyperlink ref="D22" r:id="rId3" xr:uid="{23483345-9CAF-4E8E-8C26-3DC426919B2B}"/>
    <hyperlink ref="D21" r:id="rId4" xr:uid="{B544EE39-B8A7-4D53-8315-96C0108398DE}"/>
    <hyperlink ref="D37" r:id="rId5" xr:uid="{C256054D-D49D-49C4-9F96-3D200E93BAAC}"/>
    <hyperlink ref="D39" r:id="rId6" xr:uid="{31D14333-D458-4560-B8D5-2614B39CC78F}"/>
    <hyperlink ref="D38" r:id="rId7" xr:uid="{70C94941-7966-4305-AE31-24C2709CDDAA}"/>
    <hyperlink ref="D109" r:id="rId8" xr:uid="{F9FF5FD7-8922-4AE3-B58E-4AF94B57232D}"/>
    <hyperlink ref="D108" r:id="rId9" xr:uid="{AA1A98D2-6BD2-4E9B-BEE3-F9FA73D07D45}"/>
    <hyperlink ref="D61" r:id="rId10" xr:uid="{E5F121C2-86EE-480C-A84F-81AAF443BE66}"/>
    <hyperlink ref="D59" r:id="rId11" xr:uid="{129D233E-52B5-449E-9038-E73AD55BA533}"/>
    <hyperlink ref="D92" r:id="rId12" xr:uid="{C4F355E6-3C47-4D87-AA36-E65EF4BF10AC}"/>
    <hyperlink ref="D66" r:id="rId13" xr:uid="{FA69B82D-638C-492E-BA1D-B824CCC6E3F6}"/>
    <hyperlink ref="D68" r:id="rId14" xr:uid="{B294F887-9D64-433C-A30B-13181C0356D1}"/>
    <hyperlink ref="D67" r:id="rId15" xr:uid="{7246449F-AF4B-4612-AE5B-149C4BF39747}"/>
    <hyperlink ref="D69" r:id="rId16" xr:uid="{33BA3347-6142-44AE-966A-73FA34E09B7D}"/>
    <hyperlink ref="D70" r:id="rId17" xr:uid="{31BC27D8-5092-44F5-8A5E-8BE027F0B97F}"/>
    <hyperlink ref="D71" r:id="rId18" xr:uid="{E8CE58ED-4608-45B2-A719-B9E9E04212A8}"/>
    <hyperlink ref="D76" r:id="rId19" xr:uid="{751723C9-C9E1-4A47-B028-C82685044A85}"/>
    <hyperlink ref="D86:D87" r:id="rId20" display="https://journals.sagepub.com/doi/abs/10.1177/0734242x15607427 (Xue et al.)" xr:uid="{9D24AD2A-76AB-4F34-9D45-9C21F4D2760E}"/>
    <hyperlink ref="D91" r:id="rId21" xr:uid="{904FA0E2-6D46-4195-AC13-2294C27A6436}"/>
    <hyperlink ref="D82" r:id="rId22" xr:uid="{67C2D962-F7FE-4825-9E5D-8F43F756A76E}"/>
    <hyperlink ref="D84" r:id="rId23" xr:uid="{7DC8D016-841E-4355-852A-FB2D59E3CFF6}"/>
    <hyperlink ref="D83" r:id="rId24" xr:uid="{D0E069F9-D475-4277-826E-4502C5DC2E45}"/>
    <hyperlink ref="D86" r:id="rId25" xr:uid="{2D4EDDB7-5107-4905-B470-A9B0A181730F}"/>
    <hyperlink ref="D87" r:id="rId26" xr:uid="{063FE9DD-3204-4E3E-BC6B-E593739AD2FC}"/>
    <hyperlink ref="D81" r:id="rId27" xr:uid="{5C3A6649-743C-45A6-992A-07FF3124822E}"/>
    <hyperlink ref="D85" r:id="rId28" xr:uid="{FAEC6226-43A2-45E5-96AB-11EDAFDE5863}"/>
    <hyperlink ref="D113" r:id="rId29" xr:uid="{6EB5E532-8D0C-465F-B391-F7F46CD2387E}"/>
    <hyperlink ref="D150" r:id="rId30" xr:uid="{E28B7F15-F273-4EBA-AA6D-B86CEEB09DAB}"/>
    <hyperlink ref="D149" r:id="rId31" xr:uid="{8E359845-F973-4EF5-B0B1-4609F8B932B6}"/>
    <hyperlink ref="D134" r:id="rId32" xr:uid="{5DE7CA99-2FD7-4FCE-8239-2D64FA2871D4}"/>
    <hyperlink ref="D146" r:id="rId33" xr:uid="{1E1BB013-AD23-4875-A1E8-7D82955A5381}"/>
    <hyperlink ref="D133" r:id="rId34" xr:uid="{BC520428-20AC-4DAC-A840-611A39BE75EF}"/>
    <hyperlink ref="D126" r:id="rId35" xr:uid="{FBFA75F7-9FFC-4C87-B9E9-6B89B0BF3CC9}"/>
    <hyperlink ref="D90:D91" r:id="rId36" display="https://ec.europa.eu/environment/eussd/pdf/bio_foodwaste_report.pdf" xr:uid="{9E565C19-50C7-41A6-91E7-473095A390F7}"/>
    <hyperlink ref="D144" r:id="rId37" xr:uid="{C9F2D72E-1120-4E29-8B1E-E1EEC788432B}"/>
    <hyperlink ref="D140:D141" r:id="rId38" display="https://www.wwf.de/fileadmin/user_upload/WWF_BOELL_How_to_feed.pdf" xr:uid="{2B40F603-4AAA-46A5-8B75-4549126DD87D}"/>
    <hyperlink ref="D80" r:id="rId39" tooltip="Persistent link using digital object identifier" xr:uid="{AE99517D-81ED-4F15-84CC-7F2E00FA70BD}"/>
    <hyperlink ref="D112" r:id="rId40" tooltip="Persistent link using digital object identifier" xr:uid="{2B6D43A8-485F-427C-BEDA-C1AA1A6624D6}"/>
    <hyperlink ref="D132" r:id="rId41" xr:uid="{A4FB4FB1-7439-44ED-BA9E-E3C4BCA645D5}"/>
    <hyperlink ref="D111" r:id="rId42" xr:uid="{2853B9FD-F971-4592-9D3D-C02B88A8546B}"/>
    <hyperlink ref="D152" r:id="rId43" tooltip="Persistent link using digital object identifier" xr:uid="{5BEDCCC7-DCD9-4636-BB25-45935EC2846C}"/>
    <hyperlink ref="D79" r:id="rId44" xr:uid="{8B35609B-3E93-4423-AC72-169965F5687B}"/>
    <hyperlink ref="D78" r:id="rId45" xr:uid="{19E3FB2B-3B30-4F3B-8510-CA5D9AC826BE}"/>
    <hyperlink ref="D110" r:id="rId46" xr:uid="{131C1CE6-F013-4F96-982A-28D1F634CA4D}"/>
    <hyperlink ref="D125" r:id="rId47" xr:uid="{BE813367-40EC-4A7B-8BE7-5AC2932524D3}"/>
    <hyperlink ref="D123" r:id="rId48" xr:uid="{E96E88BC-7213-4ECC-BD47-69E3F364BEA9}"/>
    <hyperlink ref="D124" r:id="rId49" xr:uid="{E26F662D-9B10-4538-9044-84BB3BEAAC18}"/>
    <hyperlink ref="D34" r:id="rId50" xr:uid="{248D4FC8-1BD6-485D-B982-AF08C4849B88}"/>
    <hyperlink ref="D35" r:id="rId51" xr:uid="{7E223E63-5197-4B28-86A8-755D341ADC8B}"/>
    <hyperlink ref="D36" r:id="rId52" xr:uid="{24F57075-0F5C-4D97-B682-52C283E898FA}"/>
    <hyperlink ref="D44" r:id="rId53" xr:uid="{0E061B19-F22E-4F98-91AA-04D0C89AE909}"/>
    <hyperlink ref="D138" r:id="rId54" tooltip="Persistent link using digital object identifier" xr:uid="{0815E2BF-7152-458E-BCE9-3EADF0713D58}"/>
    <hyperlink ref="D148" r:id="rId55" xr:uid="{7B9CE3E2-2480-45CC-9E96-F0D616DDEE36}"/>
    <hyperlink ref="D51" r:id="rId56" xr:uid="{873DFC1D-F1DA-4E2F-91AC-12957893C845}"/>
    <hyperlink ref="D145" r:id="rId57" xr:uid="{13839AE1-A347-4C03-8749-322688B5C81E}"/>
    <hyperlink ref="D136" r:id="rId58" xr:uid="{DFC82162-E6D7-4DDE-BF8B-C51CDDAB2BA7}"/>
    <hyperlink ref="D115" r:id="rId59" xr:uid="{BF94973C-C5BF-408E-9080-9FF45831E86C}"/>
    <hyperlink ref="D128" r:id="rId60" xr:uid="{F79F7B5C-516F-4BBB-AB92-BBD0241EB22C}"/>
    <hyperlink ref="D151" r:id="rId61" xr:uid="{F5281725-677B-4250-A46B-331CF8B06EBD}"/>
    <hyperlink ref="D88" r:id="rId62" xr:uid="{45BAA08C-8B05-4E82-8AF8-3556A9C6981A}"/>
    <hyperlink ref="D90" r:id="rId63" xr:uid="{16CC60B9-050A-48BC-85DD-044547D5FBDF}"/>
    <hyperlink ref="D94" r:id="rId64" xr:uid="{670B4514-FBD4-48DA-821E-C77A956C998D}"/>
    <hyperlink ref="D57" r:id="rId65" xr:uid="{B73D00BA-362D-49DB-BE6F-182D0B2862DA}"/>
    <hyperlink ref="D41" r:id="rId66" display="https://doi.org/10.3390/su11123381" xr:uid="{A1023234-B428-4815-B1ED-1FFE4D812C52}"/>
    <hyperlink ref="D127" r:id="rId67" xr:uid="{28876B0C-3967-41CA-995F-18940A015406}"/>
    <hyperlink ref="D116" r:id="rId68" xr:uid="{1AC2921C-15C3-4972-9A5C-21BCE54C56D3}"/>
    <hyperlink ref="D117" r:id="rId69" xr:uid="{11F90E87-25A4-4537-AB19-4105A3A8C428}"/>
    <hyperlink ref="D97" r:id="rId70" xr:uid="{4017DBF0-9B05-484E-80EB-1CEBF29555C5}"/>
    <hyperlink ref="D98" r:id="rId71" xr:uid="{B86AEBAD-9F62-4A93-82C9-BC67AFBB8C66}"/>
    <hyperlink ref="D95" r:id="rId72" xr:uid="{42D0D752-3BB1-49A0-8BC7-ACEEC3B7F74A}"/>
    <hyperlink ref="D104" r:id="rId73" xr:uid="{A0A168AA-9831-46E4-AB75-902F1A98D6AF}"/>
    <hyperlink ref="D103" r:id="rId74" xr:uid="{37E4747B-7724-4671-9FC8-C9A4C0424199}"/>
    <hyperlink ref="D96" r:id="rId75" xr:uid="{90970530-7D62-4765-8CC3-0ACCB938CA51}"/>
    <hyperlink ref="D100" r:id="rId76" xr:uid="{EF076DA9-7BDC-41C0-8C99-6EBF52C92760}"/>
    <hyperlink ref="D101" r:id="rId77" xr:uid="{4260A579-8DE0-45EE-BB04-E7521A456C0D}"/>
    <hyperlink ref="D99" r:id="rId78" xr:uid="{DAB48646-93F8-4185-AE71-C4B92BE1B29C}"/>
    <hyperlink ref="D102" r:id="rId79" xr:uid="{59953457-026D-4F99-BF2B-A574CF2D7E6E}"/>
    <hyperlink ref="D13" r:id="rId80" xr:uid="{B125D722-AA0D-4656-8D6E-6665694A0200}"/>
    <hyperlink ref="D8" r:id="rId81" xr:uid="{3009159F-8989-4711-90FD-BB96E93CC571}"/>
    <hyperlink ref="D4" r:id="rId82" xr:uid="{223D1460-8FB8-4AC8-A5F6-D7B070D1FAD8}"/>
    <hyperlink ref="D5" r:id="rId83" xr:uid="{4296A563-849D-4839-AC60-5BA6E9F6B0F6}"/>
    <hyperlink ref="D6" r:id="rId84" xr:uid="{91DA20BB-B490-4071-A299-B7BA663E5BBB}"/>
    <hyperlink ref="D24" r:id="rId85" xr:uid="{72A35862-810C-4F66-9361-8DEC3D39F33F}"/>
    <hyperlink ref="D25" r:id="rId86" xr:uid="{CF5613DC-8690-4545-BA26-A5606D59A397}"/>
    <hyperlink ref="D31" r:id="rId87" xr:uid="{CD9683D8-F088-45D2-B683-865FB96BB818}"/>
    <hyperlink ref="D32" r:id="rId88" xr:uid="{C28157EE-E8D9-44FB-86BD-752068150509}"/>
    <hyperlink ref="D27" r:id="rId89" xr:uid="{C77E3F30-DDBD-4BB6-9C96-8757AE420B65}"/>
    <hyperlink ref="D26" r:id="rId90" xr:uid="{3577785A-FD96-4CDC-82D5-A63FAFC00403}"/>
    <hyperlink ref="D28" r:id="rId91" xr:uid="{DAF62076-EF75-4990-9ACA-D2C2378AF4FB}"/>
    <hyperlink ref="D29" r:id="rId92" xr:uid="{CA1D4C3F-CAD4-4772-B481-5524B1520AD5}"/>
    <hyperlink ref="D30" r:id="rId93" xr:uid="{6458F6B5-A675-49AA-9E9D-5A02DF5C010C}"/>
    <hyperlink ref="D50" r:id="rId94" xr:uid="{F025954A-B330-4A79-A42B-0D7674F9C1A2}"/>
    <hyperlink ref="D121" r:id="rId95" xr:uid="{BD536DC9-E547-49EE-84C2-4AEBFBBA885A}"/>
    <hyperlink ref="D114" r:id="rId96" xr:uid="{ECC6E8DF-11AB-478F-911D-240B6A900079}"/>
    <hyperlink ref="D56" r:id="rId97" xr:uid="{BB79BF59-D778-453B-B84B-A980255B8D99}"/>
    <hyperlink ref="D93" r:id="rId98" tooltip="Persistent link using digital object identifier" xr:uid="{62F1022A-FF32-4713-BE80-6604A2627570}"/>
    <hyperlink ref="D139" r:id="rId99" xr:uid="{C00C2BA8-69AE-4F1A-94F8-E127EE6F2F06}"/>
    <hyperlink ref="D14" r:id="rId100" xr:uid="{2036DBAB-CE07-421A-B6FE-E411BBF9C07E}"/>
    <hyperlink ref="D33" r:id="rId101" xr:uid="{E9FE7DCA-793D-443D-9A28-3CB9CA52D93B}"/>
    <hyperlink ref="D2" r:id="rId102" tooltip="Persistent link using digital object identifier" xr:uid="{BBC6E2F1-6AA8-4E15-9305-C11C2947A00E}"/>
    <hyperlink ref="D3" r:id="rId103" xr:uid="{C2D7148C-EF59-4779-AABA-B5CC68BF30E7}"/>
    <hyperlink ref="D7" r:id="rId104" xr:uid="{328BE29E-B6F9-49D7-B206-8451AC210729}"/>
    <hyperlink ref="D48" r:id="rId105" xr:uid="{7D2A9323-89FD-4F1D-9EBF-07CF30A4AC85}"/>
    <hyperlink ref="D64" r:id="rId106" xr:uid="{955AF875-5294-4D62-B55B-17A26866A939}"/>
    <hyperlink ref="D65" r:id="rId107" xr:uid="{12024D21-16A1-40C8-BE65-9F5A15DD5C10}"/>
    <hyperlink ref="D106" r:id="rId108" xr:uid="{35688051-084A-4129-9E0E-B91C000C301D}"/>
    <hyperlink ref="D89" r:id="rId109" xr:uid="{700C744C-B6CF-4EBF-86D0-479741E20B1B}"/>
    <hyperlink ref="D60" r:id="rId110" xr:uid="{B5DBE9CD-21A8-41E2-BF0D-AC0883C9FC2D}"/>
    <hyperlink ref="D75" r:id="rId111" xr:uid="{8F2BF335-6841-43FD-8448-83F410C20177}"/>
    <hyperlink ref="D74" r:id="rId112" xr:uid="{463D1F8F-249C-486F-8DA4-FAD08AEF12E3}"/>
    <hyperlink ref="D73" r:id="rId113" xr:uid="{4B3187C8-5345-4347-B19B-72E99DF6B75C}"/>
    <hyperlink ref="D147" r:id="rId114" xr:uid="{7A9120AB-9FFD-4666-8D22-185076CBB65E}"/>
    <hyperlink ref="D15" r:id="rId115" xr:uid="{FD40B058-C097-4617-AFAB-18EE9FD147D8}"/>
    <hyperlink ref="D45" r:id="rId116" xr:uid="{2579BF48-5503-489B-87DD-3FB242F7C742}"/>
    <hyperlink ref="D54" r:id="rId117" xr:uid="{FEC841C4-F4E3-44DE-B6D5-100EF5E6FDDA}"/>
    <hyperlink ref="D55" r:id="rId118" xr:uid="{62D89878-FA80-4B1E-A4D4-B34D4EF5320E}"/>
    <hyperlink ref="D62" r:id="rId119" xr:uid="{8D58FD97-3DC4-49F5-830E-09F837CCA4CC}"/>
    <hyperlink ref="D53" r:id="rId120" xr:uid="{708EC9DB-B2F2-4942-9EDC-3715DC271BBE}"/>
    <hyperlink ref="D63" r:id="rId121" xr:uid="{E0CFA01A-DDE3-489E-AAC4-B1DC5916E375}"/>
  </hyperlinks>
  <pageMargins left="0.7" right="0.7" top="0.75" bottom="0.75" header="0.3" footer="0.3"/>
  <pageSetup paperSize="9" orientation="portrait" verticalDpi="0" r:id="rId122"/>
  <legacyDrawing r:id="rId123"/>
  <tableParts count="1">
    <tablePart r:id="rId1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B896-2B7B-43C3-B92D-392307C9944B}">
  <sheetPr>
    <tabColor theme="9" tint="0.79998168889431442"/>
  </sheetPr>
  <dimension ref="A1:U217"/>
  <sheetViews>
    <sheetView topLeftCell="J1" zoomScale="140" zoomScaleNormal="140" workbookViewId="0">
      <selection activeCell="U1" sqref="U1"/>
    </sheetView>
  </sheetViews>
  <sheetFormatPr baseColWidth="10" defaultColWidth="8.83203125" defaultRowHeight="15" x14ac:dyDescent="0.2"/>
  <cols>
    <col min="1" max="3" width="23.6640625" style="165" customWidth="1"/>
    <col min="4" max="4" width="23.6640625" customWidth="1"/>
    <col min="5" max="7" width="23.6640625" style="165" customWidth="1"/>
    <col min="8" max="8" width="16" style="189" customWidth="1"/>
    <col min="9" max="9" width="10" customWidth="1"/>
    <col min="10" max="10" width="19.33203125" bestFit="1" customWidth="1"/>
    <col min="11" max="11" width="12.1640625" bestFit="1" customWidth="1"/>
    <col min="12" max="12" width="19" style="194" bestFit="1" customWidth="1"/>
    <col min="15" max="15" width="14.6640625" style="188" bestFit="1" customWidth="1"/>
    <col min="16" max="16" width="11.1640625" bestFit="1" customWidth="1"/>
  </cols>
  <sheetData>
    <row r="1" spans="1:21" ht="60" x14ac:dyDescent="0.2">
      <c r="A1" s="159" t="s">
        <v>145</v>
      </c>
      <c r="B1" s="159" t="s">
        <v>686</v>
      </c>
      <c r="C1" s="159" t="s">
        <v>90</v>
      </c>
      <c r="D1" t="str">
        <f>_xlfn.XLOOKUP(B1,'Country Code M49'!B1:B249,'Country Code M49'!C1:C249,,0)</f>
        <v>ISO-alpha3 code</v>
      </c>
      <c r="E1" s="159" t="s">
        <v>687</v>
      </c>
      <c r="F1" s="159" t="s">
        <v>688</v>
      </c>
      <c r="G1" s="159" t="s">
        <v>689</v>
      </c>
      <c r="H1" s="187" t="s">
        <v>888</v>
      </c>
      <c r="I1" s="159" t="s">
        <v>1168</v>
      </c>
      <c r="J1" s="159" t="s">
        <v>1169</v>
      </c>
      <c r="K1" s="159" t="s">
        <v>1171</v>
      </c>
      <c r="L1" s="159" t="s">
        <v>1172</v>
      </c>
      <c r="M1" s="159" t="s">
        <v>1174</v>
      </c>
      <c r="N1" s="159" t="s">
        <v>1175</v>
      </c>
      <c r="O1" s="239" t="s">
        <v>1176</v>
      </c>
      <c r="P1" s="239" t="s">
        <v>1177</v>
      </c>
      <c r="Q1" s="239" t="s">
        <v>1178</v>
      </c>
      <c r="R1" s="239" t="s">
        <v>1179</v>
      </c>
      <c r="S1" s="239" t="s">
        <v>1180</v>
      </c>
      <c r="T1" s="239" t="s">
        <v>1181</v>
      </c>
      <c r="U1" s="239"/>
    </row>
    <row r="2" spans="1:21" x14ac:dyDescent="0.2">
      <c r="A2" s="161" t="s">
        <v>149</v>
      </c>
      <c r="B2" s="161">
        <v>4</v>
      </c>
      <c r="C2" s="161" t="s">
        <v>797</v>
      </c>
      <c r="D2" t="str">
        <f>_xlfn.XLOOKUP(B2,'Country Code M49'!$B$2:$B$250,'Country Code M49'!$C$2:$C$250,,0)</f>
        <v>AFG</v>
      </c>
      <c r="E2" s="162">
        <v>81.729904237917722</v>
      </c>
      <c r="F2" s="162">
        <v>3109152.6710380181</v>
      </c>
      <c r="G2" s="160" t="s">
        <v>872</v>
      </c>
      <c r="H2" s="188">
        <f>_xlfn.XLOOKUP(D2,'[1]World Population'!$C$2:$C$267,'[1]World Population'!$BN$2:$BN$267)</f>
        <v>38928341</v>
      </c>
      <c r="I2" s="188">
        <v>100</v>
      </c>
      <c r="J2" s="194">
        <f>_xlfn.XLOOKUP(D2,'[2]GDP 2015 Constant'!$B$6:$B$271,'[2]GDP 2015 Constant'!$BM$6:$BM$271)</f>
        <v>20621946476</v>
      </c>
      <c r="K2" s="193">
        <f>J2/H2</f>
        <v>529.74121029200808</v>
      </c>
      <c r="L2" s="194">
        <f>_xlfn.XLOOKUP(D2,'[5]Tourism Receipts'!$B$6:$B$271,'[5]Tourism Receipts'!$BK$6:$BK$271)</f>
        <v>50000000</v>
      </c>
      <c r="M2" s="195">
        <f>L2/J2</f>
        <v>2.4246013856252819E-3</v>
      </c>
      <c r="N2">
        <f>_xlfn.XLOOKUP(D2,'[6]API_NV.AGR.TOTL.ZS_DS2_en_csv_v'!$B$6:$B$271,'[6]API_NV.AGR.TOTL.ZS_DS2_en_csv_v'!$BL$6:$BL$271)</f>
        <v>25.773970739410501</v>
      </c>
      <c r="O2" s="188">
        <f>_xlfn.XLOOKUP(D2,'[7]API_SP.RUR.TOTL_DS2_en_csv_v2_4'!$B$6:$B$271,'[7]API_SP.RUR.TOTL_DS2_en_csv_v2_4'!$BM$6:$BM$271)</f>
        <v>28796851</v>
      </c>
      <c r="P2" s="188">
        <f>_xlfn.XLOOKUP(D2,'[8]API_AG.PRD.FOOD.XD_DS2_en_csv_v'!$B$6:$B$271,'[8]API_AG.PRD.FOOD.XD_DS2_en_csv_v'!$BM$6:$BM$271)</f>
        <v>118.04</v>
      </c>
      <c r="Q2">
        <f>_xlfn.XLOOKUP(D2,'[9]API_NE.IMP.GNFS.ZS_DS2_en_csv_v'!$B$6:$B$271,'[9]API_NE.IMP.GNFS.ZS_DS2_en_csv_v'!$BK$6:$BK$271)</f>
        <v>0</v>
      </c>
      <c r="R2">
        <f>_xlfn.XLOOKUP(D2,'[10]API_NE.EXP.GNFS.ZS_DS2_en_csv_v'!$B$6:$B$271,'[10]API_NE.EXP.GNFS.ZS_DS2_en_csv_v'!$BL$6:$BL$271)</f>
        <v>0</v>
      </c>
      <c r="S2">
        <f>_xlfn.XLOOKUP(D2,'[11]API_EG.USE.ELEC.KH.PC_DS2_en_cs'!$B$6:$B$271,'[11]API_EG.USE.ELEC.KH.PC_DS2_en_cs'!$BG$6:$BG$271)</f>
        <v>0</v>
      </c>
      <c r="T2">
        <f>_xlfn.XLOOKUP(D2,'[12]API_EN.POP.DNST_DS2_en_csv_v2_4'!$B$6:$B$271,'[12]API_EN.POP.DNST_DS2_en_csv_v2_4'!$BM$6:$BM$271)</f>
        <v>59.684989957530298</v>
      </c>
    </row>
    <row r="3" spans="1:21" x14ac:dyDescent="0.2">
      <c r="A3" s="161" t="s">
        <v>155</v>
      </c>
      <c r="B3" s="161">
        <v>8</v>
      </c>
      <c r="C3" s="161" t="s">
        <v>802</v>
      </c>
      <c r="D3" t="str">
        <f>_xlfn.XLOOKUP(B3,'Country Code M49'!$B$2:$B$250,'Country Code M49'!$C$2:$C$250,,0)</f>
        <v>ALB</v>
      </c>
      <c r="E3" s="162">
        <v>82.783773370705802</v>
      </c>
      <c r="F3" s="162">
        <v>238491.77270366636</v>
      </c>
      <c r="G3" s="160" t="s">
        <v>877</v>
      </c>
      <c r="H3" s="188">
        <f>_xlfn.XLOOKUP(D3,'[1]World Population'!$C$2:$C$267,'[1]World Population'!$BN$2:$BN$267)</f>
        <v>2837849</v>
      </c>
      <c r="I3" s="188">
        <v>100</v>
      </c>
      <c r="J3" s="194">
        <f>_xlfn.XLOOKUP(D3,'[2]GDP 2015 Constant'!$B$6:$B$271,'[2]GDP 2015 Constant'!$BM$6:$BM$271)</f>
        <v>12516205780</v>
      </c>
      <c r="K3" s="193">
        <f t="shared" ref="K3:K66" si="0">J3/H3</f>
        <v>4410.455165162065</v>
      </c>
      <c r="L3" s="194">
        <f>_xlfn.XLOOKUP(D3,'[5]Tourism Receipts'!$B$6:$B$271,'[5]Tourism Receipts'!$BK$6:$BK$271)</f>
        <v>2306000000</v>
      </c>
      <c r="M3" s="195">
        <f t="shared" ref="M3:M66" si="1">L3/J3</f>
        <v>0.18424113829167166</v>
      </c>
      <c r="N3">
        <f>_xlfn.XLOOKUP(D3,'[6]API_NV.AGR.TOTL.ZS_DS2_en_csv_v'!$B$6:$B$271,'[6]API_NV.AGR.TOTL.ZS_DS2_en_csv_v'!$BL$6:$BL$271)</f>
        <v>18.389347436737498</v>
      </c>
      <c r="O3" s="188">
        <f>_xlfn.XLOOKUP(D3,'[7]API_SP.RUR.TOTL_DS2_en_csv_v2_4'!$B$6:$B$271,'[7]API_SP.RUR.TOTL_DS2_en_csv_v2_4'!$BM$6:$BM$271)</f>
        <v>1075204</v>
      </c>
      <c r="P3" s="188">
        <f>_xlfn.XLOOKUP(D3,'[8]API_AG.PRD.FOOD.XD_DS2_en_csv_v'!$B$6:$B$271,'[8]API_AG.PRD.FOOD.XD_DS2_en_csv_v'!$BM$6:$BM$271)</f>
        <v>105.66</v>
      </c>
      <c r="Q3">
        <f>_xlfn.XLOOKUP(D3,'[9]API_NE.IMP.GNFS.ZS_DS2_en_csv_v'!$B$6:$B$271,'[9]API_NE.IMP.GNFS.ZS_DS2_en_csv_v'!$BK$6:$BK$271)</f>
        <v>45.236190919583002</v>
      </c>
      <c r="R3">
        <f>_xlfn.XLOOKUP(D3,'[10]API_NE.EXP.GNFS.ZS_DS2_en_csv_v'!$B$6:$B$271,'[10]API_NE.EXP.GNFS.ZS_DS2_en_csv_v'!$BL$6:$BL$271)</f>
        <v>31.304270129803399</v>
      </c>
      <c r="S3">
        <f>_xlfn.XLOOKUP(D3,'[11]API_EG.USE.ELEC.KH.PC_DS2_en_cs'!$B$6:$B$271,'[11]API_EG.USE.ELEC.KH.PC_DS2_en_cs'!$BG$6:$BG$271)</f>
        <v>2309.3665025558098</v>
      </c>
      <c r="T3">
        <f>_xlfn.XLOOKUP(D3,'[12]API_EN.POP.DNST_DS2_en_csv_v2_4'!$B$6:$B$271,'[12]API_EN.POP.DNST_DS2_en_csv_v2_4'!$BM$6:$BM$271)</f>
        <v>103.571131386861</v>
      </c>
    </row>
    <row r="4" spans="1:21" x14ac:dyDescent="0.2">
      <c r="A4" s="161" t="s">
        <v>876</v>
      </c>
      <c r="B4" s="161">
        <v>12</v>
      </c>
      <c r="C4" s="161" t="s">
        <v>764</v>
      </c>
      <c r="D4" t="str">
        <f>_xlfn.XLOOKUP(B4,'Country Code M49'!$B$2:$B$250,'Country Code M49'!$C$2:$C$250,,0)</f>
        <v>DZA</v>
      </c>
      <c r="E4" s="162">
        <v>91.016179554931128</v>
      </c>
      <c r="F4" s="162">
        <v>3918528.6799964053</v>
      </c>
      <c r="G4" s="160" t="s">
        <v>872</v>
      </c>
      <c r="H4" s="188">
        <f>_xlfn.XLOOKUP(D4,'[1]World Population'!$C$2:$C$267,'[1]World Population'!$BN$2:$BN$267)</f>
        <v>43851043</v>
      </c>
      <c r="I4" s="188">
        <v>100</v>
      </c>
      <c r="J4" s="194">
        <f>_xlfn.XLOOKUP(D4,'[2]GDP 2015 Constant'!$B$6:$B$271,'[2]GDP 2015 Constant'!$BM$6:$BM$271)</f>
        <v>168144000000</v>
      </c>
      <c r="K4" s="193">
        <f t="shared" si="0"/>
        <v>3834.4355914179737</v>
      </c>
      <c r="L4" s="194">
        <f>_xlfn.XLOOKUP(D4,'[5]Tourism Receipts'!$B$6:$B$271,'[5]Tourism Receipts'!$BK$6:$BK$271)</f>
        <v>196500000</v>
      </c>
      <c r="M4" s="195">
        <f t="shared" si="1"/>
        <v>1.1686411647159577E-3</v>
      </c>
      <c r="N4">
        <f>_xlfn.XLOOKUP(D4,'[6]API_NV.AGR.TOTL.ZS_DS2_en_csv_v'!$B$6:$B$271,'[6]API_NV.AGR.TOTL.ZS_DS2_en_csv_v'!$BL$6:$BL$271)</f>
        <v>12.3362121115896</v>
      </c>
      <c r="O4" s="188">
        <f>_xlfn.XLOOKUP(D4,'[7]API_SP.RUR.TOTL_DS2_en_csv_v2_4'!$B$6:$B$271,'[7]API_SP.RUR.TOTL_DS2_en_csv_v2_4'!$BM$6:$BM$271)</f>
        <v>11518353</v>
      </c>
      <c r="P4" s="188">
        <f>_xlfn.XLOOKUP(D4,'[8]API_AG.PRD.FOOD.XD_DS2_en_csv_v'!$B$6:$B$271,'[8]API_AG.PRD.FOOD.XD_DS2_en_csv_v'!$BM$6:$BM$271)</f>
        <v>112.5</v>
      </c>
      <c r="Q4">
        <f>_xlfn.XLOOKUP(D4,'[9]API_NE.IMP.GNFS.ZS_DS2_en_csv_v'!$B$6:$B$271,'[9]API_NE.IMP.GNFS.ZS_DS2_en_csv_v'!$BK$6:$BK$271)</f>
        <v>32.204340946665198</v>
      </c>
      <c r="R4">
        <f>_xlfn.XLOOKUP(D4,'[10]API_NE.EXP.GNFS.ZS_DS2_en_csv_v'!$B$6:$B$271,'[10]API_NE.EXP.GNFS.ZS_DS2_en_csv_v'!$BL$6:$BL$271)</f>
        <v>22.713461910112201</v>
      </c>
      <c r="S4">
        <f>_xlfn.XLOOKUP(D4,'[11]API_EG.USE.ELEC.KH.PC_DS2_en_cs'!$B$6:$B$271,'[11]API_EG.USE.ELEC.KH.PC_DS2_en_cs'!$BG$6:$BG$271)</f>
        <v>1362.87188408252</v>
      </c>
      <c r="T4">
        <f>_xlfn.XLOOKUP(D4,'[12]API_EN.POP.DNST_DS2_en_csv_v2_4'!$B$6:$B$271,'[12]API_EN.POP.DNST_DS2_en_csv_v2_4'!$BM$6:$BM$271)</f>
        <v>18.411339856012901</v>
      </c>
    </row>
    <row r="5" spans="1:21" x14ac:dyDescent="0.2">
      <c r="A5" s="161" t="s">
        <v>878</v>
      </c>
      <c r="B5" s="161">
        <v>16</v>
      </c>
      <c r="C5" s="161" t="s">
        <v>780</v>
      </c>
      <c r="D5" t="str">
        <f>_xlfn.XLOOKUP(B5,'Country Code M49'!$B$2:$B$250,'Country Code M49'!$C$2:$C$250,,0)</f>
        <v>ASM</v>
      </c>
      <c r="E5" s="162">
        <v>75.713119146168523</v>
      </c>
      <c r="F5" s="162">
        <v>4186.9354887831196</v>
      </c>
      <c r="G5" s="160" t="s">
        <v>872</v>
      </c>
      <c r="H5" s="188">
        <f>_xlfn.XLOOKUP(D5,'[1]World Population'!$C$2:$C$267,'[1]World Population'!$BN$2:$BN$267)</f>
        <v>55197</v>
      </c>
      <c r="I5" s="188">
        <v>100</v>
      </c>
      <c r="J5" s="194">
        <f>_xlfn.XLOOKUP(D5,'[2]GDP 2015 Constant'!$B$6:$B$271,'[2]GDP 2015 Constant'!$BM$6:$BM$271)</f>
        <v>653477862.60000002</v>
      </c>
      <c r="K5" s="193">
        <f t="shared" si="0"/>
        <v>11839.010500570683</v>
      </c>
      <c r="L5" s="194">
        <f>_xlfn.XLOOKUP(D5,'[5]Tourism Receipts'!$B$6:$B$271,'[5]Tourism Receipts'!$BK$6:$BK$271)</f>
        <v>0</v>
      </c>
      <c r="M5" s="195">
        <f t="shared" si="1"/>
        <v>0</v>
      </c>
      <c r="N5">
        <f>_xlfn.XLOOKUP(D5,'[6]API_NV.AGR.TOTL.ZS_DS2_en_csv_v'!$B$6:$B$271,'[6]API_NV.AGR.TOTL.ZS_DS2_en_csv_v'!$BL$6:$BL$271)</f>
        <v>0</v>
      </c>
      <c r="O5" s="188">
        <f>_xlfn.XLOOKUP(D5,'[7]API_SP.RUR.TOTL_DS2_en_csv_v2_4'!$B$6:$B$271,'[7]API_SP.RUR.TOTL_DS2_en_csv_v2_4'!$BM$6:$BM$271)</f>
        <v>7091</v>
      </c>
      <c r="P5" s="188">
        <f>_xlfn.XLOOKUP(D5,'[8]API_AG.PRD.FOOD.XD_DS2_en_csv_v'!$B$6:$B$271,'[8]API_AG.PRD.FOOD.XD_DS2_en_csv_v'!$BM$6:$BM$271)</f>
        <v>0</v>
      </c>
      <c r="Q5">
        <f>_xlfn.XLOOKUP(D5,'[9]API_NE.IMP.GNFS.ZS_DS2_en_csv_v'!$B$6:$B$271,'[9]API_NE.IMP.GNFS.ZS_DS2_en_csv_v'!$BK$6:$BK$271)</f>
        <v>103.599374021909</v>
      </c>
      <c r="R5">
        <f>_xlfn.XLOOKUP(D5,'[10]API_NE.EXP.GNFS.ZS_DS2_en_csv_v'!$B$6:$B$271,'[10]API_NE.EXP.GNFS.ZS_DS2_en_csv_v'!$BL$6:$BL$271)</f>
        <v>61.574074074074097</v>
      </c>
      <c r="S5">
        <f>_xlfn.XLOOKUP(D5,'[11]API_EG.USE.ELEC.KH.PC_DS2_en_cs'!$B$6:$B$271,'[11]API_EG.USE.ELEC.KH.PC_DS2_en_cs'!$BG$6:$BG$271)</f>
        <v>0</v>
      </c>
      <c r="T5">
        <f>_xlfn.XLOOKUP(D5,'[12]API_EN.POP.DNST_DS2_en_csv_v2_4'!$B$6:$B$271,'[12]API_EN.POP.DNST_DS2_en_csv_v2_4'!$BM$6:$BM$271)</f>
        <v>275.98500000000001</v>
      </c>
    </row>
    <row r="6" spans="1:21" x14ac:dyDescent="0.2">
      <c r="A6" s="161" t="s">
        <v>155</v>
      </c>
      <c r="B6" s="161">
        <v>20</v>
      </c>
      <c r="C6" s="161" t="s">
        <v>803</v>
      </c>
      <c r="D6" t="str">
        <f>_xlfn.XLOOKUP(B6,'Country Code M49'!$B$2:$B$250,'Country Code M49'!$C$2:$C$250,,0)</f>
        <v>AND</v>
      </c>
      <c r="E6" s="162">
        <v>84.272380315674425</v>
      </c>
      <c r="F6" s="162">
        <v>6497.4005223384984</v>
      </c>
      <c r="G6" s="160" t="s">
        <v>877</v>
      </c>
      <c r="H6" s="188">
        <f>_xlfn.XLOOKUP(D6,'[1]World Population'!$C$2:$C$267,'[1]World Population'!$BN$2:$BN$267)</f>
        <v>77265</v>
      </c>
      <c r="I6" s="188">
        <v>100</v>
      </c>
      <c r="J6" s="194">
        <f>_xlfn.XLOOKUP(D6,'[2]GDP 2015 Constant'!$B$6:$B$271,'[2]GDP 2015 Constant'!$BM$6:$BM$271)</f>
        <v>2672445971</v>
      </c>
      <c r="K6" s="193">
        <f t="shared" si="0"/>
        <v>34588.053724195946</v>
      </c>
      <c r="L6" s="194">
        <f>_xlfn.XLOOKUP(D6,'[5]Tourism Receipts'!$B$6:$B$271,'[5]Tourism Receipts'!$BK$6:$BK$271)</f>
        <v>0</v>
      </c>
      <c r="M6" s="195">
        <f t="shared" si="1"/>
        <v>0</v>
      </c>
      <c r="N6">
        <f>_xlfn.XLOOKUP(D6,'[6]API_NV.AGR.TOTL.ZS_DS2_en_csv_v'!$B$6:$B$271,'[6]API_NV.AGR.TOTL.ZS_DS2_en_csv_v'!$BL$6:$BL$271)</f>
        <v>0.52263324841577896</v>
      </c>
      <c r="O6" s="188">
        <f>_xlfn.XLOOKUP(D6,'[7]API_SP.RUR.TOTL_DS2_en_csv_v2_4'!$B$6:$B$271,'[7]API_SP.RUR.TOTL_DS2_en_csv_v2_4'!$BM$6:$BM$271)</f>
        <v>9337</v>
      </c>
      <c r="P6" s="188">
        <f>_xlfn.XLOOKUP(D6,'[8]API_AG.PRD.FOOD.XD_DS2_en_csv_v'!$B$6:$B$271,'[8]API_AG.PRD.FOOD.XD_DS2_en_csv_v'!$BM$6:$BM$271)</f>
        <v>0</v>
      </c>
      <c r="Q6">
        <f>_xlfn.XLOOKUP(D6,'[9]API_NE.IMP.GNFS.ZS_DS2_en_csv_v'!$B$6:$B$271,'[9]API_NE.IMP.GNFS.ZS_DS2_en_csv_v'!$BK$6:$BK$271)</f>
        <v>0</v>
      </c>
      <c r="R6">
        <f>_xlfn.XLOOKUP(D6,'[10]API_NE.EXP.GNFS.ZS_DS2_en_csv_v'!$B$6:$B$271,'[10]API_NE.EXP.GNFS.ZS_DS2_en_csv_v'!$BL$6:$BL$271)</f>
        <v>0</v>
      </c>
      <c r="S6">
        <f>_xlfn.XLOOKUP(D6,'[11]API_EG.USE.ELEC.KH.PC_DS2_en_cs'!$B$6:$B$271,'[11]API_EG.USE.ELEC.KH.PC_DS2_en_cs'!$BG$6:$BG$271)</f>
        <v>0</v>
      </c>
      <c r="T6">
        <f>_xlfn.XLOOKUP(D6,'[12]API_EN.POP.DNST_DS2_en_csv_v2_4'!$B$6:$B$271,'[12]API_EN.POP.DNST_DS2_en_csv_v2_4'!$BM$6:$BM$271)</f>
        <v>164.39361702127701</v>
      </c>
    </row>
    <row r="7" spans="1:21" x14ac:dyDescent="0.2">
      <c r="A7" s="161" t="s">
        <v>154</v>
      </c>
      <c r="B7" s="161">
        <v>24</v>
      </c>
      <c r="C7" s="161" t="s">
        <v>812</v>
      </c>
      <c r="D7" t="str">
        <f>_xlfn.XLOOKUP(B7,'Country Code M49'!$B$2:$B$250,'Country Code M49'!$C$2:$C$250,,0)</f>
        <v>AGO</v>
      </c>
      <c r="E7" s="162">
        <v>99.59129668943163</v>
      </c>
      <c r="F7" s="162">
        <v>3169522.8945301687</v>
      </c>
      <c r="G7" s="160" t="s">
        <v>877</v>
      </c>
      <c r="H7" s="188">
        <f>_xlfn.XLOOKUP(D7,'[1]World Population'!$C$2:$C$267,'[1]World Population'!$BN$2:$BN$267)</f>
        <v>32866268</v>
      </c>
      <c r="I7" s="188">
        <v>100</v>
      </c>
      <c r="J7" s="194">
        <f>_xlfn.XLOOKUP(D7,'[2]GDP 2015 Constant'!$B$6:$B$271,'[2]GDP 2015 Constant'!$BM$6:$BM$271)</f>
        <v>78566095350</v>
      </c>
      <c r="K7" s="193">
        <f t="shared" si="0"/>
        <v>2390.4781446436205</v>
      </c>
      <c r="L7" s="194">
        <f>_xlfn.XLOOKUP(D7,'[5]Tourism Receipts'!$B$6:$B$271,'[5]Tourism Receipts'!$BK$6:$BK$271)</f>
        <v>557000000</v>
      </c>
      <c r="M7" s="195">
        <f t="shared" si="1"/>
        <v>7.0895721305564412E-3</v>
      </c>
      <c r="N7">
        <f>_xlfn.XLOOKUP(D7,'[6]API_NV.AGR.TOTL.ZS_DS2_en_csv_v'!$B$6:$B$271,'[6]API_NV.AGR.TOTL.ZS_DS2_en_csv_v'!$BL$6:$BL$271)</f>
        <v>7.8826247630720996</v>
      </c>
      <c r="O7" s="188">
        <f>_xlfn.XLOOKUP(D7,'[7]API_SP.RUR.TOTL_DS2_en_csv_v2_4'!$B$6:$B$271,'[7]API_SP.RUR.TOTL_DS2_en_csv_v2_4'!$BM$6:$BM$271)</f>
        <v>10903384</v>
      </c>
      <c r="P7" s="188">
        <f>_xlfn.XLOOKUP(D7,'[8]API_AG.PRD.FOOD.XD_DS2_en_csv_v'!$B$6:$B$271,'[8]API_AG.PRD.FOOD.XD_DS2_en_csv_v'!$BM$6:$BM$271)</f>
        <v>108.08</v>
      </c>
      <c r="Q7">
        <f>_xlfn.XLOOKUP(D7,'[9]API_NE.IMP.GNFS.ZS_DS2_en_csv_v'!$B$6:$B$271,'[9]API_NE.IMP.GNFS.ZS_DS2_en_csv_v'!$BK$6:$BK$271)</f>
        <v>25.541723496357999</v>
      </c>
      <c r="R7">
        <f>_xlfn.XLOOKUP(D7,'[10]API_NE.EXP.GNFS.ZS_DS2_en_csv_v'!$B$6:$B$271,'[10]API_NE.EXP.GNFS.ZS_DS2_en_csv_v'!$BL$6:$BL$271)</f>
        <v>40.790755053283299</v>
      </c>
      <c r="S7">
        <f>_xlfn.XLOOKUP(D7,'[11]API_EG.USE.ELEC.KH.PC_DS2_en_cs'!$B$6:$B$271,'[11]API_EG.USE.ELEC.KH.PC_DS2_en_cs'!$BG$6:$BG$271)</f>
        <v>312.22889451262199</v>
      </c>
      <c r="T7">
        <f>_xlfn.XLOOKUP(D7,'[12]API_EN.POP.DNST_DS2_en_csv_v2_4'!$B$6:$B$271,'[12]API_EN.POP.DNST_DS2_en_csv_v2_4'!$BM$6:$BM$271)</f>
        <v>26.362611694874499</v>
      </c>
    </row>
    <row r="8" spans="1:21" x14ac:dyDescent="0.2">
      <c r="A8" s="161" t="s">
        <v>150</v>
      </c>
      <c r="B8" s="161">
        <v>28</v>
      </c>
      <c r="C8" s="161" t="s">
        <v>708</v>
      </c>
      <c r="D8" t="str">
        <f>_xlfn.XLOOKUP(B8,'Country Code M49'!$B$2:$B$250,'Country Code M49'!$C$2:$C$250,,0)</f>
        <v>ATG</v>
      </c>
      <c r="E8" s="162">
        <v>73.920769675063781</v>
      </c>
      <c r="F8" s="162">
        <v>7177.7067354486926</v>
      </c>
      <c r="G8" s="160" t="s">
        <v>872</v>
      </c>
      <c r="H8" s="188">
        <f>_xlfn.XLOOKUP(D8,'[1]World Population'!$C$2:$C$267,'[1]World Population'!$BN$2:$BN$267)</f>
        <v>97928</v>
      </c>
      <c r="I8" s="188">
        <v>100</v>
      </c>
      <c r="J8" s="194">
        <f>_xlfn.XLOOKUP(D8,'[2]GDP 2015 Constant'!$B$6:$B$271,'[2]GDP 2015 Constant'!$BM$6:$BM$271)</f>
        <v>1301036618</v>
      </c>
      <c r="K8" s="193">
        <f t="shared" si="0"/>
        <v>13285.644738991912</v>
      </c>
      <c r="L8" s="194">
        <f>_xlfn.XLOOKUP(D8,'[5]Tourism Receipts'!$B$6:$B$271,'[5]Tourism Receipts'!$BK$6:$BK$271)</f>
        <v>854000000</v>
      </c>
      <c r="M8" s="195">
        <f t="shared" si="1"/>
        <v>0.65639966484017898</v>
      </c>
      <c r="N8">
        <f>_xlfn.XLOOKUP(D8,'[6]API_NV.AGR.TOTL.ZS_DS2_en_csv_v'!$B$6:$B$271,'[6]API_NV.AGR.TOTL.ZS_DS2_en_csv_v'!$BL$6:$BL$271)</f>
        <v>1.73340883252786</v>
      </c>
      <c r="O8" s="188">
        <f>_xlfn.XLOOKUP(D8,'[7]API_SP.RUR.TOTL_DS2_en_csv_v2_4'!$B$6:$B$271,'[7]API_SP.RUR.TOTL_DS2_en_csv_v2_4'!$BM$6:$BM$271)</f>
        <v>74001</v>
      </c>
      <c r="P8" s="188">
        <f>_xlfn.XLOOKUP(D8,'[8]API_AG.PRD.FOOD.XD_DS2_en_csv_v'!$B$6:$B$271,'[8]API_AG.PRD.FOOD.XD_DS2_en_csv_v'!$BM$6:$BM$271)</f>
        <v>88.3</v>
      </c>
      <c r="Q8">
        <f>_xlfn.XLOOKUP(D8,'[9]API_NE.IMP.GNFS.ZS_DS2_en_csv_v'!$B$6:$B$271,'[9]API_NE.IMP.GNFS.ZS_DS2_en_csv_v'!$BK$6:$BK$271)</f>
        <v>70.539297286701</v>
      </c>
      <c r="R8">
        <f>_xlfn.XLOOKUP(D8,'[10]API_NE.EXP.GNFS.ZS_DS2_en_csv_v'!$B$6:$B$271,'[10]API_NE.EXP.GNFS.ZS_DS2_en_csv_v'!$BL$6:$BL$271)</f>
        <v>70.884714485749498</v>
      </c>
      <c r="S8">
        <f>_xlfn.XLOOKUP(D8,'[11]API_EG.USE.ELEC.KH.PC_DS2_en_cs'!$B$6:$B$271,'[11]API_EG.USE.ELEC.KH.PC_DS2_en_cs'!$BG$6:$BG$271)</f>
        <v>0</v>
      </c>
      <c r="T8">
        <f>_xlfn.XLOOKUP(D8,'[12]API_EN.POP.DNST_DS2_en_csv_v2_4'!$B$6:$B$271,'[12]API_EN.POP.DNST_DS2_en_csv_v2_4'!$BM$6:$BM$271)</f>
        <v>222.56363636363599</v>
      </c>
    </row>
    <row r="9" spans="1:21" x14ac:dyDescent="0.2">
      <c r="A9" s="161" t="s">
        <v>150</v>
      </c>
      <c r="B9" s="161">
        <v>32</v>
      </c>
      <c r="C9" s="161" t="s">
        <v>709</v>
      </c>
      <c r="D9" t="str">
        <f>_xlfn.XLOOKUP(B9,'Country Code M49'!$B$2:$B$250,'Country Code M49'!$C$2:$C$250,,0)</f>
        <v>ARG</v>
      </c>
      <c r="E9" s="162">
        <v>72.432162730095172</v>
      </c>
      <c r="F9" s="162">
        <v>3243562.9495675731</v>
      </c>
      <c r="G9" s="160" t="s">
        <v>872</v>
      </c>
      <c r="H9" s="188">
        <f>_xlfn.XLOOKUP(D9,'[1]World Population'!$C$2:$C$267,'[1]World Population'!$BN$2:$BN$267)</f>
        <v>45376763</v>
      </c>
      <c r="I9" s="188">
        <v>99</v>
      </c>
      <c r="J9" s="194">
        <f>_xlfn.XLOOKUP(D9,'[2]GDP 2015 Constant'!$B$6:$B$271,'[2]GDP 2015 Constant'!$BM$6:$BM$271)</f>
        <v>514772000000</v>
      </c>
      <c r="K9" s="193">
        <f t="shared" si="0"/>
        <v>11344.396690438232</v>
      </c>
      <c r="L9" s="194">
        <f>_xlfn.XLOOKUP(D9,'[5]Tourism Receipts'!$B$6:$B$271,'[5]Tourism Receipts'!$BK$6:$BK$271)</f>
        <v>5999000000</v>
      </c>
      <c r="M9" s="195">
        <f t="shared" si="1"/>
        <v>1.1653702998609093E-2</v>
      </c>
      <c r="N9">
        <f>_xlfn.XLOOKUP(D9,'[6]API_NV.AGR.TOTL.ZS_DS2_en_csv_v'!$B$6:$B$271,'[6]API_NV.AGR.TOTL.ZS_DS2_en_csv_v'!$BL$6:$BL$271)</f>
        <v>5.11101651115706</v>
      </c>
      <c r="O9" s="188">
        <f>_xlfn.XLOOKUP(D9,'[7]API_SP.RUR.TOTL_DS2_en_csv_v2_4'!$B$6:$B$271,'[7]API_SP.RUR.TOTL_DS2_en_csv_v2_4'!$BM$6:$BM$271)</f>
        <v>3579773</v>
      </c>
      <c r="P9" s="188">
        <f>_xlfn.XLOOKUP(D9,'[8]API_AG.PRD.FOOD.XD_DS2_en_csv_v'!$B$6:$B$271,'[8]API_AG.PRD.FOOD.XD_DS2_en_csv_v'!$BM$6:$BM$271)</f>
        <v>109.82</v>
      </c>
      <c r="Q9">
        <f>_xlfn.XLOOKUP(D9,'[9]API_NE.IMP.GNFS.ZS_DS2_en_csv_v'!$B$6:$B$271,'[9]API_NE.IMP.GNFS.ZS_DS2_en_csv_v'!$BK$6:$BK$271)</f>
        <v>16.3258502050892</v>
      </c>
      <c r="R9">
        <f>_xlfn.XLOOKUP(D9,'[10]API_NE.EXP.GNFS.ZS_DS2_en_csv_v'!$B$6:$B$271,'[10]API_NE.EXP.GNFS.ZS_DS2_en_csv_v'!$BL$6:$BL$271)</f>
        <v>17.695944065872101</v>
      </c>
      <c r="S9">
        <f>_xlfn.XLOOKUP(D9,'[11]API_EG.USE.ELEC.KH.PC_DS2_en_cs'!$B$6:$B$271,'[11]API_EG.USE.ELEC.KH.PC_DS2_en_cs'!$BG$6:$BG$271)</f>
        <v>3074.70207056563</v>
      </c>
      <c r="T9">
        <f>_xlfn.XLOOKUP(D9,'[12]API_EN.POP.DNST_DS2_en_csv_v2_4'!$B$6:$B$271,'[12]API_EN.POP.DNST_DS2_en_csv_v2_4'!$BM$6:$BM$271)</f>
        <v>16.580892611147</v>
      </c>
    </row>
    <row r="10" spans="1:21" x14ac:dyDescent="0.2">
      <c r="A10" s="161" t="s">
        <v>148</v>
      </c>
      <c r="B10" s="161">
        <v>51</v>
      </c>
      <c r="C10" s="161" t="s">
        <v>856</v>
      </c>
      <c r="D10" t="str">
        <f>_xlfn.XLOOKUP(B10,'Country Code M49'!$B$2:$B$250,'Country Code M49'!$C$2:$C$250,,0)</f>
        <v>ARM</v>
      </c>
      <c r="E10" s="162">
        <v>93.043415809981326</v>
      </c>
      <c r="F10" s="162">
        <v>275194.5109411818</v>
      </c>
      <c r="G10" s="160" t="s">
        <v>877</v>
      </c>
      <c r="H10" s="188">
        <f>_xlfn.XLOOKUP(D10,'[1]World Population'!$C$2:$C$267,'[1]World Population'!$BN$2:$BN$267)</f>
        <v>2963234</v>
      </c>
      <c r="I10" s="188">
        <v>96.949996948242202</v>
      </c>
      <c r="J10" s="194">
        <f>_xlfn.XLOOKUP(D10,'[2]GDP 2015 Constant'!$B$6:$B$271,'[2]GDP 2015 Constant'!$BM$6:$BM$271)</f>
        <v>11915301005</v>
      </c>
      <c r="K10" s="193">
        <f t="shared" si="0"/>
        <v>4021.0462639805023</v>
      </c>
      <c r="L10" s="194">
        <f>_xlfn.XLOOKUP(D10,'[5]Tourism Receipts'!$B$6:$B$271,'[5]Tourism Receipts'!$BK$6:$BK$271)</f>
        <v>1358000000</v>
      </c>
      <c r="M10" s="195">
        <f t="shared" si="1"/>
        <v>0.11397110315804397</v>
      </c>
      <c r="N10">
        <f>_xlfn.XLOOKUP(D10,'[6]API_NV.AGR.TOTL.ZS_DS2_en_csv_v'!$B$6:$B$271,'[6]API_NV.AGR.TOTL.ZS_DS2_en_csv_v'!$BL$6:$BL$271)</f>
        <v>11.5256107379588</v>
      </c>
      <c r="O10" s="188">
        <f>_xlfn.XLOOKUP(D10,'[7]API_SP.RUR.TOTL_DS2_en_csv_v2_4'!$B$6:$B$271,'[7]API_SP.RUR.TOTL_DS2_en_csv_v2_4'!$BM$6:$BM$271)</f>
        <v>1087122</v>
      </c>
      <c r="P10" s="188">
        <f>_xlfn.XLOOKUP(D10,'[8]API_AG.PRD.FOOD.XD_DS2_en_csv_v'!$B$6:$B$271,'[8]API_AG.PRD.FOOD.XD_DS2_en_csv_v'!$BM$6:$BM$271)</f>
        <v>85.78</v>
      </c>
      <c r="Q10">
        <f>_xlfn.XLOOKUP(D10,'[9]API_NE.IMP.GNFS.ZS_DS2_en_csv_v'!$B$6:$B$271,'[9]API_NE.IMP.GNFS.ZS_DS2_en_csv_v'!$BK$6:$BK$271)</f>
        <v>53.0802129926047</v>
      </c>
      <c r="R10">
        <f>_xlfn.XLOOKUP(D10,'[10]API_NE.EXP.GNFS.ZS_DS2_en_csv_v'!$B$6:$B$271,'[10]API_NE.EXP.GNFS.ZS_DS2_en_csv_v'!$BL$6:$BL$271)</f>
        <v>41.350801362084901</v>
      </c>
      <c r="S10">
        <f>_xlfn.XLOOKUP(D10,'[11]API_EG.USE.ELEC.KH.PC_DS2_en_cs'!$B$6:$B$271,'[11]API_EG.USE.ELEC.KH.PC_DS2_en_cs'!$BG$6:$BG$271)</f>
        <v>1961.6103952646699</v>
      </c>
      <c r="T10">
        <f>_xlfn.XLOOKUP(D10,'[12]API_EN.POP.DNST_DS2_en_csv_v2_4'!$B$6:$B$271,'[12]API_EN.POP.DNST_DS2_en_csv_v2_4'!$BM$6:$BM$271)</f>
        <v>104.08268352651901</v>
      </c>
    </row>
    <row r="11" spans="1:21" x14ac:dyDescent="0.2">
      <c r="A11" s="161" t="s">
        <v>150</v>
      </c>
      <c r="B11" s="161">
        <v>533</v>
      </c>
      <c r="C11" s="161" t="s">
        <v>710</v>
      </c>
      <c r="D11" t="str">
        <f>_xlfn.XLOOKUP(B11,'Country Code M49'!$B$2:$B$250,'Country Code M49'!$C$2:$C$250,,0)</f>
        <v>ABW</v>
      </c>
      <c r="E11" s="162">
        <v>73.920769675063781</v>
      </c>
      <c r="F11" s="162">
        <v>7857.7778164592792</v>
      </c>
      <c r="G11" s="160" t="s">
        <v>872</v>
      </c>
      <c r="H11" s="188">
        <f>_xlfn.XLOOKUP(D11,'[1]World Population'!$C$2:$C$267,'[1]World Population'!$BN$2:$BN$267)</f>
        <v>106766</v>
      </c>
      <c r="I11" s="188">
        <v>75.379692077636705</v>
      </c>
      <c r="J11" s="194">
        <f>_xlfn.XLOOKUP(D11,'[2]GDP 2015 Constant'!$B$6:$B$271,'[2]GDP 2015 Constant'!$BM$6:$BM$271)</f>
        <v>2458429455</v>
      </c>
      <c r="K11" s="193">
        <f t="shared" si="0"/>
        <v>23026.332868141544</v>
      </c>
      <c r="L11" s="194">
        <f>_xlfn.XLOOKUP(D11,'[5]Tourism Receipts'!$B$6:$B$271,'[5]Tourism Receipts'!$BK$6:$BK$271)</f>
        <v>2035000000</v>
      </c>
      <c r="M11" s="195">
        <f t="shared" si="1"/>
        <v>0.82776424430694107</v>
      </c>
      <c r="N11">
        <f>_xlfn.XLOOKUP(D11,'[6]API_NV.AGR.TOTL.ZS_DS2_en_csv_v'!$B$6:$B$271,'[6]API_NV.AGR.TOTL.ZS_DS2_en_csv_v'!$BL$6:$BL$271)</f>
        <v>0</v>
      </c>
      <c r="O11" s="188">
        <f>_xlfn.XLOOKUP(D11,'[7]API_SP.RUR.TOTL_DS2_en_csv_v2_4'!$B$6:$B$271,'[7]API_SP.RUR.TOTL_DS2_en_csv_v2_4'!$BM$6:$BM$271)</f>
        <v>60112</v>
      </c>
      <c r="P11" s="188">
        <f>_xlfn.XLOOKUP(D11,'[8]API_AG.PRD.FOOD.XD_DS2_en_csv_v'!$B$6:$B$271,'[8]API_AG.PRD.FOOD.XD_DS2_en_csv_v'!$BM$6:$BM$271)</f>
        <v>0</v>
      </c>
      <c r="Q11">
        <f>_xlfn.XLOOKUP(D11,'[9]API_NE.IMP.GNFS.ZS_DS2_en_csv_v'!$B$6:$B$271,'[9]API_NE.IMP.GNFS.ZS_DS2_en_csv_v'!$BK$6:$BK$271)</f>
        <v>74.633635729239401</v>
      </c>
      <c r="R11">
        <f>_xlfn.XLOOKUP(D11,'[10]API_NE.EXP.GNFS.ZS_DS2_en_csv_v'!$B$6:$B$271,'[10]API_NE.EXP.GNFS.ZS_DS2_en_csv_v'!$BL$6:$BL$271)</f>
        <v>74.582278481012693</v>
      </c>
      <c r="S11">
        <f>_xlfn.XLOOKUP(D11,'[11]API_EG.USE.ELEC.KH.PC_DS2_en_cs'!$B$6:$B$271,'[11]API_EG.USE.ELEC.KH.PC_DS2_en_cs'!$BG$6:$BG$271)</f>
        <v>0</v>
      </c>
      <c r="T11">
        <f>_xlfn.XLOOKUP(D11,'[12]API_EN.POP.DNST_DS2_en_csv_v2_4'!$B$6:$B$271,'[12]API_EN.POP.DNST_DS2_en_csv_v2_4'!$BM$6:$BM$271)</f>
        <v>593.14444444444405</v>
      </c>
    </row>
    <row r="12" spans="1:21" x14ac:dyDescent="0.2">
      <c r="A12" s="161" t="s">
        <v>146</v>
      </c>
      <c r="B12" s="161">
        <v>36</v>
      </c>
      <c r="C12" s="161" t="s">
        <v>91</v>
      </c>
      <c r="D12" t="str">
        <f>_xlfn.XLOOKUP(B12,'Country Code M49'!$B$2:$B$250,'Country Code M49'!$C$2:$C$250,,0)</f>
        <v>AUS</v>
      </c>
      <c r="E12" s="162">
        <v>101.6978108246626</v>
      </c>
      <c r="F12" s="162">
        <v>2563110.2657761364</v>
      </c>
      <c r="G12" s="160" t="s">
        <v>870</v>
      </c>
      <c r="H12" s="188">
        <f>_xlfn.XLOOKUP(D12,'[1]World Population'!$C$2:$C$267,'[1]World Population'!$BN$2:$BN$267)</f>
        <v>25693267</v>
      </c>
      <c r="I12" s="188">
        <v>100</v>
      </c>
      <c r="J12" s="194">
        <f>_xlfn.XLOOKUP(D12,'[2]GDP 2015 Constant'!$B$6:$B$271,'[2]GDP 2015 Constant'!$BM$6:$BM$271)</f>
        <v>1490970000000</v>
      </c>
      <c r="K12" s="193">
        <f t="shared" si="0"/>
        <v>58029.59973910675</v>
      </c>
      <c r="L12" s="194">
        <f>_xlfn.XLOOKUP(D12,'[5]Tourism Receipts'!$B$6:$B$271,'[5]Tourism Receipts'!$BK$6:$BK$271)</f>
        <v>47327000000</v>
      </c>
      <c r="M12" s="195">
        <f t="shared" si="1"/>
        <v>3.1742422718096276E-2</v>
      </c>
      <c r="N12">
        <f>_xlfn.XLOOKUP(D12,'[6]API_NV.AGR.TOTL.ZS_DS2_en_csv_v'!$B$6:$B$271,'[6]API_NV.AGR.TOTL.ZS_DS2_en_csv_v'!$BL$6:$BL$271)</f>
        <v>2.1168640056560699</v>
      </c>
      <c r="O12" s="188">
        <f>_xlfn.XLOOKUP(D12,'[7]API_SP.RUR.TOTL_DS2_en_csv_v2_4'!$B$6:$B$271,'[7]API_SP.RUR.TOTL_DS2_en_csv_v2_4'!$BM$6:$BM$271)</f>
        <v>3535137</v>
      </c>
      <c r="P12" s="188">
        <f>_xlfn.XLOOKUP(D12,'[8]API_AG.PRD.FOOD.XD_DS2_en_csv_v'!$B$6:$B$271,'[8]API_AG.PRD.FOOD.XD_DS2_en_csv_v'!$BM$6:$BM$271)</f>
        <v>89</v>
      </c>
      <c r="Q12">
        <f>_xlfn.XLOOKUP(D12,'[9]API_NE.IMP.GNFS.ZS_DS2_en_csv_v'!$B$6:$B$271,'[9]API_NE.IMP.GNFS.ZS_DS2_en_csv_v'!$BK$6:$BK$271)</f>
        <v>21.5125131175846</v>
      </c>
      <c r="R12">
        <f>_xlfn.XLOOKUP(D12,'[10]API_NE.EXP.GNFS.ZS_DS2_en_csv_v'!$B$6:$B$271,'[10]API_NE.EXP.GNFS.ZS_DS2_en_csv_v'!$BL$6:$BL$271)</f>
        <v>24.169727287861399</v>
      </c>
      <c r="S12">
        <f>_xlfn.XLOOKUP(D12,'[11]API_EG.USE.ELEC.KH.PC_DS2_en_cs'!$B$6:$B$271,'[11]API_EG.USE.ELEC.KH.PC_DS2_en_cs'!$BG$6:$BG$271)</f>
        <v>10071.3989785006</v>
      </c>
      <c r="T12">
        <f>_xlfn.XLOOKUP(D12,'[12]API_EN.POP.DNST_DS2_en_csv_v2_4'!$B$6:$B$271,'[12]API_EN.POP.DNST_DS2_en_csv_v2_4'!$BM$6:$BM$271)</f>
        <v>3.34024963533636</v>
      </c>
    </row>
    <row r="13" spans="1:21" x14ac:dyDescent="0.2">
      <c r="A13" s="161" t="s">
        <v>147</v>
      </c>
      <c r="B13" s="161">
        <v>40</v>
      </c>
      <c r="C13" s="161" t="s">
        <v>92</v>
      </c>
      <c r="D13" t="str">
        <f>_xlfn.XLOOKUP(B13,'Country Code M49'!$B$2:$B$250,'Country Code M49'!$C$2:$C$250,,0)</f>
        <v>AUT</v>
      </c>
      <c r="E13" s="162">
        <v>39</v>
      </c>
      <c r="F13" s="162">
        <v>349248.9</v>
      </c>
      <c r="G13" s="160" t="s">
        <v>870</v>
      </c>
      <c r="H13" s="188">
        <f>_xlfn.XLOOKUP(D13,'[1]World Population'!$C$2:$C$267,'[1]World Population'!$BN$2:$BN$267)</f>
        <v>8916864</v>
      </c>
      <c r="I13" s="188">
        <v>55.400001525878899</v>
      </c>
      <c r="J13" s="194">
        <f>_xlfn.XLOOKUP(D13,'[2]GDP 2015 Constant'!$B$6:$B$271,'[2]GDP 2015 Constant'!$BM$6:$BM$271)</f>
        <v>386514000000</v>
      </c>
      <c r="K13" s="193">
        <f t="shared" si="0"/>
        <v>43346.405193574785</v>
      </c>
      <c r="L13" s="194">
        <f>_xlfn.XLOOKUP(D13,'[5]Tourism Receipts'!$B$6:$B$271,'[5]Tourism Receipts'!$BK$6:$BK$271)</f>
        <v>25413000000</v>
      </c>
      <c r="M13" s="195">
        <f t="shared" si="1"/>
        <v>6.5749235474006115E-2</v>
      </c>
      <c r="N13">
        <f>_xlfn.XLOOKUP(D13,'[6]API_NV.AGR.TOTL.ZS_DS2_en_csv_v'!$B$6:$B$271,'[6]API_NV.AGR.TOTL.ZS_DS2_en_csv_v'!$BL$6:$BL$271)</f>
        <v>1.0715827241667799</v>
      </c>
      <c r="O13" s="188">
        <f>_xlfn.XLOOKUP(D13,'[7]API_SP.RUR.TOTL_DS2_en_csv_v2_4'!$B$6:$B$271,'[7]API_SP.RUR.TOTL_DS2_en_csv_v2_4'!$BM$6:$BM$271)</f>
        <v>3678385</v>
      </c>
      <c r="P13" s="188">
        <f>_xlfn.XLOOKUP(D13,'[8]API_AG.PRD.FOOD.XD_DS2_en_csv_v'!$B$6:$B$271,'[8]API_AG.PRD.FOOD.XD_DS2_en_csv_v'!$BM$6:$BM$271)</f>
        <v>101.68</v>
      </c>
      <c r="Q13">
        <f>_xlfn.XLOOKUP(D13,'[9]API_NE.IMP.GNFS.ZS_DS2_en_csv_v'!$B$6:$B$271,'[9]API_NE.IMP.GNFS.ZS_DS2_en_csv_v'!$BK$6:$BK$271)</f>
        <v>52.441022411814302</v>
      </c>
      <c r="R13">
        <f>_xlfn.XLOOKUP(D13,'[10]API_NE.EXP.GNFS.ZS_DS2_en_csv_v'!$B$6:$B$271,'[10]API_NE.EXP.GNFS.ZS_DS2_en_csv_v'!$BL$6:$BL$271)</f>
        <v>55.442206544630601</v>
      </c>
      <c r="S13">
        <f>_xlfn.XLOOKUP(D13,'[11]API_EG.USE.ELEC.KH.PC_DS2_en_cs'!$B$6:$B$271,'[11]API_EG.USE.ELEC.KH.PC_DS2_en_cs'!$BG$6:$BG$271)</f>
        <v>8355.8419518213395</v>
      </c>
      <c r="T13">
        <f>_xlfn.XLOOKUP(D13,'[12]API_EN.POP.DNST_DS2_en_csv_v2_4'!$B$6:$B$271,'[12]API_EN.POP.DNST_DS2_en_csv_v2_4'!$BM$6:$BM$271)</f>
        <v>108.05700436257899</v>
      </c>
    </row>
    <row r="14" spans="1:21" x14ac:dyDescent="0.2">
      <c r="A14" s="161" t="s">
        <v>148</v>
      </c>
      <c r="B14" s="161">
        <v>31</v>
      </c>
      <c r="C14" s="161" t="s">
        <v>857</v>
      </c>
      <c r="D14" t="str">
        <f>_xlfn.XLOOKUP(B14,'Country Code M49'!$B$2:$B$250,'Country Code M49'!$C$2:$C$250,,0)</f>
        <v>AZE</v>
      </c>
      <c r="E14" s="162">
        <v>93.043415809981326</v>
      </c>
      <c r="F14" s="162">
        <v>934872.32903394941</v>
      </c>
      <c r="G14" s="160" t="s">
        <v>877</v>
      </c>
      <c r="H14" s="188">
        <f>_xlfn.XLOOKUP(D14,'[1]World Population'!$C$2:$C$267,'[1]World Population'!$BN$2:$BN$267)</f>
        <v>10093121</v>
      </c>
      <c r="I14" s="188">
        <v>96.199996948242202</v>
      </c>
      <c r="J14" s="194">
        <f>_xlfn.XLOOKUP(D14,'[2]GDP 2015 Constant'!$B$6:$B$271,'[2]GDP 2015 Constant'!$BM$6:$BM$271)</f>
        <v>51307185984</v>
      </c>
      <c r="K14" s="193">
        <f t="shared" si="0"/>
        <v>5083.3816402280327</v>
      </c>
      <c r="L14" s="194">
        <f>_xlfn.XLOOKUP(D14,'[5]Tourism Receipts'!$B$6:$B$271,'[5]Tourism Receipts'!$BK$6:$BK$271)</f>
        <v>2830000000</v>
      </c>
      <c r="M14" s="195">
        <f t="shared" si="1"/>
        <v>5.5157965608999243E-2</v>
      </c>
      <c r="N14">
        <f>_xlfn.XLOOKUP(D14,'[6]API_NV.AGR.TOTL.ZS_DS2_en_csv_v'!$B$6:$B$271,'[6]API_NV.AGR.TOTL.ZS_DS2_en_csv_v'!$BL$6:$BL$271)</f>
        <v>5.6952581438454999</v>
      </c>
      <c r="O14" s="188">
        <f>_xlfn.XLOOKUP(D14,'[7]API_SP.RUR.TOTL_DS2_en_csv_v2_4'!$B$6:$B$271,'[7]API_SP.RUR.TOTL_DS2_en_csv_v2_4'!$BM$6:$BM$271)</f>
        <v>4400904</v>
      </c>
      <c r="P14" s="188">
        <f>_xlfn.XLOOKUP(D14,'[8]API_AG.PRD.FOOD.XD_DS2_en_csv_v'!$B$6:$B$271,'[8]API_AG.PRD.FOOD.XD_DS2_en_csv_v'!$BM$6:$BM$271)</f>
        <v>122.09</v>
      </c>
      <c r="Q14">
        <f>_xlfn.XLOOKUP(D14,'[9]API_NE.IMP.GNFS.ZS_DS2_en_csv_v'!$B$6:$B$271,'[9]API_NE.IMP.GNFS.ZS_DS2_en_csv_v'!$BK$6:$BK$271)</f>
        <v>37.580282674923801</v>
      </c>
      <c r="R14">
        <f>_xlfn.XLOOKUP(D14,'[10]API_NE.EXP.GNFS.ZS_DS2_en_csv_v'!$B$6:$B$271,'[10]API_NE.EXP.GNFS.ZS_DS2_en_csv_v'!$BL$6:$BL$271)</f>
        <v>49.050627501642303</v>
      </c>
      <c r="S14">
        <f>_xlfn.XLOOKUP(D14,'[11]API_EG.USE.ELEC.KH.PC_DS2_en_cs'!$B$6:$B$271,'[11]API_EG.USE.ELEC.KH.PC_DS2_en_cs'!$BG$6:$BG$271)</f>
        <v>2202.3939182884601</v>
      </c>
      <c r="T14">
        <f>_xlfn.XLOOKUP(D14,'[12]API_EN.POP.DNST_DS2_en_csv_v2_4'!$B$6:$B$271,'[12]API_EN.POP.DNST_DS2_en_csv_v2_4'!$BM$6:$BM$271)</f>
        <v>122.124736829369</v>
      </c>
    </row>
    <row r="15" spans="1:21" x14ac:dyDescent="0.2">
      <c r="A15" s="161" t="s">
        <v>150</v>
      </c>
      <c r="B15" s="161">
        <v>44</v>
      </c>
      <c r="C15" s="161" t="s">
        <v>711</v>
      </c>
      <c r="D15" t="str">
        <f>_xlfn.XLOOKUP(B15,'Country Code M49'!$B$2:$B$250,'Country Code M49'!$C$2:$C$250,,0)</f>
        <v>BHS</v>
      </c>
      <c r="E15" s="162">
        <v>73.920769675063781</v>
      </c>
      <c r="F15" s="162">
        <v>28792.139788437344</v>
      </c>
      <c r="G15" s="160" t="s">
        <v>872</v>
      </c>
      <c r="H15" s="188">
        <f>_xlfn.XLOOKUP(D15,'[1]World Population'!$C$2:$C$267,'[1]World Population'!$BN$2:$BN$267)</f>
        <v>393248</v>
      </c>
      <c r="I15" s="188">
        <v>99.400001525878906</v>
      </c>
      <c r="J15" s="194">
        <f>_xlfn.XLOOKUP(D15,'[2]GDP 2015 Constant'!$B$6:$B$271,'[2]GDP 2015 Constant'!$BM$6:$BM$271)</f>
        <v>9579129439</v>
      </c>
      <c r="K15" s="193">
        <f t="shared" si="0"/>
        <v>24359.003577894866</v>
      </c>
      <c r="L15" s="194">
        <f>_xlfn.XLOOKUP(D15,'[5]Tourism Receipts'!$B$6:$B$271,'[5]Tourism Receipts'!$BK$6:$BK$271)</f>
        <v>3756000000</v>
      </c>
      <c r="M15" s="195">
        <f t="shared" si="1"/>
        <v>0.39210243727451943</v>
      </c>
      <c r="N15">
        <f>_xlfn.XLOOKUP(D15,'[6]API_NV.AGR.TOTL.ZS_DS2_en_csv_v'!$B$6:$B$271,'[6]API_NV.AGR.TOTL.ZS_DS2_en_csv_v'!$BL$6:$BL$271)</f>
        <v>0.53968831483839697</v>
      </c>
      <c r="O15" s="188">
        <f>_xlfn.XLOOKUP(D15,'[7]API_SP.RUR.TOTL_DS2_en_csv_v2_4'!$B$6:$B$271,'[7]API_SP.RUR.TOTL_DS2_en_csv_v2_4'!$BM$6:$BM$271)</f>
        <v>65889</v>
      </c>
      <c r="P15" s="188">
        <f>_xlfn.XLOOKUP(D15,'[8]API_AG.PRD.FOOD.XD_DS2_en_csv_v'!$B$6:$B$271,'[8]API_AG.PRD.FOOD.XD_DS2_en_csv_v'!$BM$6:$BM$271)</f>
        <v>100.62</v>
      </c>
      <c r="Q15">
        <f>_xlfn.XLOOKUP(D15,'[9]API_NE.IMP.GNFS.ZS_DS2_en_csv_v'!$B$6:$B$271,'[9]API_NE.IMP.GNFS.ZS_DS2_en_csv_v'!$BK$6:$BK$271)</f>
        <v>39.806205804418397</v>
      </c>
      <c r="R15">
        <f>_xlfn.XLOOKUP(D15,'[10]API_NE.EXP.GNFS.ZS_DS2_en_csv_v'!$B$6:$B$271,'[10]API_NE.EXP.GNFS.ZS_DS2_en_csv_v'!$BL$6:$BL$271)</f>
        <v>35.688405797101403</v>
      </c>
      <c r="S15">
        <f>_xlfn.XLOOKUP(D15,'[11]API_EG.USE.ELEC.KH.PC_DS2_en_cs'!$B$6:$B$271,'[11]API_EG.USE.ELEC.KH.PC_DS2_en_cs'!$BG$6:$BG$271)</f>
        <v>0</v>
      </c>
      <c r="T15">
        <f>_xlfn.XLOOKUP(D15,'[12]API_EN.POP.DNST_DS2_en_csv_v2_4'!$B$6:$B$271,'[12]API_EN.POP.DNST_DS2_en_csv_v2_4'!$BM$6:$BM$271)</f>
        <v>39.285514485514497</v>
      </c>
    </row>
    <row r="16" spans="1:21" x14ac:dyDescent="0.2">
      <c r="A16" s="161" t="s">
        <v>148</v>
      </c>
      <c r="B16" s="161">
        <v>48</v>
      </c>
      <c r="C16" s="161" t="s">
        <v>93</v>
      </c>
      <c r="D16" t="str">
        <f>_xlfn.XLOOKUP(B16,'Country Code M49'!$B$2:$B$250,'Country Code M49'!$C$2:$C$250,,0)</f>
        <v>BHR</v>
      </c>
      <c r="E16" s="162">
        <v>131.70916002944918</v>
      </c>
      <c r="F16" s="162">
        <v>216161.07344033199</v>
      </c>
      <c r="G16" s="160" t="s">
        <v>873</v>
      </c>
      <c r="H16" s="188">
        <f>_xlfn.XLOOKUP(D16,'[1]World Population'!$C$2:$C$267,'[1]World Population'!$BN$2:$BN$267)</f>
        <v>1701583</v>
      </c>
      <c r="I16" s="188">
        <v>51.093982696533203</v>
      </c>
      <c r="J16" s="194">
        <f>_xlfn.XLOOKUP(D16,'[2]GDP 2015 Constant'!$B$6:$B$271,'[2]GDP 2015 Constant'!$BM$6:$BM$271)</f>
        <v>33258424204</v>
      </c>
      <c r="K16" s="193">
        <f t="shared" si="0"/>
        <v>19545.578560669681</v>
      </c>
      <c r="L16" s="194">
        <f>_xlfn.XLOOKUP(D16,'[5]Tourism Receipts'!$B$6:$B$271,'[5]Tourism Receipts'!$BK$6:$BK$271)</f>
        <v>3834000000</v>
      </c>
      <c r="M16" s="195">
        <f t="shared" si="1"/>
        <v>0.11527906362860342</v>
      </c>
      <c r="N16">
        <f>_xlfn.XLOOKUP(D16,'[6]API_NV.AGR.TOTL.ZS_DS2_en_csv_v'!$B$6:$B$271,'[6]API_NV.AGR.TOTL.ZS_DS2_en_csv_v'!$BL$6:$BL$271)</f>
        <v>0.28121226773105501</v>
      </c>
      <c r="O16" s="188">
        <f>_xlfn.XLOOKUP(D16,'[7]API_SP.RUR.TOTL_DS2_en_csv_v2_4'!$B$6:$B$271,'[7]API_SP.RUR.TOTL_DS2_en_csv_v2_4'!$BM$6:$BM$271)</f>
        <v>178564</v>
      </c>
      <c r="P16" s="188">
        <f>_xlfn.XLOOKUP(D16,'[8]API_AG.PRD.FOOD.XD_DS2_en_csv_v'!$B$6:$B$271,'[8]API_AG.PRD.FOOD.XD_DS2_en_csv_v'!$BM$6:$BM$271)</f>
        <v>131.22</v>
      </c>
      <c r="Q16">
        <f>_xlfn.XLOOKUP(D16,'[9]API_NE.IMP.GNFS.ZS_DS2_en_csv_v'!$B$6:$B$271,'[9]API_NE.IMP.GNFS.ZS_DS2_en_csv_v'!$BK$6:$BK$271)</f>
        <v>71.553532635117193</v>
      </c>
      <c r="R16">
        <f>_xlfn.XLOOKUP(D16,'[10]API_NE.EXP.GNFS.ZS_DS2_en_csv_v'!$B$6:$B$271,'[10]API_NE.EXP.GNFS.ZS_DS2_en_csv_v'!$BL$6:$BL$271)</f>
        <v>76.485960757710998</v>
      </c>
      <c r="S16">
        <f>_xlfn.XLOOKUP(D16,'[11]API_EG.USE.ELEC.KH.PC_DS2_en_cs'!$B$6:$B$271,'[11]API_EG.USE.ELEC.KH.PC_DS2_en_cs'!$BG$6:$BG$271)</f>
        <v>19596.983098977398</v>
      </c>
      <c r="T16">
        <f>_xlfn.XLOOKUP(D16,'[12]API_EN.POP.DNST_DS2_en_csv_v2_4'!$B$6:$B$271,'[12]API_EN.POP.DNST_DS2_en_csv_v2_4'!$BM$6:$BM$271)</f>
        <v>2167.6216560509602</v>
      </c>
    </row>
    <row r="17" spans="1:20" x14ac:dyDescent="0.2">
      <c r="A17" s="161" t="s">
        <v>149</v>
      </c>
      <c r="B17" s="161">
        <v>50</v>
      </c>
      <c r="C17" s="161" t="s">
        <v>94</v>
      </c>
      <c r="D17" t="str">
        <f>_xlfn.XLOOKUP(B17,'Country Code M49'!$B$2:$B$250,'Country Code M49'!$C$2:$C$250,,0)</f>
        <v>BGD</v>
      </c>
      <c r="E17" s="162">
        <v>65.124075000000005</v>
      </c>
      <c r="F17" s="162">
        <v>10618232.957265001</v>
      </c>
      <c r="G17" s="160" t="s">
        <v>873</v>
      </c>
      <c r="H17" s="188">
        <f>_xlfn.XLOOKUP(D17,'[1]World Population'!$C$2:$C$267,'[1]World Population'!$BN$2:$BN$267)</f>
        <v>164689383</v>
      </c>
      <c r="I17" s="188">
        <v>96.842384338378906</v>
      </c>
      <c r="J17" s="194">
        <f>_xlfn.XLOOKUP(D17,'[2]GDP 2015 Constant'!$B$6:$B$271,'[2]GDP 2015 Constant'!$BM$6:$BM$271)</f>
        <v>266760000000</v>
      </c>
      <c r="K17" s="193">
        <f t="shared" si="0"/>
        <v>1619.7765462513148</v>
      </c>
      <c r="L17" s="194">
        <f>_xlfn.XLOOKUP(D17,'[5]Tourism Receipts'!$B$6:$B$271,'[5]Tourism Receipts'!$BK$6:$BK$271)</f>
        <v>357000000</v>
      </c>
      <c r="M17" s="195">
        <f t="shared" si="1"/>
        <v>1.3382816014394963E-3</v>
      </c>
      <c r="N17">
        <f>_xlfn.XLOOKUP(D17,'[6]API_NV.AGR.TOTL.ZS_DS2_en_csv_v'!$B$6:$B$271,'[6]API_NV.AGR.TOTL.ZS_DS2_en_csv_v'!$BL$6:$BL$271)</f>
        <v>11.9753231358984</v>
      </c>
      <c r="O17" s="188">
        <f>_xlfn.XLOOKUP(D17,'[7]API_SP.RUR.TOTL_DS2_en_csv_v2_4'!$B$6:$B$271,'[7]API_SP.RUR.TOTL_DS2_en_csv_v2_4'!$BM$6:$BM$271)</f>
        <v>101815917</v>
      </c>
      <c r="P17" s="188">
        <f>_xlfn.XLOOKUP(D17,'[8]API_AG.PRD.FOOD.XD_DS2_en_csv_v'!$B$6:$B$271,'[8]API_AG.PRD.FOOD.XD_DS2_en_csv_v'!$BM$6:$BM$271)</f>
        <v>112.19</v>
      </c>
      <c r="Q17">
        <f>_xlfn.XLOOKUP(D17,'[9]API_NE.IMP.GNFS.ZS_DS2_en_csv_v'!$B$6:$B$271,'[9]API_NE.IMP.GNFS.ZS_DS2_en_csv_v'!$BK$6:$BK$271)</f>
        <v>19.839843779749199</v>
      </c>
      <c r="R17">
        <f>_xlfn.XLOOKUP(D17,'[10]API_NE.EXP.GNFS.ZS_DS2_en_csv_v'!$B$6:$B$271,'[10]API_NE.EXP.GNFS.ZS_DS2_en_csv_v'!$BL$6:$BL$271)</f>
        <v>13.0947573353039</v>
      </c>
      <c r="S17">
        <f>_xlfn.XLOOKUP(D17,'[11]API_EG.USE.ELEC.KH.PC_DS2_en_cs'!$B$6:$B$271,'[11]API_EG.USE.ELEC.KH.PC_DS2_en_cs'!$BG$6:$BG$271)</f>
        <v>320.20992330409899</v>
      </c>
      <c r="T17">
        <f>_xlfn.XLOOKUP(D17,'[12]API_EN.POP.DNST_DS2_en_csv_v2_4'!$B$6:$B$271,'[12]API_EN.POP.DNST_DS2_en_csv_v2_4'!$BM$6:$BM$271)</f>
        <v>1265.18693247292</v>
      </c>
    </row>
    <row r="18" spans="1:20" x14ac:dyDescent="0.2">
      <c r="A18" s="161" t="s">
        <v>150</v>
      </c>
      <c r="B18" s="161">
        <v>52</v>
      </c>
      <c r="C18" s="161" t="s">
        <v>712</v>
      </c>
      <c r="D18" t="str">
        <f>_xlfn.XLOOKUP(B18,'Country Code M49'!$B$2:$B$250,'Country Code M49'!$C$2:$C$250,,0)</f>
        <v>BRB</v>
      </c>
      <c r="E18" s="162">
        <v>73.920769675063781</v>
      </c>
      <c r="F18" s="162">
        <v>21215.260896743304</v>
      </c>
      <c r="G18" s="160" t="s">
        <v>872</v>
      </c>
      <c r="H18" s="188">
        <f>_xlfn.XLOOKUP(D18,'[1]World Population'!$C$2:$C$267,'[1]World Population'!$BN$2:$BN$267)</f>
        <v>287371</v>
      </c>
      <c r="I18" s="188">
        <v>100</v>
      </c>
      <c r="J18" s="194">
        <f>_xlfn.XLOOKUP(D18,'[2]GDP 2015 Constant'!$B$6:$B$271,'[2]GDP 2015 Constant'!$BM$6:$BM$271)</f>
        <v>4117793616</v>
      </c>
      <c r="K18" s="193">
        <f t="shared" si="0"/>
        <v>14329.18984866253</v>
      </c>
      <c r="L18" s="194">
        <f>_xlfn.XLOOKUP(D18,'[5]Tourism Receipts'!$B$6:$B$271,'[5]Tourism Receipts'!$BK$6:$BK$271)</f>
        <v>0</v>
      </c>
      <c r="M18" s="195">
        <f t="shared" si="1"/>
        <v>0</v>
      </c>
      <c r="N18">
        <f>_xlfn.XLOOKUP(D18,'[6]API_NV.AGR.TOTL.ZS_DS2_en_csv_v'!$B$6:$B$271,'[6]API_NV.AGR.TOTL.ZS_DS2_en_csv_v'!$BL$6:$BL$271)</f>
        <v>1.3052955252256799</v>
      </c>
      <c r="O18" s="188">
        <f>_xlfn.XLOOKUP(D18,'[7]API_SP.RUR.TOTL_DS2_en_csv_v2_4'!$B$6:$B$271,'[7]API_SP.RUR.TOTL_DS2_en_csv_v2_4'!$BM$6:$BM$271)</f>
        <v>197737</v>
      </c>
      <c r="P18" s="188">
        <f>_xlfn.XLOOKUP(D18,'[8]API_AG.PRD.FOOD.XD_DS2_en_csv_v'!$B$6:$B$271,'[8]API_AG.PRD.FOOD.XD_DS2_en_csv_v'!$BM$6:$BM$271)</f>
        <v>101.28</v>
      </c>
      <c r="Q18">
        <f>_xlfn.XLOOKUP(D18,'[9]API_NE.IMP.GNFS.ZS_DS2_en_csv_v'!$B$6:$B$271,'[9]API_NE.IMP.GNFS.ZS_DS2_en_csv_v'!$BK$6:$BK$271)</f>
        <v>39.938922654957899</v>
      </c>
      <c r="R18">
        <f>_xlfn.XLOOKUP(D18,'[10]API_NE.EXP.GNFS.ZS_DS2_en_csv_v'!$B$6:$B$271,'[10]API_NE.EXP.GNFS.ZS_DS2_en_csv_v'!$BL$6:$BL$271)</f>
        <v>36.620169203368</v>
      </c>
      <c r="S18">
        <f>_xlfn.XLOOKUP(D18,'[11]API_EG.USE.ELEC.KH.PC_DS2_en_cs'!$B$6:$B$271,'[11]API_EG.USE.ELEC.KH.PC_DS2_en_cs'!$BG$6:$BG$271)</f>
        <v>0</v>
      </c>
      <c r="T18">
        <f>_xlfn.XLOOKUP(D18,'[12]API_EN.POP.DNST_DS2_en_csv_v2_4'!$B$6:$B$271,'[12]API_EN.POP.DNST_DS2_en_csv_v2_4'!$BM$6:$BM$271)</f>
        <v>668.30465116279095</v>
      </c>
    </row>
    <row r="19" spans="1:20" x14ac:dyDescent="0.2">
      <c r="A19" s="161" t="s">
        <v>156</v>
      </c>
      <c r="B19" s="161">
        <v>112</v>
      </c>
      <c r="C19" s="161" t="s">
        <v>700</v>
      </c>
      <c r="D19" t="str">
        <f>_xlfn.XLOOKUP(B19,'Country Code M49'!$B$2:$B$250,'Country Code M49'!$C$2:$C$250,,0)</f>
        <v>BLR</v>
      </c>
      <c r="E19" s="162">
        <v>68.380065497345115</v>
      </c>
      <c r="F19" s="162">
        <v>646355.73110710504</v>
      </c>
      <c r="G19" s="160" t="s">
        <v>872</v>
      </c>
      <c r="H19" s="188">
        <f>_xlfn.XLOOKUP(D19,'[1]World Population'!$C$2:$C$267,'[1]World Population'!$BN$2:$BN$267)</f>
        <v>9379952</v>
      </c>
      <c r="I19" s="188">
        <v>100</v>
      </c>
      <c r="J19" s="194">
        <f>_xlfn.XLOOKUP(D19,'[2]GDP 2015 Constant'!$B$6:$B$271,'[2]GDP 2015 Constant'!$BM$6:$BM$271)</f>
        <v>58482352925</v>
      </c>
      <c r="K19" s="193">
        <f t="shared" si="0"/>
        <v>6234.8243279922972</v>
      </c>
      <c r="L19" s="194">
        <f>_xlfn.XLOOKUP(D19,'[5]Tourism Receipts'!$B$6:$B$271,'[5]Tourism Receipts'!$BK$6:$BK$271)</f>
        <v>1221000000</v>
      </c>
      <c r="M19" s="195">
        <f t="shared" si="1"/>
        <v>2.0878092944821441E-2</v>
      </c>
      <c r="N19">
        <f>_xlfn.XLOOKUP(D19,'[6]API_NV.AGR.TOTL.ZS_DS2_en_csv_v'!$B$6:$B$271,'[6]API_NV.AGR.TOTL.ZS_DS2_en_csv_v'!$BL$6:$BL$271)</f>
        <v>6.7946688279927399</v>
      </c>
      <c r="O19" s="188">
        <f>_xlfn.XLOOKUP(D19,'[7]API_SP.RUR.TOTL_DS2_en_csv_v2_4'!$B$6:$B$271,'[7]API_SP.RUR.TOTL_DS2_en_csv_v2_4'!$BM$6:$BM$271)</f>
        <v>1924485</v>
      </c>
      <c r="P19" s="188">
        <f>_xlfn.XLOOKUP(D19,'[8]API_AG.PRD.FOOD.XD_DS2_en_csv_v'!$B$6:$B$271,'[8]API_AG.PRD.FOOD.XD_DS2_en_csv_v'!$BM$6:$BM$271)</f>
        <v>106.21</v>
      </c>
      <c r="Q19">
        <f>_xlfn.XLOOKUP(D19,'[9]API_NE.IMP.GNFS.ZS_DS2_en_csv_v'!$B$6:$B$271,'[9]API_NE.IMP.GNFS.ZS_DS2_en_csv_v'!$BK$6:$BK$271)</f>
        <v>68.938690987633194</v>
      </c>
      <c r="R19">
        <f>_xlfn.XLOOKUP(D19,'[10]API_NE.EXP.GNFS.ZS_DS2_en_csv_v'!$B$6:$B$271,'[10]API_NE.EXP.GNFS.ZS_DS2_en_csv_v'!$BL$6:$BL$271)</f>
        <v>65.0945839929757</v>
      </c>
      <c r="S19">
        <f>_xlfn.XLOOKUP(D19,'[11]API_EG.USE.ELEC.KH.PC_DS2_en_cs'!$B$6:$B$271,'[11]API_EG.USE.ELEC.KH.PC_DS2_en_cs'!$BG$6:$BG$271)</f>
        <v>3690.1036829597001</v>
      </c>
      <c r="T19">
        <f>_xlfn.XLOOKUP(D19,'[12]API_EN.POP.DNST_DS2_en_csv_v2_4'!$B$6:$B$271,'[12]API_EN.POP.DNST_DS2_en_csv_v2_4'!$BM$6:$BM$271)</f>
        <v>46.211212927382</v>
      </c>
    </row>
    <row r="20" spans="1:20" x14ac:dyDescent="0.2">
      <c r="A20" s="161" t="s">
        <v>147</v>
      </c>
      <c r="B20" s="161">
        <v>56</v>
      </c>
      <c r="C20" s="161" t="s">
        <v>95</v>
      </c>
      <c r="D20" t="str">
        <f>_xlfn.XLOOKUP(B20,'Country Code M49'!$B$2:$B$250,'Country Code M49'!$C$2:$C$250,,0)</f>
        <v>BEL</v>
      </c>
      <c r="E20" s="162">
        <v>49.91951182692307</v>
      </c>
      <c r="F20" s="162">
        <v>576036.22282441345</v>
      </c>
      <c r="G20" s="160" t="s">
        <v>873</v>
      </c>
      <c r="H20" s="188">
        <f>_xlfn.XLOOKUP(D20,'[1]World Population'!$C$2:$C$267,'[1]World Population'!$BN$2:$BN$267)</f>
        <v>11544241</v>
      </c>
      <c r="I20" s="188">
        <v>19.100000381469702</v>
      </c>
      <c r="J20" s="194">
        <f>_xlfn.XLOOKUP(D20,'[2]GDP 2015 Constant'!$B$6:$B$271,'[2]GDP 2015 Constant'!$BM$6:$BM$271)</f>
        <v>466672000000</v>
      </c>
      <c r="K20" s="193">
        <f t="shared" si="0"/>
        <v>40424.658494222356</v>
      </c>
      <c r="L20" s="194">
        <f>_xlfn.XLOOKUP(D20,'[5]Tourism Receipts'!$B$6:$B$271,'[5]Tourism Receipts'!$BK$6:$BK$271)</f>
        <v>10319000000</v>
      </c>
      <c r="M20" s="195">
        <f t="shared" si="1"/>
        <v>2.2111890149826858E-2</v>
      </c>
      <c r="N20">
        <f>_xlfn.XLOOKUP(D20,'[6]API_NV.AGR.TOTL.ZS_DS2_en_csv_v'!$B$6:$B$271,'[6]API_NV.AGR.TOTL.ZS_DS2_en_csv_v'!$BL$6:$BL$271)</f>
        <v>0.66575512782419</v>
      </c>
      <c r="O20" s="188">
        <f>_xlfn.XLOOKUP(D20,'[7]API_SP.RUR.TOTL_DS2_en_csv_v2_4'!$B$6:$B$271,'[7]API_SP.RUR.TOTL_DS2_en_csv_v2_4'!$BM$6:$BM$271)</f>
        <v>221765</v>
      </c>
      <c r="P20" s="188">
        <f>_xlfn.XLOOKUP(D20,'[8]API_AG.PRD.FOOD.XD_DS2_en_csv_v'!$B$6:$B$271,'[8]API_AG.PRD.FOOD.XD_DS2_en_csv_v'!$BM$6:$BM$271)</f>
        <v>101.49</v>
      </c>
      <c r="Q20">
        <f>_xlfn.XLOOKUP(D20,'[9]API_NE.IMP.GNFS.ZS_DS2_en_csv_v'!$B$6:$B$271,'[9]API_NE.IMP.GNFS.ZS_DS2_en_csv_v'!$BK$6:$BK$271)</f>
        <v>83.266031532409698</v>
      </c>
      <c r="R20">
        <f>_xlfn.XLOOKUP(D20,'[10]API_NE.EXP.GNFS.ZS_DS2_en_csv_v'!$B$6:$B$271,'[10]API_NE.EXP.GNFS.ZS_DS2_en_csv_v'!$BL$6:$BL$271)</f>
        <v>82.174139326600198</v>
      </c>
      <c r="S20">
        <f>_xlfn.XLOOKUP(D20,'[11]API_EG.USE.ELEC.KH.PC_DS2_en_cs'!$B$6:$B$271,'[11]API_EG.USE.ELEC.KH.PC_DS2_en_cs'!$BG$6:$BG$271)</f>
        <v>7709.1230778824702</v>
      </c>
      <c r="T20">
        <f>_xlfn.XLOOKUP(D20,'[12]API_EN.POP.DNST_DS2_en_csv_v2_4'!$B$6:$B$271,'[12]API_EN.POP.DNST_DS2_en_csv_v2_4'!$BM$6:$BM$271)</f>
        <v>381.24970277410802</v>
      </c>
    </row>
    <row r="21" spans="1:20" x14ac:dyDescent="0.2">
      <c r="A21" s="161" t="s">
        <v>150</v>
      </c>
      <c r="B21" s="161">
        <v>84</v>
      </c>
      <c r="C21" s="161" t="s">
        <v>96</v>
      </c>
      <c r="D21" t="str">
        <f>_xlfn.XLOOKUP(B21,'Country Code M49'!$B$2:$B$250,'Country Code M49'!$C$2:$C$250,,0)</f>
        <v>BLZ</v>
      </c>
      <c r="E21" s="162">
        <v>52.673888807177477</v>
      </c>
      <c r="F21" s="162">
        <v>20563.886190322086</v>
      </c>
      <c r="G21" s="160" t="s">
        <v>873</v>
      </c>
      <c r="H21" s="188">
        <f>_xlfn.XLOOKUP(D21,'[1]World Population'!$C$2:$C$267,'[1]World Population'!$BN$2:$BN$267)</f>
        <v>397621</v>
      </c>
      <c r="I21" s="188">
        <v>100</v>
      </c>
      <c r="J21" s="194">
        <f>_xlfn.XLOOKUP(D21,'[2]GDP 2015 Constant'!$B$6:$B$271,'[2]GDP 2015 Constant'!$BM$6:$BM$271)</f>
        <v>1531516106</v>
      </c>
      <c r="K21" s="193">
        <f t="shared" si="0"/>
        <v>3851.6982402840895</v>
      </c>
      <c r="L21" s="194">
        <f>_xlfn.XLOOKUP(D21,'[5]Tourism Receipts'!$B$6:$B$271,'[5]Tourism Receipts'!$BK$6:$BK$271)</f>
        <v>0</v>
      </c>
      <c r="M21" s="195">
        <f t="shared" si="1"/>
        <v>0</v>
      </c>
      <c r="N21">
        <f>_xlfn.XLOOKUP(D21,'[6]API_NV.AGR.TOTL.ZS_DS2_en_csv_v'!$B$6:$B$271,'[6]API_NV.AGR.TOTL.ZS_DS2_en_csv_v'!$BL$6:$BL$271)</f>
        <v>8.9393380568209402</v>
      </c>
      <c r="O21" s="188">
        <f>_xlfn.XLOOKUP(D21,'[7]API_SP.RUR.TOTL_DS2_en_csv_v2_4'!$B$6:$B$271,'[7]API_SP.RUR.TOTL_DS2_en_csv_v2_4'!$BM$6:$BM$271)</f>
        <v>214616</v>
      </c>
      <c r="P21" s="188">
        <f>_xlfn.XLOOKUP(D21,'[8]API_AG.PRD.FOOD.XD_DS2_en_csv_v'!$B$6:$B$271,'[8]API_AG.PRD.FOOD.XD_DS2_en_csv_v'!$BM$6:$BM$271)</f>
        <v>94.93</v>
      </c>
      <c r="Q21">
        <f>_xlfn.XLOOKUP(D21,'[9]API_NE.IMP.GNFS.ZS_DS2_en_csv_v'!$B$6:$B$271,'[9]API_NE.IMP.GNFS.ZS_DS2_en_csv_v'!$BK$6:$BK$271)</f>
        <v>57.508344491399498</v>
      </c>
      <c r="R21">
        <f>_xlfn.XLOOKUP(D21,'[10]API_NE.EXP.GNFS.ZS_DS2_en_csv_v'!$B$6:$B$271,'[10]API_NE.EXP.GNFS.ZS_DS2_en_csv_v'!$BL$6:$BL$271)</f>
        <v>59.650423312062799</v>
      </c>
      <c r="S21">
        <f>_xlfn.XLOOKUP(D21,'[11]API_EG.USE.ELEC.KH.PC_DS2_en_cs'!$B$6:$B$271,'[11]API_EG.USE.ELEC.KH.PC_DS2_en_cs'!$BG$6:$BG$271)</f>
        <v>0</v>
      </c>
      <c r="T21">
        <f>_xlfn.XLOOKUP(D21,'[12]API_EN.POP.DNST_DS2_en_csv_v2_4'!$B$6:$B$271,'[12]API_EN.POP.DNST_DS2_en_csv_v2_4'!$BM$6:$BM$271)</f>
        <v>17.4318719859711</v>
      </c>
    </row>
    <row r="22" spans="1:20" x14ac:dyDescent="0.2">
      <c r="A22" s="161" t="s">
        <v>154</v>
      </c>
      <c r="B22" s="161">
        <v>204</v>
      </c>
      <c r="C22" s="161" t="s">
        <v>813</v>
      </c>
      <c r="D22" t="str">
        <f>_xlfn.XLOOKUP(B22,'Country Code M49'!$B$2:$B$250,'Country Code M49'!$C$2:$C$250,,0)</f>
        <v>BEN</v>
      </c>
      <c r="E22" s="162">
        <v>99.59129668943163</v>
      </c>
      <c r="F22" s="162">
        <v>1175296.8104913207</v>
      </c>
      <c r="G22" s="160" t="s">
        <v>877</v>
      </c>
      <c r="H22" s="188">
        <f>_xlfn.XLOOKUP(D22,'[1]World Population'!$C$2:$C$267,'[1]World Population'!$BN$2:$BN$267)</f>
        <v>12123198</v>
      </c>
      <c r="I22" s="188">
        <v>100</v>
      </c>
      <c r="J22" s="194">
        <f>_xlfn.XLOOKUP(D22,'[2]GDP 2015 Constant'!$B$6:$B$271,'[2]GDP 2015 Constant'!$BM$6:$BM$271)</f>
        <v>14725558673</v>
      </c>
      <c r="K22" s="193">
        <f t="shared" si="0"/>
        <v>1214.6595867691017</v>
      </c>
      <c r="L22" s="194">
        <f>_xlfn.XLOOKUP(D22,'[5]Tourism Receipts'!$B$6:$B$271,'[5]Tourism Receipts'!$BK$6:$BK$271)</f>
        <v>175000000</v>
      </c>
      <c r="M22" s="195">
        <f t="shared" si="1"/>
        <v>1.1884099196920159E-2</v>
      </c>
      <c r="N22">
        <f>_xlfn.XLOOKUP(D22,'[6]API_NV.AGR.TOTL.ZS_DS2_en_csv_v'!$B$6:$B$271,'[6]API_NV.AGR.TOTL.ZS_DS2_en_csv_v'!$BL$6:$BL$271)</f>
        <v>26.875801625833699</v>
      </c>
      <c r="O22" s="188">
        <f>_xlfn.XLOOKUP(D22,'[7]API_SP.RUR.TOTL_DS2_en_csv_v2_4'!$B$6:$B$271,'[7]API_SP.RUR.TOTL_DS2_en_csv_v2_4'!$BM$6:$BM$271)</f>
        <v>6253752</v>
      </c>
      <c r="P22" s="188">
        <f>_xlfn.XLOOKUP(D22,'[8]API_AG.PRD.FOOD.XD_DS2_en_csv_v'!$B$6:$B$271,'[8]API_AG.PRD.FOOD.XD_DS2_en_csv_v'!$BM$6:$BM$271)</f>
        <v>115.73</v>
      </c>
      <c r="Q22">
        <f>_xlfn.XLOOKUP(D22,'[9]API_NE.IMP.GNFS.ZS_DS2_en_csv_v'!$B$6:$B$271,'[9]API_NE.IMP.GNFS.ZS_DS2_en_csv_v'!$BK$6:$BK$271)</f>
        <v>34.520963871436301</v>
      </c>
      <c r="R22">
        <f>_xlfn.XLOOKUP(D22,'[10]API_NE.EXP.GNFS.ZS_DS2_en_csv_v'!$B$6:$B$271,'[10]API_NE.EXP.GNFS.ZS_DS2_en_csv_v'!$BL$6:$BL$271)</f>
        <v>29.630527193547799</v>
      </c>
      <c r="S22">
        <f>_xlfn.XLOOKUP(D22,'[11]API_EG.USE.ELEC.KH.PC_DS2_en_cs'!$B$6:$B$271,'[11]API_EG.USE.ELEC.KH.PC_DS2_en_cs'!$BG$6:$BG$271)</f>
        <v>100.22515176916799</v>
      </c>
      <c r="T22">
        <f>_xlfn.XLOOKUP(D22,'[12]API_EN.POP.DNST_DS2_en_csv_v2_4'!$B$6:$B$271,'[12]API_EN.POP.DNST_DS2_en_csv_v2_4'!$BM$6:$BM$271)</f>
        <v>107.51328485278501</v>
      </c>
    </row>
    <row r="23" spans="1:20" x14ac:dyDescent="0.2">
      <c r="A23" s="161" t="s">
        <v>151</v>
      </c>
      <c r="B23" s="161">
        <v>60</v>
      </c>
      <c r="C23" s="161" t="s">
        <v>771</v>
      </c>
      <c r="D23" t="str">
        <f>_xlfn.XLOOKUP(B23,'Country Code M49'!$B$2:$B$250,'Country Code M49'!$C$2:$C$250,,0)</f>
        <v>BMU</v>
      </c>
      <c r="E23" s="162">
        <v>73.688879646838529</v>
      </c>
      <c r="F23" s="162">
        <v>4605.5549779274079</v>
      </c>
      <c r="G23" s="160" t="s">
        <v>872</v>
      </c>
      <c r="H23" s="188">
        <f>_xlfn.XLOOKUP(D23,'[1]World Population'!$C$2:$C$267,'[1]World Population'!$BN$2:$BN$267)</f>
        <v>63893</v>
      </c>
      <c r="I23" s="188">
        <v>100</v>
      </c>
      <c r="J23" s="194">
        <f>_xlfn.XLOOKUP(D23,'[2]GDP 2015 Constant'!$B$6:$B$271,'[2]GDP 2015 Constant'!$BM$6:$BM$271)</f>
        <v>6371962194</v>
      </c>
      <c r="K23" s="193">
        <f t="shared" si="0"/>
        <v>99728.643106443589</v>
      </c>
      <c r="L23" s="194">
        <f>_xlfn.XLOOKUP(D23,'[5]Tourism Receipts'!$B$6:$B$271,'[5]Tourism Receipts'!$BK$6:$BK$271)</f>
        <v>583000000</v>
      </c>
      <c r="M23" s="195">
        <f t="shared" si="1"/>
        <v>9.1494579259896971E-2</v>
      </c>
      <c r="N23">
        <f>_xlfn.XLOOKUP(D23,'[6]API_NV.AGR.TOTL.ZS_DS2_en_csv_v'!$B$6:$B$271,'[6]API_NV.AGR.TOTL.ZS_DS2_en_csv_v'!$BL$6:$BL$271)</f>
        <v>0.22096150517312299</v>
      </c>
      <c r="O23" s="188">
        <f>_xlfn.XLOOKUP(D23,'[7]API_SP.RUR.TOTL_DS2_en_csv_v2_4'!$B$6:$B$271,'[7]API_SP.RUR.TOTL_DS2_en_csv_v2_4'!$BM$6:$BM$271)</f>
        <v>0</v>
      </c>
      <c r="P23" s="188">
        <f>_xlfn.XLOOKUP(D23,'[8]API_AG.PRD.FOOD.XD_DS2_en_csv_v'!$B$6:$B$271,'[8]API_AG.PRD.FOOD.XD_DS2_en_csv_v'!$BM$6:$BM$271)</f>
        <v>0</v>
      </c>
      <c r="Q23">
        <f>_xlfn.XLOOKUP(D23,'[9]API_NE.IMP.GNFS.ZS_DS2_en_csv_v'!$B$6:$B$271,'[9]API_NE.IMP.GNFS.ZS_DS2_en_csv_v'!$BK$6:$BK$271)</f>
        <v>26.0761139981486</v>
      </c>
      <c r="R23">
        <f>_xlfn.XLOOKUP(D23,'[10]API_NE.EXP.GNFS.ZS_DS2_en_csv_v'!$B$6:$B$271,'[10]API_NE.EXP.GNFS.ZS_DS2_en_csv_v'!$BL$6:$BL$271)</f>
        <v>50.649272273796697</v>
      </c>
      <c r="S23">
        <f>_xlfn.XLOOKUP(D23,'[11]API_EG.USE.ELEC.KH.PC_DS2_en_cs'!$B$6:$B$271,'[11]API_EG.USE.ELEC.KH.PC_DS2_en_cs'!$BG$6:$BG$271)</f>
        <v>0</v>
      </c>
      <c r="T23">
        <f>_xlfn.XLOOKUP(D23,'[12]API_EN.POP.DNST_DS2_en_csv_v2_4'!$B$6:$B$271,'[12]API_EN.POP.DNST_DS2_en_csv_v2_4'!$BM$6:$BM$271)</f>
        <v>1183.2037037037001</v>
      </c>
    </row>
    <row r="24" spans="1:20" x14ac:dyDescent="0.2">
      <c r="A24" s="161" t="s">
        <v>149</v>
      </c>
      <c r="B24" s="161">
        <v>64</v>
      </c>
      <c r="C24" s="161" t="s">
        <v>798</v>
      </c>
      <c r="D24" t="str">
        <f>_xlfn.XLOOKUP(B24,'Country Code M49'!$B$2:$B$250,'Country Code M49'!$C$2:$C$250,,0)</f>
        <v>BTN</v>
      </c>
      <c r="E24" s="162">
        <v>78.626868648745329</v>
      </c>
      <c r="F24" s="162">
        <v>60000.163465857557</v>
      </c>
      <c r="G24" s="160" t="s">
        <v>872</v>
      </c>
      <c r="H24" s="188">
        <f>_xlfn.XLOOKUP(D24,'[1]World Population'!$C$2:$C$267,'[1]World Population'!$BN$2:$BN$267)</f>
        <v>771612</v>
      </c>
      <c r="I24" s="188">
        <v>84.385536193847699</v>
      </c>
      <c r="J24" s="194">
        <f>_xlfn.XLOOKUP(D24,'[2]GDP 2015 Constant'!$B$6:$B$271,'[2]GDP 2015 Constant'!$BM$6:$BM$271)</f>
        <v>2221963713</v>
      </c>
      <c r="K24" s="193">
        <f t="shared" si="0"/>
        <v>2879.6386175953717</v>
      </c>
      <c r="L24" s="194">
        <f>_xlfn.XLOOKUP(D24,'[5]Tourism Receipts'!$B$6:$B$271,'[5]Tourism Receipts'!$BK$6:$BK$271)</f>
        <v>121000000</v>
      </c>
      <c r="M24" s="195">
        <f t="shared" si="1"/>
        <v>5.4456334859146277E-2</v>
      </c>
      <c r="N24">
        <f>_xlfn.XLOOKUP(D24,'[6]API_NV.AGR.TOTL.ZS_DS2_en_csv_v'!$B$6:$B$271,'[6]API_NV.AGR.TOTL.ZS_DS2_en_csv_v'!$BL$6:$BL$271)</f>
        <v>15.784149136121</v>
      </c>
      <c r="O24" s="188">
        <f>_xlfn.XLOOKUP(D24,'[7]API_SP.RUR.TOTL_DS2_en_csv_v2_4'!$B$6:$B$271,'[7]API_SP.RUR.TOTL_DS2_en_csv_v2_4'!$BM$6:$BM$271)</f>
        <v>445097</v>
      </c>
      <c r="P24" s="188">
        <f>_xlfn.XLOOKUP(D24,'[8]API_AG.PRD.FOOD.XD_DS2_en_csv_v'!$B$6:$B$271,'[8]API_AG.PRD.FOOD.XD_DS2_en_csv_v'!$BM$6:$BM$271)</f>
        <v>102.57</v>
      </c>
      <c r="Q24">
        <f>_xlfn.XLOOKUP(D24,'[9]API_NE.IMP.GNFS.ZS_DS2_en_csv_v'!$B$6:$B$271,'[9]API_NE.IMP.GNFS.ZS_DS2_en_csv_v'!$BK$6:$BK$271)</f>
        <v>53.369305611803298</v>
      </c>
      <c r="R24">
        <f>_xlfn.XLOOKUP(D24,'[10]API_NE.EXP.GNFS.ZS_DS2_en_csv_v'!$B$6:$B$271,'[10]API_NE.EXP.GNFS.ZS_DS2_en_csv_v'!$BL$6:$BL$271)</f>
        <v>33.939063813345697</v>
      </c>
      <c r="S24">
        <f>_xlfn.XLOOKUP(D24,'[11]API_EG.USE.ELEC.KH.PC_DS2_en_cs'!$B$6:$B$271,'[11]API_EG.USE.ELEC.KH.PC_DS2_en_cs'!$BG$6:$BG$271)</f>
        <v>0</v>
      </c>
      <c r="T24">
        <f>_xlfn.XLOOKUP(D24,'[12]API_EN.POP.DNST_DS2_en_csv_v2_4'!$B$6:$B$271,'[12]API_EN.POP.DNST_DS2_en_csv_v2_4'!$BM$6:$BM$271)</f>
        <v>20.231043523859501</v>
      </c>
    </row>
    <row r="25" spans="1:20" x14ac:dyDescent="0.2">
      <c r="A25" s="161" t="s">
        <v>150</v>
      </c>
      <c r="B25" s="161">
        <v>68</v>
      </c>
      <c r="C25" s="190" t="s">
        <v>713</v>
      </c>
      <c r="D25" t="str">
        <f>_xlfn.XLOOKUP(B25,'Country Code M49'!$B$2:$B$250,'Country Code M49'!$C$2:$C$250,,0)</f>
        <v>BOL</v>
      </c>
      <c r="E25" s="162">
        <v>80.08369293447646</v>
      </c>
      <c r="F25" s="162">
        <v>922011.56512392091</v>
      </c>
      <c r="G25" s="160" t="s">
        <v>872</v>
      </c>
      <c r="H25" s="188">
        <f>_xlfn.XLOOKUP(D25,'[1]World Population'!$C$2:$C$267,'[1]World Population'!$BN$2:$BN$267)</f>
        <v>11673029</v>
      </c>
      <c r="I25" s="188">
        <v>39.900001525878899</v>
      </c>
      <c r="J25" s="194">
        <f>_xlfn.XLOOKUP(D25,'[2]GDP 2015 Constant'!$B$6:$B$271,'[2]GDP 2015 Constant'!$BM$6:$BM$271)</f>
        <v>34855949803</v>
      </c>
      <c r="K25" s="193">
        <f t="shared" si="0"/>
        <v>2986.0244331612644</v>
      </c>
      <c r="L25" s="194">
        <f>_xlfn.XLOOKUP(D25,'[5]Tourism Receipts'!$B$6:$B$271,'[5]Tourism Receipts'!$BK$6:$BK$271)</f>
        <v>948000000</v>
      </c>
      <c r="M25" s="195">
        <f t="shared" si="1"/>
        <v>2.7197652204514221E-2</v>
      </c>
      <c r="N25">
        <f>_xlfn.XLOOKUP(D25,'[6]API_NV.AGR.TOTL.ZS_DS2_en_csv_v'!$B$6:$B$271,'[6]API_NV.AGR.TOTL.ZS_DS2_en_csv_v'!$BL$6:$BL$271)</f>
        <v>12.221757582489101</v>
      </c>
      <c r="O25" s="188">
        <f>_xlfn.XLOOKUP(D25,'[7]API_SP.RUR.TOTL_DS2_en_csv_v2_4'!$B$6:$B$271,'[7]API_SP.RUR.TOTL_DS2_en_csv_v2_4'!$BM$6:$BM$271)</f>
        <v>3487551</v>
      </c>
      <c r="P25" s="188">
        <f>_xlfn.XLOOKUP(D25,'[8]API_AG.PRD.FOOD.XD_DS2_en_csv_v'!$B$6:$B$271,'[8]API_AG.PRD.FOOD.XD_DS2_en_csv_v'!$BM$6:$BM$271)</f>
        <v>109.63</v>
      </c>
      <c r="Q25">
        <f>_xlfn.XLOOKUP(D25,'[9]API_NE.IMP.GNFS.ZS_DS2_en_csv_v'!$B$6:$B$271,'[9]API_NE.IMP.GNFS.ZS_DS2_en_csv_v'!$BK$6:$BK$271)</f>
        <v>31.121169553100799</v>
      </c>
      <c r="R25">
        <f>_xlfn.XLOOKUP(D25,'[10]API_NE.EXP.GNFS.ZS_DS2_en_csv_v'!$B$6:$B$271,'[10]API_NE.EXP.GNFS.ZS_DS2_en_csv_v'!$BL$6:$BL$271)</f>
        <v>24.967262284016599</v>
      </c>
      <c r="S25">
        <f>_xlfn.XLOOKUP(D25,'[11]API_EG.USE.ELEC.KH.PC_DS2_en_cs'!$B$6:$B$271,'[11]API_EG.USE.ELEC.KH.PC_DS2_en_cs'!$BG$6:$BG$271)</f>
        <v>742.53839974288599</v>
      </c>
      <c r="T25">
        <f>_xlfn.XLOOKUP(D25,'[12]API_EN.POP.DNST_DS2_en_csv_v2_4'!$B$6:$B$271,'[12]API_EN.POP.DNST_DS2_en_csv_v2_4'!$BM$6:$BM$271)</f>
        <v>10.7754352441614</v>
      </c>
    </row>
    <row r="26" spans="1:20" x14ac:dyDescent="0.2">
      <c r="A26" s="161" t="s">
        <v>155</v>
      </c>
      <c r="B26" s="161">
        <v>70</v>
      </c>
      <c r="C26" s="161" t="s">
        <v>804</v>
      </c>
      <c r="D26" t="str">
        <f>_xlfn.XLOOKUP(B26,'Country Code M49'!$B$2:$B$250,'Country Code M49'!$C$2:$C$250,,0)</f>
        <v>BIH</v>
      </c>
      <c r="E26" s="162">
        <v>82.783773370705802</v>
      </c>
      <c r="F26" s="162">
        <v>273269.23589669983</v>
      </c>
      <c r="G26" s="160" t="s">
        <v>877</v>
      </c>
      <c r="H26" s="188">
        <f>_xlfn.XLOOKUP(D26,'[1]World Population'!$C$2:$C$267,'[1]World Population'!$BN$2:$BN$267)</f>
        <v>3280815</v>
      </c>
      <c r="I26" s="188">
        <v>70.397193908691406</v>
      </c>
      <c r="J26" s="194">
        <f>_xlfn.XLOOKUP(D26,'[2]GDP 2015 Constant'!$B$6:$B$271,'[2]GDP 2015 Constant'!$BM$6:$BM$271)</f>
        <v>17839465168</v>
      </c>
      <c r="K26" s="193">
        <f t="shared" si="0"/>
        <v>5437.510243034124</v>
      </c>
      <c r="L26" s="194">
        <f>_xlfn.XLOOKUP(D26,'[5]Tourism Receipts'!$B$6:$B$271,'[5]Tourism Receipts'!$BK$6:$BK$271)</f>
        <v>1147000000</v>
      </c>
      <c r="M26" s="195">
        <f t="shared" si="1"/>
        <v>6.4295649516301692E-2</v>
      </c>
      <c r="N26">
        <f>_xlfn.XLOOKUP(D26,'[6]API_NV.AGR.TOTL.ZS_DS2_en_csv_v'!$B$6:$B$271,'[6]API_NV.AGR.TOTL.ZS_DS2_en_csv_v'!$BL$6:$BL$271)</f>
        <v>5.60309221594256</v>
      </c>
      <c r="O26" s="188">
        <f>_xlfn.XLOOKUP(D26,'[7]API_SP.RUR.TOTL_DS2_en_csv_v2_4'!$B$6:$B$271,'[7]API_SP.RUR.TOTL_DS2_en_csv_v2_4'!$BM$6:$BM$271)</f>
        <v>1672559</v>
      </c>
      <c r="P26" s="188">
        <f>_xlfn.XLOOKUP(D26,'[8]API_AG.PRD.FOOD.XD_DS2_en_csv_v'!$B$6:$B$271,'[8]API_AG.PRD.FOOD.XD_DS2_en_csv_v'!$BM$6:$BM$271)</f>
        <v>114.83</v>
      </c>
      <c r="Q26">
        <f>_xlfn.XLOOKUP(D26,'[9]API_NE.IMP.GNFS.ZS_DS2_en_csv_v'!$B$6:$B$271,'[9]API_NE.IMP.GNFS.ZS_DS2_en_csv_v'!$BK$6:$BK$271)</f>
        <v>57.287542199684601</v>
      </c>
      <c r="R26">
        <f>_xlfn.XLOOKUP(D26,'[10]API_NE.EXP.GNFS.ZS_DS2_en_csv_v'!$B$6:$B$271,'[10]API_NE.EXP.GNFS.ZS_DS2_en_csv_v'!$BL$6:$BL$271)</f>
        <v>40.570120121172202</v>
      </c>
      <c r="S26">
        <f>_xlfn.XLOOKUP(D26,'[11]API_EG.USE.ELEC.KH.PC_DS2_en_cs'!$B$6:$B$271,'[11]API_EG.USE.ELEC.KH.PC_DS2_en_cs'!$BG$6:$BG$271)</f>
        <v>3446.7646878067499</v>
      </c>
      <c r="T26">
        <f>_xlfn.XLOOKUP(D26,'[12]API_EN.POP.DNST_DS2_en_csv_v2_4'!$B$6:$B$271,'[12]API_EN.POP.DNST_DS2_en_csv_v2_4'!$BM$6:$BM$271)</f>
        <v>64.078417968750003</v>
      </c>
    </row>
    <row r="27" spans="1:20" x14ac:dyDescent="0.2">
      <c r="A27" s="161" t="s">
        <v>154</v>
      </c>
      <c r="B27" s="161">
        <v>72</v>
      </c>
      <c r="C27" s="161" t="s">
        <v>814</v>
      </c>
      <c r="D27" t="str">
        <f>_xlfn.XLOOKUP(B27,'Country Code M49'!$B$2:$B$250,'Country Code M49'!$C$2:$C$250,,0)</f>
        <v>BWA</v>
      </c>
      <c r="E27" s="162">
        <v>91.939766485050328</v>
      </c>
      <c r="F27" s="162">
        <v>211801.64005161045</v>
      </c>
      <c r="G27" s="160" t="s">
        <v>877</v>
      </c>
      <c r="H27" s="188">
        <f>_xlfn.XLOOKUP(D27,'[1]World Population'!$C$2:$C$267,'[1]World Population'!$BN$2:$BN$267)</f>
        <v>2351625</v>
      </c>
      <c r="I27" s="188">
        <v>100</v>
      </c>
      <c r="J27" s="194">
        <f>_xlfn.XLOOKUP(D27,'[2]GDP 2015 Constant'!$B$6:$B$271,'[2]GDP 2015 Constant'!$BM$6:$BM$271)</f>
        <v>14826671812</v>
      </c>
      <c r="K27" s="193">
        <f t="shared" si="0"/>
        <v>6304.8623024504332</v>
      </c>
      <c r="L27" s="194">
        <f>_xlfn.XLOOKUP(D27,'[5]Tourism Receipts'!$B$6:$B$271,'[5]Tourism Receipts'!$BK$6:$BK$271)</f>
        <v>584200012.20000005</v>
      </c>
      <c r="M27" s="195">
        <f t="shared" si="1"/>
        <v>3.9401965566350262E-2</v>
      </c>
      <c r="N27">
        <f>_xlfn.XLOOKUP(D27,'[6]API_NV.AGR.TOTL.ZS_DS2_en_csv_v'!$B$6:$B$271,'[6]API_NV.AGR.TOTL.ZS_DS2_en_csv_v'!$BL$6:$BL$271)</f>
        <v>2.0886547867047298</v>
      </c>
      <c r="O27" s="188">
        <f>_xlfn.XLOOKUP(D27,'[7]API_SP.RUR.TOTL_DS2_en_csv_v2_4'!$B$6:$B$271,'[7]API_SP.RUR.TOTL_DS2_en_csv_v2_4'!$BM$6:$BM$271)</f>
        <v>684864</v>
      </c>
      <c r="P27" s="188">
        <f>_xlfn.XLOOKUP(D27,'[8]API_AG.PRD.FOOD.XD_DS2_en_csv_v'!$B$6:$B$271,'[8]API_AG.PRD.FOOD.XD_DS2_en_csv_v'!$BM$6:$BM$271)</f>
        <v>102.44</v>
      </c>
      <c r="Q27">
        <f>_xlfn.XLOOKUP(D27,'[9]API_NE.IMP.GNFS.ZS_DS2_en_csv_v'!$B$6:$B$271,'[9]API_NE.IMP.GNFS.ZS_DS2_en_csv_v'!$BK$6:$BK$271)</f>
        <v>43.527644930917397</v>
      </c>
      <c r="R27">
        <f>_xlfn.XLOOKUP(D27,'[10]API_NE.EXP.GNFS.ZS_DS2_en_csv_v'!$B$6:$B$271,'[10]API_NE.EXP.GNFS.ZS_DS2_en_csv_v'!$BL$6:$BL$271)</f>
        <v>37.154310871440401</v>
      </c>
      <c r="S27">
        <f>_xlfn.XLOOKUP(D27,'[11]API_EG.USE.ELEC.KH.PC_DS2_en_cs'!$B$6:$B$271,'[11]API_EG.USE.ELEC.KH.PC_DS2_en_cs'!$BG$6:$BG$271)</f>
        <v>1815.5537223399799</v>
      </c>
      <c r="T27">
        <f>_xlfn.XLOOKUP(D27,'[12]API_EN.POP.DNST_DS2_en_csv_v2_4'!$B$6:$B$271,'[12]API_EN.POP.DNST_DS2_en_csv_v2_4'!$BM$6:$BM$271)</f>
        <v>4.1494627071092101</v>
      </c>
    </row>
    <row r="28" spans="1:20" x14ac:dyDescent="0.2">
      <c r="A28" s="161" t="s">
        <v>150</v>
      </c>
      <c r="B28" s="161">
        <v>76</v>
      </c>
      <c r="C28" s="161" t="s">
        <v>97</v>
      </c>
      <c r="D28" t="str">
        <f>_xlfn.XLOOKUP(B28,'Country Code M49'!$B$2:$B$250,'Country Code M49'!$C$2:$C$250,,0)</f>
        <v>BRA</v>
      </c>
      <c r="E28" s="162">
        <v>59.598853868194844</v>
      </c>
      <c r="F28" s="162">
        <v>12578308.309455587</v>
      </c>
      <c r="G28" s="160" t="s">
        <v>873</v>
      </c>
      <c r="H28" s="188">
        <f>_xlfn.XLOOKUP(D28,'[1]World Population'!$C$2:$C$267,'[1]World Population'!$BN$2:$BN$267)</f>
        <v>212559409</v>
      </c>
      <c r="I28" s="188">
        <v>100</v>
      </c>
      <c r="J28" s="194">
        <f>_xlfn.XLOOKUP(D28,'[2]GDP 2015 Constant'!$B$6:$B$271,'[2]GDP 2015 Constant'!$BM$6:$BM$271)</f>
        <v>1749100000000</v>
      </c>
      <c r="K28" s="193">
        <f t="shared" si="0"/>
        <v>8228.7582950515261</v>
      </c>
      <c r="L28" s="194">
        <f>_xlfn.XLOOKUP(D28,'[5]Tourism Receipts'!$B$6:$B$271,'[5]Tourism Receipts'!$BK$6:$BK$271)</f>
        <v>6324000000</v>
      </c>
      <c r="M28" s="195">
        <f t="shared" si="1"/>
        <v>3.6155737236292949E-3</v>
      </c>
      <c r="N28">
        <f>_xlfn.XLOOKUP(D28,'[6]API_NV.AGR.TOTL.ZS_DS2_en_csv_v'!$B$6:$B$271,'[6]API_NV.AGR.TOTL.ZS_DS2_en_csv_v'!$BL$6:$BL$271)</f>
        <v>4.2050140951174599</v>
      </c>
      <c r="O28" s="188">
        <f>_xlfn.XLOOKUP(D28,'[7]API_SP.RUR.TOTL_DS2_en_csv_v2_4'!$B$6:$B$271,'[7]API_SP.RUR.TOTL_DS2_en_csv_v2_4'!$BM$6:$BM$271)</f>
        <v>27477555</v>
      </c>
      <c r="P28" s="188">
        <f>_xlfn.XLOOKUP(D28,'[8]API_AG.PRD.FOOD.XD_DS2_en_csv_v'!$B$6:$B$271,'[8]API_AG.PRD.FOOD.XD_DS2_en_csv_v'!$BM$6:$BM$271)</f>
        <v>111.85</v>
      </c>
      <c r="Q28">
        <f>_xlfn.XLOOKUP(D28,'[9]API_NE.IMP.GNFS.ZS_DS2_en_csv_v'!$B$6:$B$271,'[9]API_NE.IMP.GNFS.ZS_DS2_en_csv_v'!$BK$6:$BK$271)</f>
        <v>14.241203878622001</v>
      </c>
      <c r="R28">
        <f>_xlfn.XLOOKUP(D28,'[10]API_NE.EXP.GNFS.ZS_DS2_en_csv_v'!$B$6:$B$271,'[10]API_NE.EXP.GNFS.ZS_DS2_en_csv_v'!$BL$6:$BL$271)</f>
        <v>14.122919190471</v>
      </c>
      <c r="S28">
        <f>_xlfn.XLOOKUP(D28,'[11]API_EG.USE.ELEC.KH.PC_DS2_en_cs'!$B$6:$B$271,'[11]API_EG.USE.ELEC.KH.PC_DS2_en_cs'!$BG$6:$BG$271)</f>
        <v>2619.9604994470801</v>
      </c>
      <c r="T28">
        <f>_xlfn.XLOOKUP(D28,'[12]API_EN.POP.DNST_DS2_en_csv_v2_4'!$B$6:$B$271,'[12]API_EN.POP.DNST_DS2_en_csv_v2_4'!$BM$6:$BM$271)</f>
        <v>25.431424814611901</v>
      </c>
    </row>
    <row r="29" spans="1:20" x14ac:dyDescent="0.2">
      <c r="A29" s="161" t="s">
        <v>150</v>
      </c>
      <c r="B29" s="161">
        <v>92</v>
      </c>
      <c r="C29" s="161" t="s">
        <v>714</v>
      </c>
      <c r="D29" t="str">
        <f>_xlfn.XLOOKUP(B29,'Country Code M49'!$B$2:$B$250,'Country Code M49'!$C$2:$C$250,,0)</f>
        <v>VGB</v>
      </c>
      <c r="E29" s="162">
        <v>73.920769675063781</v>
      </c>
      <c r="F29" s="162">
        <v>2217.6230902519133</v>
      </c>
      <c r="G29" s="160" t="s">
        <v>872</v>
      </c>
      <c r="H29" s="188">
        <f>_xlfn.XLOOKUP(D29,'[1]World Population'!$C$2:$C$267,'[1]World Population'!$BN$2:$BN$267)</f>
        <v>30237</v>
      </c>
      <c r="I29" s="188">
        <v>42.074417114257798</v>
      </c>
      <c r="J29" s="194" t="e">
        <f>_xlfn.XLOOKUP(D29,'[2]GDP 2015 Constant'!$B$6:$B$271,'[2]GDP 2015 Constant'!$BM$6:$BM$271)</f>
        <v>#REF!</v>
      </c>
      <c r="K29" s="193" t="e">
        <f t="shared" si="0"/>
        <v>#REF!</v>
      </c>
      <c r="L29" s="194">
        <f>_xlfn.XLOOKUP(D29,'[5]Tourism Receipts'!$B$6:$B$271,'[5]Tourism Receipts'!$BK$6:$BK$271)</f>
        <v>0</v>
      </c>
      <c r="M29" s="195" t="e">
        <f t="shared" si="1"/>
        <v>#REF!</v>
      </c>
      <c r="N29">
        <f>_xlfn.XLOOKUP(D29,'[6]API_NV.AGR.TOTL.ZS_DS2_en_csv_v'!$B$6:$B$271,'[6]API_NV.AGR.TOTL.ZS_DS2_en_csv_v'!$BL$6:$BL$271)</f>
        <v>0</v>
      </c>
      <c r="O29" s="188">
        <f>_xlfn.XLOOKUP(D29,'[7]API_SP.RUR.TOTL_DS2_en_csv_v2_4'!$B$6:$B$271,'[7]API_SP.RUR.TOTL_DS2_en_csv_v2_4'!$BM$6:$BM$271)</f>
        <v>15568</v>
      </c>
      <c r="P29" s="188">
        <f>_xlfn.XLOOKUP(D29,'[8]API_AG.PRD.FOOD.XD_DS2_en_csv_v'!$B$6:$B$271,'[8]API_AG.PRD.FOOD.XD_DS2_en_csv_v'!$BM$6:$BM$271)</f>
        <v>0</v>
      </c>
      <c r="Q29">
        <f>_xlfn.XLOOKUP(D29,'[9]API_NE.IMP.GNFS.ZS_DS2_en_csv_v'!$B$6:$B$271,'[9]API_NE.IMP.GNFS.ZS_DS2_en_csv_v'!$BK$6:$BK$271)</f>
        <v>0</v>
      </c>
      <c r="R29">
        <f>_xlfn.XLOOKUP(D29,'[10]API_NE.EXP.GNFS.ZS_DS2_en_csv_v'!$B$6:$B$271,'[10]API_NE.EXP.GNFS.ZS_DS2_en_csv_v'!$BL$6:$BL$271)</f>
        <v>0</v>
      </c>
      <c r="S29">
        <f>_xlfn.XLOOKUP(D29,'[11]API_EG.USE.ELEC.KH.PC_DS2_en_cs'!$B$6:$B$271,'[11]API_EG.USE.ELEC.KH.PC_DS2_en_cs'!$BG$6:$BG$271)</f>
        <v>0</v>
      </c>
      <c r="T29">
        <f>_xlfn.XLOOKUP(D29,'[12]API_EN.POP.DNST_DS2_en_csv_v2_4'!$B$6:$B$271,'[12]API_EN.POP.DNST_DS2_en_csv_v2_4'!$BM$6:$BM$271)</f>
        <v>201.58</v>
      </c>
    </row>
    <row r="30" spans="1:20" x14ac:dyDescent="0.2">
      <c r="A30" s="161" t="s">
        <v>157</v>
      </c>
      <c r="B30" s="161">
        <v>96</v>
      </c>
      <c r="C30" s="161" t="s">
        <v>789</v>
      </c>
      <c r="D30" t="str">
        <f>_xlfn.XLOOKUP(B30,'Country Code M49'!$B$2:$B$250,'Country Code M49'!$C$2:$C$250,,0)</f>
        <v>BRN</v>
      </c>
      <c r="E30" s="162">
        <v>80.17420344001772</v>
      </c>
      <c r="F30" s="162">
        <v>34739.48235055968</v>
      </c>
      <c r="G30" s="160" t="s">
        <v>872</v>
      </c>
      <c r="H30" s="188">
        <f>_xlfn.XLOOKUP(D30,'[1]World Population'!$C$2:$C$267,'[1]World Population'!$BN$2:$BN$267)</f>
        <v>437483</v>
      </c>
      <c r="I30" s="188">
        <v>100</v>
      </c>
      <c r="J30" s="194">
        <f>_xlfn.XLOOKUP(D30,'[2]GDP 2015 Constant'!$B$6:$B$271,'[2]GDP 2015 Constant'!$BM$6:$BM$271)</f>
        <v>13429361906</v>
      </c>
      <c r="K30" s="193">
        <f t="shared" si="0"/>
        <v>30696.877149512096</v>
      </c>
      <c r="L30" s="194">
        <f>_xlfn.XLOOKUP(D30,'[5]Tourism Receipts'!$B$6:$B$271,'[5]Tourism Receipts'!$BK$6:$BK$271)</f>
        <v>190000000</v>
      </c>
      <c r="M30" s="195">
        <f t="shared" si="1"/>
        <v>1.414810333729344E-2</v>
      </c>
      <c r="N30">
        <f>_xlfn.XLOOKUP(D30,'[6]API_NV.AGR.TOTL.ZS_DS2_en_csv_v'!$B$6:$B$271,'[6]API_NV.AGR.TOTL.ZS_DS2_en_csv_v'!$BL$6:$BL$271)</f>
        <v>0.98605513011851498</v>
      </c>
      <c r="O30" s="188">
        <f>_xlfn.XLOOKUP(D30,'[7]API_SP.RUR.TOTL_DS2_en_csv_v2_4'!$B$6:$B$271,'[7]API_SP.RUR.TOTL_DS2_en_csv_v2_4'!$BM$6:$BM$271)</f>
        <v>95153</v>
      </c>
      <c r="P30" s="188">
        <f>_xlfn.XLOOKUP(D30,'[8]API_AG.PRD.FOOD.XD_DS2_en_csv_v'!$B$6:$B$271,'[8]API_AG.PRD.FOOD.XD_DS2_en_csv_v'!$BM$6:$BM$271)</f>
        <v>105.88</v>
      </c>
      <c r="Q30">
        <f>_xlfn.XLOOKUP(D30,'[9]API_NE.IMP.GNFS.ZS_DS2_en_csv_v'!$B$6:$B$271,'[9]API_NE.IMP.GNFS.ZS_DS2_en_csv_v'!$BK$6:$BK$271)</f>
        <v>41.964043494891001</v>
      </c>
      <c r="R30">
        <f>_xlfn.XLOOKUP(D30,'[10]API_NE.EXP.GNFS.ZS_DS2_en_csv_v'!$B$6:$B$271,'[10]API_NE.EXP.GNFS.ZS_DS2_en_csv_v'!$BL$6:$BL$271)</f>
        <v>57.946040538108001</v>
      </c>
      <c r="S30">
        <f>_xlfn.XLOOKUP(D30,'[11]API_EG.USE.ELEC.KH.PC_DS2_en_cs'!$B$6:$B$271,'[11]API_EG.USE.ELEC.KH.PC_DS2_en_cs'!$BG$6:$BG$271)</f>
        <v>10290.9380200987</v>
      </c>
      <c r="T30">
        <f>_xlfn.XLOOKUP(D30,'[12]API_EN.POP.DNST_DS2_en_csv_v2_4'!$B$6:$B$271,'[12]API_EN.POP.DNST_DS2_en_csv_v2_4'!$BM$6:$BM$271)</f>
        <v>83.013851992409897</v>
      </c>
    </row>
    <row r="31" spans="1:20" x14ac:dyDescent="0.2">
      <c r="A31" s="161" t="s">
        <v>156</v>
      </c>
      <c r="B31" s="161">
        <v>100</v>
      </c>
      <c r="C31" s="161" t="s">
        <v>701</v>
      </c>
      <c r="D31" t="str">
        <f>_xlfn.XLOOKUP(B31,'Country Code M49'!$B$2:$B$250,'Country Code M49'!$C$2:$C$250,,0)</f>
        <v>BGR</v>
      </c>
      <c r="E31" s="162">
        <v>68.380065497345115</v>
      </c>
      <c r="F31" s="162">
        <v>478667.2964879655</v>
      </c>
      <c r="G31" s="160" t="s">
        <v>872</v>
      </c>
      <c r="H31" s="188">
        <f>_xlfn.XLOOKUP(D31,'[1]World Population'!$C$2:$C$267,'[1]World Population'!$BN$2:$BN$267)</f>
        <v>6934015</v>
      </c>
      <c r="I31" s="188">
        <v>99.804130554199205</v>
      </c>
      <c r="J31" s="194">
        <f>_xlfn.XLOOKUP(D31,'[2]GDP 2015 Constant'!$B$6:$B$271,'[2]GDP 2015 Constant'!$BM$6:$BM$271)</f>
        <v>54923717978</v>
      </c>
      <c r="K31" s="193">
        <f t="shared" si="0"/>
        <v>7920.9113303043041</v>
      </c>
      <c r="L31" s="194">
        <f>_xlfn.XLOOKUP(D31,'[5]Tourism Receipts'!$B$6:$B$271,'[5]Tourism Receipts'!$BK$6:$BK$271)</f>
        <v>5061000000</v>
      </c>
      <c r="M31" s="195">
        <f t="shared" si="1"/>
        <v>9.2145983307743512E-2</v>
      </c>
      <c r="N31">
        <f>_xlfn.XLOOKUP(D31,'[6]API_NV.AGR.TOTL.ZS_DS2_en_csv_v'!$B$6:$B$271,'[6]API_NV.AGR.TOTL.ZS_DS2_en_csv_v'!$BL$6:$BL$271)</f>
        <v>3.2413816852813602</v>
      </c>
      <c r="O31" s="188">
        <f>_xlfn.XLOOKUP(D31,'[7]API_SP.RUR.TOTL_DS2_en_csv_v2_4'!$B$6:$B$271,'[7]API_SP.RUR.TOTL_DS2_en_csv_v2_4'!$BM$6:$BM$271)</f>
        <v>1685936</v>
      </c>
      <c r="P31" s="188">
        <f>_xlfn.XLOOKUP(D31,'[8]API_AG.PRD.FOOD.XD_DS2_en_csv_v'!$B$6:$B$271,'[8]API_AG.PRD.FOOD.XD_DS2_en_csv_v'!$BM$6:$BM$271)</f>
        <v>90.3</v>
      </c>
      <c r="Q31">
        <f>_xlfn.XLOOKUP(D31,'[9]API_NE.IMP.GNFS.ZS_DS2_en_csv_v'!$B$6:$B$271,'[9]API_NE.IMP.GNFS.ZS_DS2_en_csv_v'!$BK$6:$BK$271)</f>
        <v>63.155915001457203</v>
      </c>
      <c r="R31">
        <f>_xlfn.XLOOKUP(D31,'[10]API_NE.EXP.GNFS.ZS_DS2_en_csv_v'!$B$6:$B$271,'[10]API_NE.EXP.GNFS.ZS_DS2_en_csv_v'!$BL$6:$BL$271)</f>
        <v>63.934343346753103</v>
      </c>
      <c r="S31">
        <f>_xlfn.XLOOKUP(D31,'[11]API_EG.USE.ELEC.KH.PC_DS2_en_cs'!$B$6:$B$271,'[11]API_EG.USE.ELEC.KH.PC_DS2_en_cs'!$BG$6:$BG$271)</f>
        <v>4708.9274575723102</v>
      </c>
      <c r="T31">
        <f>_xlfn.XLOOKUP(D31,'[12]API_EN.POP.DNST_DS2_en_csv_v2_4'!$B$6:$B$271,'[12]API_EN.POP.DNST_DS2_en_csv_v2_4'!$BM$6:$BM$271)</f>
        <v>63.8726510685335</v>
      </c>
    </row>
    <row r="32" spans="1:20" x14ac:dyDescent="0.2">
      <c r="A32" s="161" t="s">
        <v>154</v>
      </c>
      <c r="B32" s="161">
        <v>854</v>
      </c>
      <c r="C32" s="161" t="s">
        <v>815</v>
      </c>
      <c r="D32" t="str">
        <f>_xlfn.XLOOKUP(B32,'Country Code M49'!$B$2:$B$250,'Country Code M49'!$C$2:$C$250,,0)</f>
        <v>BFA</v>
      </c>
      <c r="E32" s="162">
        <v>102.69433227860404</v>
      </c>
      <c r="F32" s="162">
        <v>2086892.603966424</v>
      </c>
      <c r="G32" s="160" t="s">
        <v>877</v>
      </c>
      <c r="H32" s="188">
        <f>_xlfn.XLOOKUP(D32,'[1]World Population'!$C$2:$C$267,'[1]World Population'!$BN$2:$BN$267)</f>
        <v>20903278</v>
      </c>
      <c r="I32" s="188">
        <v>55.389701843261697</v>
      </c>
      <c r="J32" s="194">
        <f>_xlfn.XLOOKUP(D32,'[2]GDP 2015 Constant'!$B$6:$B$271,'[2]GDP 2015 Constant'!$BM$6:$BM$271)</f>
        <v>15291209207</v>
      </c>
      <c r="K32" s="193">
        <f t="shared" si="0"/>
        <v>731.52207070106419</v>
      </c>
      <c r="L32" s="194">
        <f>_xlfn.XLOOKUP(D32,'[5]Tourism Receipts'!$B$6:$B$271,'[5]Tourism Receipts'!$BK$6:$BK$271)</f>
        <v>179000000</v>
      </c>
      <c r="M32" s="195">
        <f t="shared" si="1"/>
        <v>1.1706072265237042E-2</v>
      </c>
      <c r="N32">
        <f>_xlfn.XLOOKUP(D32,'[6]API_NV.AGR.TOTL.ZS_DS2_en_csv_v'!$B$6:$B$271,'[6]API_NV.AGR.TOTL.ZS_DS2_en_csv_v'!$BL$6:$BL$271)</f>
        <v>18.376102905702599</v>
      </c>
      <c r="O32" s="188">
        <f>_xlfn.XLOOKUP(D32,'[7]API_SP.RUR.TOTL_DS2_en_csv_v2_4'!$B$6:$B$271,'[7]API_SP.RUR.TOTL_DS2_en_csv_v2_4'!$BM$6:$BM$271)</f>
        <v>14505412</v>
      </c>
      <c r="P32" s="188">
        <f>_xlfn.XLOOKUP(D32,'[8]API_AG.PRD.FOOD.XD_DS2_en_csv_v'!$B$6:$B$271,'[8]API_AG.PRD.FOOD.XD_DS2_en_csv_v'!$BM$6:$BM$271)</f>
        <v>108.14</v>
      </c>
      <c r="Q32">
        <f>_xlfn.XLOOKUP(D32,'[9]API_NE.IMP.GNFS.ZS_DS2_en_csv_v'!$B$6:$B$271,'[9]API_NE.IMP.GNFS.ZS_DS2_en_csv_v'!$BK$6:$BK$271)</f>
        <v>32.516719481726902</v>
      </c>
      <c r="R32">
        <f>_xlfn.XLOOKUP(D32,'[10]API_NE.EXP.GNFS.ZS_DS2_en_csv_v'!$B$6:$B$271,'[10]API_NE.EXP.GNFS.ZS_DS2_en_csv_v'!$BL$6:$BL$271)</f>
        <v>27.6161121175574</v>
      </c>
      <c r="S32">
        <f>_xlfn.XLOOKUP(D32,'[11]API_EG.USE.ELEC.KH.PC_DS2_en_cs'!$B$6:$B$271,'[11]API_EG.USE.ELEC.KH.PC_DS2_en_cs'!$BG$6:$BG$271)</f>
        <v>0</v>
      </c>
      <c r="T32">
        <f>_xlfn.XLOOKUP(D32,'[12]API_EN.POP.DNST_DS2_en_csv_v2_4'!$B$6:$B$271,'[12]API_EN.POP.DNST_DS2_en_csv_v2_4'!$BM$6:$BM$271)</f>
        <v>76.400869883040897</v>
      </c>
    </row>
    <row r="33" spans="1:20" x14ac:dyDescent="0.2">
      <c r="A33" s="161" t="s">
        <v>154</v>
      </c>
      <c r="B33" s="161">
        <v>108</v>
      </c>
      <c r="C33" s="161" t="s">
        <v>816</v>
      </c>
      <c r="D33" t="str">
        <f>_xlfn.XLOOKUP(B33,'Country Code M49'!$B$2:$B$250,'Country Code M49'!$C$2:$C$250,,0)</f>
        <v>BDI</v>
      </c>
      <c r="E33" s="162">
        <v>102.69433227860404</v>
      </c>
      <c r="F33" s="162">
        <v>1184127.2677716718</v>
      </c>
      <c r="G33" s="160" t="s">
        <v>877</v>
      </c>
      <c r="H33" s="188">
        <f>_xlfn.XLOOKUP(D33,'[1]World Population'!$C$2:$C$267,'[1]World Population'!$BN$2:$BN$267)</f>
        <v>11890781</v>
      </c>
      <c r="I33" s="188">
        <v>100</v>
      </c>
      <c r="J33" s="194">
        <f>_xlfn.XLOOKUP(D33,'[2]GDP 2015 Constant'!$B$6:$B$271,'[2]GDP 2015 Constant'!$BM$6:$BM$271)</f>
        <v>3218331132</v>
      </c>
      <c r="K33" s="193">
        <f t="shared" si="0"/>
        <v>270.65767437815902</v>
      </c>
      <c r="L33" s="194">
        <f>_xlfn.XLOOKUP(D33,'[5]Tourism Receipts'!$B$6:$B$271,'[5]Tourism Receipts'!$BK$6:$BK$271)</f>
        <v>0</v>
      </c>
      <c r="M33" s="195">
        <f t="shared" si="1"/>
        <v>0</v>
      </c>
      <c r="N33">
        <f>_xlfn.XLOOKUP(D33,'[6]API_NV.AGR.TOTL.ZS_DS2_en_csv_v'!$B$6:$B$271,'[6]API_NV.AGR.TOTL.ZS_DS2_en_csv_v'!$BL$6:$BL$271)</f>
        <v>28.8443900468367</v>
      </c>
      <c r="O33" s="188">
        <f>_xlfn.XLOOKUP(D33,'[7]API_SP.RUR.TOTL_DS2_en_csv_v2_4'!$B$6:$B$271,'[7]API_SP.RUR.TOTL_DS2_en_csv_v2_4'!$BM$6:$BM$271)</f>
        <v>10260793</v>
      </c>
      <c r="P33" s="188">
        <f>_xlfn.XLOOKUP(D33,'[8]API_AG.PRD.FOOD.XD_DS2_en_csv_v'!$B$6:$B$271,'[8]API_AG.PRD.FOOD.XD_DS2_en_csv_v'!$BM$6:$BM$271)</f>
        <v>143.53</v>
      </c>
      <c r="Q33">
        <f>_xlfn.XLOOKUP(D33,'[9]API_NE.IMP.GNFS.ZS_DS2_en_csv_v'!$B$6:$B$271,'[9]API_NE.IMP.GNFS.ZS_DS2_en_csv_v'!$BK$6:$BK$271)</f>
        <v>20.914048150470499</v>
      </c>
      <c r="R33">
        <f>_xlfn.XLOOKUP(D33,'[10]API_NE.EXP.GNFS.ZS_DS2_en_csv_v'!$B$6:$B$271,'[10]API_NE.EXP.GNFS.ZS_DS2_en_csv_v'!$BL$6:$BL$271)</f>
        <v>5.1720368384995297</v>
      </c>
      <c r="S33">
        <f>_xlfn.XLOOKUP(D33,'[11]API_EG.USE.ELEC.KH.PC_DS2_en_cs'!$B$6:$B$271,'[11]API_EG.USE.ELEC.KH.PC_DS2_en_cs'!$BG$6:$BG$271)</f>
        <v>0</v>
      </c>
      <c r="T33">
        <f>_xlfn.XLOOKUP(D33,'[12]API_EN.POP.DNST_DS2_en_csv_v2_4'!$B$6:$B$271,'[12]API_EN.POP.DNST_DS2_en_csv_v2_4'!$BM$6:$BM$271)</f>
        <v>463.03664330218101</v>
      </c>
    </row>
    <row r="34" spans="1:20" x14ac:dyDescent="0.2">
      <c r="A34" s="161" t="s">
        <v>154</v>
      </c>
      <c r="B34" s="161">
        <v>132</v>
      </c>
      <c r="C34" s="161" t="s">
        <v>817</v>
      </c>
      <c r="D34" t="str">
        <f>_xlfn.XLOOKUP(B34,'Country Code M49'!$B$2:$B$250,'Country Code M49'!$C$2:$C$250,,0)</f>
        <v>CPV</v>
      </c>
      <c r="E34" s="162">
        <v>99.59129668943163</v>
      </c>
      <c r="F34" s="162">
        <v>54765.254049518451</v>
      </c>
      <c r="G34" s="160" t="s">
        <v>877</v>
      </c>
      <c r="H34" s="188">
        <f>_xlfn.XLOOKUP(D34,'[1]World Population'!$C$2:$C$267,'[1]World Population'!$BN$2:$BN$267)</f>
        <v>555988</v>
      </c>
      <c r="I34" s="188">
        <v>97.699996948242202</v>
      </c>
      <c r="J34" s="194">
        <f>_xlfn.XLOOKUP(D34,'[2]GDP 2015 Constant'!$B$6:$B$271,'[2]GDP 2015 Constant'!$BM$6:$BM$271)</f>
        <v>1632003278</v>
      </c>
      <c r="K34" s="193">
        <f t="shared" si="0"/>
        <v>2935.3210464974063</v>
      </c>
      <c r="L34" s="194">
        <f>_xlfn.XLOOKUP(D34,'[5]Tourism Receipts'!$B$6:$B$271,'[5]Tourism Receipts'!$BK$6:$BK$271)</f>
        <v>520000000</v>
      </c>
      <c r="M34" s="195">
        <f t="shared" si="1"/>
        <v>0.31862681099345191</v>
      </c>
      <c r="N34">
        <f>_xlfn.XLOOKUP(D34,'[6]API_NV.AGR.TOTL.ZS_DS2_en_csv_v'!$B$6:$B$271,'[6]API_NV.AGR.TOTL.ZS_DS2_en_csv_v'!$BL$6:$BL$271)</f>
        <v>4.6329060379078797</v>
      </c>
      <c r="O34" s="188">
        <f>_xlfn.XLOOKUP(D34,'[7]API_SP.RUR.TOTL_DS2_en_csv_v2_4'!$B$6:$B$271,'[7]API_SP.RUR.TOTL_DS2_en_csv_v2_4'!$BM$6:$BM$271)</f>
        <v>185411</v>
      </c>
      <c r="P34" s="188">
        <f>_xlfn.XLOOKUP(D34,'[8]API_AG.PRD.FOOD.XD_DS2_en_csv_v'!$B$6:$B$271,'[8]API_AG.PRD.FOOD.XD_DS2_en_csv_v'!$BM$6:$BM$271)</f>
        <v>80.510000000000005</v>
      </c>
      <c r="Q34">
        <f>_xlfn.XLOOKUP(D34,'[9]API_NE.IMP.GNFS.ZS_DS2_en_csv_v'!$B$6:$B$271,'[9]API_NE.IMP.GNFS.ZS_DS2_en_csv_v'!$BK$6:$BK$271)</f>
        <v>67.998422800026404</v>
      </c>
      <c r="R34">
        <f>_xlfn.XLOOKUP(D34,'[10]API_NE.EXP.GNFS.ZS_DS2_en_csv_v'!$B$6:$B$271,'[10]API_NE.EXP.GNFS.ZS_DS2_en_csv_v'!$BL$6:$BL$271)</f>
        <v>50.649292015538499</v>
      </c>
      <c r="S34">
        <f>_xlfn.XLOOKUP(D34,'[11]API_EG.USE.ELEC.KH.PC_DS2_en_cs'!$B$6:$B$271,'[11]API_EG.USE.ELEC.KH.PC_DS2_en_cs'!$BG$6:$BG$271)</f>
        <v>0</v>
      </c>
      <c r="T34">
        <f>_xlfn.XLOOKUP(D34,'[12]API_EN.POP.DNST_DS2_en_csv_v2_4'!$B$6:$B$271,'[12]API_EN.POP.DNST_DS2_en_csv_v2_4'!$BM$6:$BM$271)</f>
        <v>137.962282878412</v>
      </c>
    </row>
    <row r="35" spans="1:20" x14ac:dyDescent="0.2">
      <c r="A35" s="161" t="s">
        <v>157</v>
      </c>
      <c r="B35" s="161">
        <v>116</v>
      </c>
      <c r="C35" s="161" t="s">
        <v>790</v>
      </c>
      <c r="D35" t="str">
        <f>_xlfn.XLOOKUP(B35,'Country Code M49'!$B$2:$B$250,'Country Code M49'!$C$2:$C$250,,0)</f>
        <v>KHM</v>
      </c>
      <c r="E35" s="162">
        <v>86.337126699430399</v>
      </c>
      <c r="F35" s="162">
        <v>1423397.0393301591</v>
      </c>
      <c r="G35" s="160" t="s">
        <v>872</v>
      </c>
      <c r="H35" s="188">
        <f>_xlfn.XLOOKUP(D35,'[1]World Population'!$C$2:$C$267,'[1]World Population'!$BN$2:$BN$267)</f>
        <v>16718971</v>
      </c>
      <c r="I35" s="188">
        <v>100</v>
      </c>
      <c r="J35" s="194">
        <f>_xlfn.XLOOKUP(D35,'[2]GDP 2015 Constant'!$B$6:$B$271,'[2]GDP 2015 Constant'!$BM$6:$BM$271)</f>
        <v>23024448759</v>
      </c>
      <c r="K35" s="193">
        <f t="shared" si="0"/>
        <v>1377.1450862017764</v>
      </c>
      <c r="L35" s="194">
        <f>_xlfn.XLOOKUP(D35,'[5]Tourism Receipts'!$B$6:$B$271,'[5]Tourism Receipts'!$BK$6:$BK$271)</f>
        <v>4832000000</v>
      </c>
      <c r="M35" s="195">
        <f t="shared" si="1"/>
        <v>0.20986387342329857</v>
      </c>
      <c r="N35">
        <f>_xlfn.XLOOKUP(D35,'[6]API_NV.AGR.TOTL.ZS_DS2_en_csv_v'!$B$6:$B$271,'[6]API_NV.AGR.TOTL.ZS_DS2_en_csv_v'!$BL$6:$BL$271)</f>
        <v>20.711870688426099</v>
      </c>
      <c r="O35" s="188">
        <f>_xlfn.XLOOKUP(D35,'[7]API_SP.RUR.TOTL_DS2_en_csv_v2_4'!$B$6:$B$271,'[7]API_SP.RUR.TOTL_DS2_en_csv_v2_4'!$BM$6:$BM$271)</f>
        <v>12667630</v>
      </c>
      <c r="P35" s="188">
        <f>_xlfn.XLOOKUP(D35,'[8]API_AG.PRD.FOOD.XD_DS2_en_csv_v'!$B$6:$B$271,'[8]API_AG.PRD.FOOD.XD_DS2_en_csv_v'!$BM$6:$BM$271)</f>
        <v>107.27</v>
      </c>
      <c r="Q35">
        <f>_xlfn.XLOOKUP(D35,'[9]API_NE.IMP.GNFS.ZS_DS2_en_csv_v'!$B$6:$B$271,'[9]API_NE.IMP.GNFS.ZS_DS2_en_csv_v'!$BK$6:$BK$271)</f>
        <v>63.3028853207447</v>
      </c>
      <c r="R35">
        <f>_xlfn.XLOOKUP(D35,'[10]API_NE.EXP.GNFS.ZS_DS2_en_csv_v'!$B$6:$B$271,'[10]API_NE.EXP.GNFS.ZS_DS2_en_csv_v'!$BL$6:$BL$271)</f>
        <v>61.091296522819697</v>
      </c>
      <c r="S35">
        <f>_xlfn.XLOOKUP(D35,'[11]API_EG.USE.ELEC.KH.PC_DS2_en_cs'!$B$6:$B$271,'[11]API_EG.USE.ELEC.KH.PC_DS2_en_cs'!$BG$6:$BG$271)</f>
        <v>271.36720493612</v>
      </c>
      <c r="T35">
        <f>_xlfn.XLOOKUP(D35,'[12]API_EN.POP.DNST_DS2_en_csv_v2_4'!$B$6:$B$271,'[12]API_EN.POP.DNST_DS2_en_csv_v2_4'!$BM$6:$BM$271)</f>
        <v>94.714315658282302</v>
      </c>
    </row>
    <row r="36" spans="1:20" x14ac:dyDescent="0.2">
      <c r="A36" s="161" t="s">
        <v>154</v>
      </c>
      <c r="B36" s="161">
        <v>120</v>
      </c>
      <c r="C36" s="161" t="s">
        <v>818</v>
      </c>
      <c r="D36" t="str">
        <f>_xlfn.XLOOKUP(B36,'Country Code M49'!$B$2:$B$250,'Country Code M49'!$C$2:$C$250,,0)</f>
        <v>CMR</v>
      </c>
      <c r="E36" s="162">
        <v>99.59129668943163</v>
      </c>
      <c r="F36" s="162">
        <v>2577064.2296544085</v>
      </c>
      <c r="G36" s="160" t="s">
        <v>877</v>
      </c>
      <c r="H36" s="188">
        <f>_xlfn.XLOOKUP(D36,'[1]World Population'!$C$2:$C$267,'[1]World Population'!$BN$2:$BN$267)</f>
        <v>26545864</v>
      </c>
      <c r="I36" s="188">
        <v>100</v>
      </c>
      <c r="J36" s="194">
        <f>_xlfn.XLOOKUP(D36,'[2]GDP 2015 Constant'!$B$6:$B$271,'[2]GDP 2015 Constant'!$BM$6:$BM$271)</f>
        <v>37686544900</v>
      </c>
      <c r="K36" s="193">
        <f t="shared" si="0"/>
        <v>1419.6767112194955</v>
      </c>
      <c r="L36" s="194">
        <f>_xlfn.XLOOKUP(D36,'[5]Tourism Receipts'!$B$6:$B$271,'[5]Tourism Receipts'!$BK$6:$BK$271)</f>
        <v>633000000</v>
      </c>
      <c r="M36" s="195">
        <f t="shared" si="1"/>
        <v>1.6796445566438754E-2</v>
      </c>
      <c r="N36">
        <f>_xlfn.XLOOKUP(D36,'[6]API_NV.AGR.TOTL.ZS_DS2_en_csv_v'!$B$6:$B$271,'[6]API_NV.AGR.TOTL.ZS_DS2_en_csv_v'!$BL$6:$BL$271)</f>
        <v>16.802283564440099</v>
      </c>
      <c r="O36" s="188">
        <f>_xlfn.XLOOKUP(D36,'[7]API_SP.RUR.TOTL_DS2_en_csv_v2_4'!$B$6:$B$271,'[7]API_SP.RUR.TOTL_DS2_en_csv_v2_4'!$BM$6:$BM$271)</f>
        <v>11266065</v>
      </c>
      <c r="P36" s="188">
        <f>_xlfn.XLOOKUP(D36,'[8]API_AG.PRD.FOOD.XD_DS2_en_csv_v'!$B$6:$B$271,'[8]API_AG.PRD.FOOD.XD_DS2_en_csv_v'!$BM$6:$BM$271)</f>
        <v>103.11</v>
      </c>
      <c r="Q36">
        <f>_xlfn.XLOOKUP(D36,'[9]API_NE.IMP.GNFS.ZS_DS2_en_csv_v'!$B$6:$B$271,'[9]API_NE.IMP.GNFS.ZS_DS2_en_csv_v'!$BK$6:$BK$271)</f>
        <v>21.851349408009899</v>
      </c>
      <c r="R36">
        <f>_xlfn.XLOOKUP(D36,'[10]API_NE.EXP.GNFS.ZS_DS2_en_csv_v'!$B$6:$B$271,'[10]API_NE.EXP.GNFS.ZS_DS2_en_csv_v'!$BL$6:$BL$271)</f>
        <v>19.8500907473186</v>
      </c>
      <c r="S36">
        <f>_xlfn.XLOOKUP(D36,'[11]API_EG.USE.ELEC.KH.PC_DS2_en_cs'!$B$6:$B$271,'[11]API_EG.USE.ELEC.KH.PC_DS2_en_cs'!$BG$6:$BG$271)</f>
        <v>275.19797434539402</v>
      </c>
      <c r="T36">
        <f>_xlfn.XLOOKUP(D36,'[12]API_EN.POP.DNST_DS2_en_csv_v2_4'!$B$6:$B$271,'[12]API_EN.POP.DNST_DS2_en_csv_v2_4'!$BM$6:$BM$271)</f>
        <v>56.156764189460802</v>
      </c>
    </row>
    <row r="37" spans="1:20" x14ac:dyDescent="0.2">
      <c r="A37" s="161" t="s">
        <v>151</v>
      </c>
      <c r="B37" s="161">
        <v>124</v>
      </c>
      <c r="C37" s="161" t="s">
        <v>98</v>
      </c>
      <c r="D37" t="str">
        <f>_xlfn.XLOOKUP(B37,'Country Code M49'!$B$2:$B$250,'Country Code M49'!$C$2:$C$250,,0)</f>
        <v>CAN</v>
      </c>
      <c r="E37" s="162">
        <v>78.541621323468746</v>
      </c>
      <c r="F37" s="162">
        <v>2938320.5953322891</v>
      </c>
      <c r="G37" s="160" t="s">
        <v>870</v>
      </c>
      <c r="H37" s="188">
        <f>_xlfn.XLOOKUP(D37,'[1]World Population'!$C$2:$C$267,'[1]World Population'!$BN$2:$BN$267)</f>
        <v>38037204</v>
      </c>
      <c r="I37" s="188">
        <v>99.311813354492202</v>
      </c>
      <c r="J37" s="194">
        <f>_xlfn.XLOOKUP(D37,'[2]GDP 2015 Constant'!$B$6:$B$271,'[2]GDP 2015 Constant'!$BM$6:$BM$271)</f>
        <v>1607400000000</v>
      </c>
      <c r="K37" s="193">
        <f t="shared" si="0"/>
        <v>42258.626580439508</v>
      </c>
      <c r="L37" s="194">
        <f>_xlfn.XLOOKUP(D37,'[5]Tourism Receipts'!$B$6:$B$271,'[5]Tourism Receipts'!$BK$6:$BK$271)</f>
        <v>0</v>
      </c>
      <c r="M37" s="195">
        <f t="shared" si="1"/>
        <v>0</v>
      </c>
      <c r="N37">
        <f>_xlfn.XLOOKUP(D37,'[6]API_NV.AGR.TOTL.ZS_DS2_en_csv_v'!$B$6:$B$271,'[6]API_NV.AGR.TOTL.ZS_DS2_en_csv_v'!$BL$6:$BL$271)</f>
        <v>0</v>
      </c>
      <c r="O37" s="188">
        <f>_xlfn.XLOOKUP(D37,'[7]API_SP.RUR.TOTL_DS2_en_csv_v2_4'!$B$6:$B$271,'[7]API_SP.RUR.TOTL_DS2_en_csv_v2_4'!$BM$6:$BM$271)</f>
        <v>7013300</v>
      </c>
      <c r="P37" s="188">
        <f>_xlfn.XLOOKUP(D37,'[8]API_AG.PRD.FOOD.XD_DS2_en_csv_v'!$B$6:$B$271,'[8]API_AG.PRD.FOOD.XD_DS2_en_csv_v'!$BM$6:$BM$271)</f>
        <v>113.66</v>
      </c>
      <c r="Q37">
        <f>_xlfn.XLOOKUP(D37,'[9]API_NE.IMP.GNFS.ZS_DS2_en_csv_v'!$B$6:$B$271,'[9]API_NE.IMP.GNFS.ZS_DS2_en_csv_v'!$BK$6:$BK$271)</f>
        <v>34.167534414708399</v>
      </c>
      <c r="R37">
        <f>_xlfn.XLOOKUP(D37,'[10]API_NE.EXP.GNFS.ZS_DS2_en_csv_v'!$B$6:$B$271,'[10]API_NE.EXP.GNFS.ZS_DS2_en_csv_v'!$BL$6:$BL$271)</f>
        <v>31.908532622851101</v>
      </c>
      <c r="S37">
        <f>_xlfn.XLOOKUP(D37,'[11]API_EG.USE.ELEC.KH.PC_DS2_en_cs'!$B$6:$B$271,'[11]API_EG.USE.ELEC.KH.PC_DS2_en_cs'!$BG$6:$BG$271)</f>
        <v>15588.4871464315</v>
      </c>
      <c r="T37">
        <f>_xlfn.XLOOKUP(D37,'[12]API_EN.POP.DNST_DS2_en_csv_v2_4'!$B$6:$B$271,'[12]API_EN.POP.DNST_DS2_en_csv_v2_4'!$BM$6:$BM$271)</f>
        <v>4.2425767852422398</v>
      </c>
    </row>
    <row r="38" spans="1:20" x14ac:dyDescent="0.2">
      <c r="A38" s="161" t="s">
        <v>150</v>
      </c>
      <c r="B38" s="161">
        <v>136</v>
      </c>
      <c r="C38" s="161" t="s">
        <v>715</v>
      </c>
      <c r="D38" t="str">
        <f>_xlfn.XLOOKUP(B38,'Country Code M49'!$B$2:$B$250,'Country Code M49'!$C$2:$C$250,,0)</f>
        <v>CYM</v>
      </c>
      <c r="E38" s="162">
        <v>73.920769675063781</v>
      </c>
      <c r="F38" s="162">
        <v>4797.4579519116396</v>
      </c>
      <c r="G38" s="160" t="s">
        <v>872</v>
      </c>
      <c r="H38" s="188">
        <f>_xlfn.XLOOKUP(D38,'[1]World Population'!$C$2:$C$267,'[1]World Population'!$BN$2:$BN$267)</f>
        <v>65720</v>
      </c>
      <c r="I38" s="188">
        <v>46.890609741210902</v>
      </c>
      <c r="J38" s="194">
        <f>_xlfn.XLOOKUP(D38,'[2]GDP 2015 Constant'!$B$6:$B$271,'[2]GDP 2015 Constant'!$BM$6:$BM$271)</f>
        <v>5123472741</v>
      </c>
      <c r="K38" s="193">
        <f t="shared" si="0"/>
        <v>77959.110483870973</v>
      </c>
      <c r="L38" s="194">
        <f>_xlfn.XLOOKUP(D38,'[5]Tourism Receipts'!$B$6:$B$271,'[5]Tourism Receipts'!$BK$6:$BK$271)</f>
        <v>911000000</v>
      </c>
      <c r="M38" s="195">
        <f t="shared" si="1"/>
        <v>0.17780908498054993</v>
      </c>
      <c r="N38">
        <f>_xlfn.XLOOKUP(D38,'[6]API_NV.AGR.TOTL.ZS_DS2_en_csv_v'!$B$6:$B$271,'[6]API_NV.AGR.TOTL.ZS_DS2_en_csv_v'!$BL$6:$BL$271)</f>
        <v>0.41420543024258799</v>
      </c>
      <c r="O38" s="188">
        <f>_xlfn.XLOOKUP(D38,'[7]API_SP.RUR.TOTL_DS2_en_csv_v2_4'!$B$6:$B$271,'[7]API_SP.RUR.TOTL_DS2_en_csv_v2_4'!$BM$6:$BM$271)</f>
        <v>0</v>
      </c>
      <c r="P38" s="188">
        <f>_xlfn.XLOOKUP(D38,'[8]API_AG.PRD.FOOD.XD_DS2_en_csv_v'!$B$6:$B$271,'[8]API_AG.PRD.FOOD.XD_DS2_en_csv_v'!$BM$6:$BM$271)</f>
        <v>0</v>
      </c>
      <c r="Q38">
        <f>_xlfn.XLOOKUP(D38,'[9]API_NE.IMP.GNFS.ZS_DS2_en_csv_v'!$B$6:$B$271,'[9]API_NE.IMP.GNFS.ZS_DS2_en_csv_v'!$BK$6:$BK$271)</f>
        <v>45.529273094847497</v>
      </c>
      <c r="R38">
        <f>_xlfn.XLOOKUP(D38,'[10]API_NE.EXP.GNFS.ZS_DS2_en_csv_v'!$B$6:$B$271,'[10]API_NE.EXP.GNFS.ZS_DS2_en_csv_v'!$BL$6:$BL$271)</f>
        <v>69.453743444260695</v>
      </c>
      <c r="S38">
        <f>_xlfn.XLOOKUP(D38,'[11]API_EG.USE.ELEC.KH.PC_DS2_en_cs'!$B$6:$B$271,'[11]API_EG.USE.ELEC.KH.PC_DS2_en_cs'!$BG$6:$BG$271)</f>
        <v>0</v>
      </c>
      <c r="T38">
        <f>_xlfn.XLOOKUP(D38,'[12]API_EN.POP.DNST_DS2_en_csv_v2_4'!$B$6:$B$271,'[12]API_EN.POP.DNST_DS2_en_csv_v2_4'!$BM$6:$BM$271)</f>
        <v>273.83333333333297</v>
      </c>
    </row>
    <row r="39" spans="1:20" x14ac:dyDescent="0.2">
      <c r="A39" s="161" t="s">
        <v>154</v>
      </c>
      <c r="B39" s="161">
        <v>140</v>
      </c>
      <c r="C39" s="161" t="s">
        <v>819</v>
      </c>
      <c r="D39" t="str">
        <f>_xlfn.XLOOKUP(B39,'Country Code M49'!$B$2:$B$250,'Country Code M49'!$C$2:$C$250,,0)</f>
        <v>CAF</v>
      </c>
      <c r="E39" s="162">
        <v>102.69433227860404</v>
      </c>
      <c r="F39" s="162">
        <v>487305.14552843187</v>
      </c>
      <c r="G39" s="160" t="s">
        <v>877</v>
      </c>
      <c r="H39" s="188">
        <f>_xlfn.XLOOKUP(D39,'[1]World Population'!$C$2:$C$267,'[1]World Population'!$BN$2:$BN$267)</f>
        <v>4829764</v>
      </c>
      <c r="I39" s="188">
        <v>85.873550415039105</v>
      </c>
      <c r="J39" s="194">
        <f>_xlfn.XLOOKUP(D39,'[2]GDP 2015 Constant'!$B$6:$B$271,'[2]GDP 2015 Constant'!$BM$6:$BM$271)</f>
        <v>2004791523</v>
      </c>
      <c r="K39" s="193">
        <f t="shared" si="0"/>
        <v>415.09099057428062</v>
      </c>
      <c r="L39" s="194">
        <f>_xlfn.XLOOKUP(D39,'[5]Tourism Receipts'!$B$6:$B$271,'[5]Tourism Receipts'!$BK$6:$BK$271)</f>
        <v>0</v>
      </c>
      <c r="M39" s="195">
        <f t="shared" si="1"/>
        <v>0</v>
      </c>
      <c r="N39">
        <f>_xlfn.XLOOKUP(D39,'[6]API_NV.AGR.TOTL.ZS_DS2_en_csv_v'!$B$6:$B$271,'[6]API_NV.AGR.TOTL.ZS_DS2_en_csv_v'!$BL$6:$BL$271)</f>
        <v>28.341832464943799</v>
      </c>
      <c r="O39" s="188">
        <f>_xlfn.XLOOKUP(D39,'[7]API_SP.RUR.TOTL_DS2_en_csv_v2_4'!$B$6:$B$271,'[7]API_SP.RUR.TOTL_DS2_en_csv_v2_4'!$BM$6:$BM$271)</f>
        <v>2791700</v>
      </c>
      <c r="P39" s="188">
        <f>_xlfn.XLOOKUP(D39,'[8]API_AG.PRD.FOOD.XD_DS2_en_csv_v'!$B$6:$B$271,'[8]API_AG.PRD.FOOD.XD_DS2_en_csv_v'!$BM$6:$BM$271)</f>
        <v>105.26</v>
      </c>
      <c r="Q39">
        <f>_xlfn.XLOOKUP(D39,'[9]API_NE.IMP.GNFS.ZS_DS2_en_csv_v'!$B$6:$B$271,'[9]API_NE.IMP.GNFS.ZS_DS2_en_csv_v'!$BK$6:$BK$271)</f>
        <v>33.720170001661799</v>
      </c>
      <c r="R39">
        <f>_xlfn.XLOOKUP(D39,'[10]API_NE.EXP.GNFS.ZS_DS2_en_csv_v'!$B$6:$B$271,'[10]API_NE.EXP.GNFS.ZS_DS2_en_csv_v'!$BL$6:$BL$271)</f>
        <v>15.7553800018083</v>
      </c>
      <c r="S39">
        <f>_xlfn.XLOOKUP(D39,'[11]API_EG.USE.ELEC.KH.PC_DS2_en_cs'!$B$6:$B$271,'[11]API_EG.USE.ELEC.KH.PC_DS2_en_cs'!$BG$6:$BG$271)</f>
        <v>0</v>
      </c>
      <c r="T39">
        <f>_xlfn.XLOOKUP(D39,'[12]API_EN.POP.DNST_DS2_en_csv_v2_4'!$B$6:$B$271,'[12]API_EN.POP.DNST_DS2_en_csv_v2_4'!$BM$6:$BM$271)</f>
        <v>7.7526790587177796</v>
      </c>
    </row>
    <row r="40" spans="1:20" x14ac:dyDescent="0.2">
      <c r="A40" s="161" t="s">
        <v>154</v>
      </c>
      <c r="B40" s="161">
        <v>148</v>
      </c>
      <c r="C40" s="161" t="s">
        <v>820</v>
      </c>
      <c r="D40" t="str">
        <f>_xlfn.XLOOKUP(B40,'Country Code M49'!$B$2:$B$250,'Country Code M49'!$C$2:$C$250,,0)</f>
        <v>TCD</v>
      </c>
      <c r="E40" s="162">
        <v>102.69433227860404</v>
      </c>
      <c r="F40" s="162">
        <v>1637656.2474136709</v>
      </c>
      <c r="G40" s="160" t="s">
        <v>877</v>
      </c>
      <c r="H40" s="188">
        <f>_xlfn.XLOOKUP(D40,'[1]World Population'!$C$2:$C$267,'[1]World Population'!$BN$2:$BN$267)</f>
        <v>16425859</v>
      </c>
      <c r="I40" s="188">
        <v>30.603832244873001</v>
      </c>
      <c r="J40" s="194">
        <f>_xlfn.XLOOKUP(D40,'[2]GDP 2015 Constant'!$B$6:$B$271,'[2]GDP 2015 Constant'!$BM$6:$BM$271)</f>
        <v>10357639641</v>
      </c>
      <c r="K40" s="193">
        <f t="shared" si="0"/>
        <v>630.56913133127466</v>
      </c>
      <c r="L40" s="194">
        <f>_xlfn.XLOOKUP(D40,'[5]Tourism Receipts'!$B$6:$B$271,'[5]Tourism Receipts'!$BK$6:$BK$271)</f>
        <v>0</v>
      </c>
      <c r="M40" s="195">
        <f t="shared" si="1"/>
        <v>0</v>
      </c>
      <c r="N40">
        <f>_xlfn.XLOOKUP(D40,'[6]API_NV.AGR.TOTL.ZS_DS2_en_csv_v'!$B$6:$B$271,'[6]API_NV.AGR.TOTL.ZS_DS2_en_csv_v'!$BL$6:$BL$271)</f>
        <v>42.594449124090801</v>
      </c>
      <c r="O40" s="188">
        <f>_xlfn.XLOOKUP(D40,'[7]API_SP.RUR.TOTL_DS2_en_csv_v2_4'!$B$6:$B$271,'[7]API_SP.RUR.TOTL_DS2_en_csv_v2_4'!$BM$6:$BM$271)</f>
        <v>12562497</v>
      </c>
      <c r="P40" s="188">
        <f>_xlfn.XLOOKUP(D40,'[8]API_AG.PRD.FOOD.XD_DS2_en_csv_v'!$B$6:$B$271,'[8]API_AG.PRD.FOOD.XD_DS2_en_csv_v'!$BM$6:$BM$271)</f>
        <v>120.7</v>
      </c>
      <c r="Q40">
        <f>_xlfn.XLOOKUP(D40,'[9]API_NE.IMP.GNFS.ZS_DS2_en_csv_v'!$B$6:$B$271,'[9]API_NE.IMP.GNFS.ZS_DS2_en_csv_v'!$BK$6:$BK$271)</f>
        <v>38.014071283580499</v>
      </c>
      <c r="R40">
        <f>_xlfn.XLOOKUP(D40,'[10]API_NE.EXP.GNFS.ZS_DS2_en_csv_v'!$B$6:$B$271,'[10]API_NE.EXP.GNFS.ZS_DS2_en_csv_v'!$BL$6:$BL$271)</f>
        <v>36.742253436382597</v>
      </c>
      <c r="S40">
        <f>_xlfn.XLOOKUP(D40,'[11]API_EG.USE.ELEC.KH.PC_DS2_en_cs'!$B$6:$B$271,'[11]API_EG.USE.ELEC.KH.PC_DS2_en_cs'!$BG$6:$BG$271)</f>
        <v>0</v>
      </c>
      <c r="T40">
        <f>_xlfn.XLOOKUP(D40,'[12]API_EN.POP.DNST_DS2_en_csv_v2_4'!$B$6:$B$271,'[12]API_EN.POP.DNST_DS2_en_csv_v2_4'!$BM$6:$BM$271)</f>
        <v>13.044678367217299</v>
      </c>
    </row>
    <row r="41" spans="1:20" x14ac:dyDescent="0.2">
      <c r="A41" s="161" t="s">
        <v>150</v>
      </c>
      <c r="B41" s="161">
        <v>152</v>
      </c>
      <c r="C41" s="161" t="s">
        <v>716</v>
      </c>
      <c r="D41" t="str">
        <f>_xlfn.XLOOKUP(B41,'Country Code M49'!$B$2:$B$250,'Country Code M49'!$C$2:$C$250,,0)</f>
        <v>CHL</v>
      </c>
      <c r="E41" s="162">
        <v>73.920769675063781</v>
      </c>
      <c r="F41" s="162">
        <v>1400946.4268818088</v>
      </c>
      <c r="G41" s="160" t="s">
        <v>872</v>
      </c>
      <c r="H41" s="188">
        <f>_xlfn.XLOOKUP(D41,'[1]World Population'!$C$2:$C$267,'[1]World Population'!$BN$2:$BN$267)</f>
        <v>19116209</v>
      </c>
      <c r="I41" s="188">
        <v>73.757926940917997</v>
      </c>
      <c r="J41" s="194">
        <f>_xlfn.XLOOKUP(D41,'[2]GDP 2015 Constant'!$B$6:$B$271,'[2]GDP 2015 Constant'!$BM$6:$BM$271)</f>
        <v>246413000000</v>
      </c>
      <c r="K41" s="193">
        <f t="shared" si="0"/>
        <v>12890.265010180627</v>
      </c>
      <c r="L41" s="194">
        <f>_xlfn.XLOOKUP(D41,'[5]Tourism Receipts'!$B$6:$B$271,'[5]Tourism Receipts'!$BK$6:$BK$271)</f>
        <v>3911000000</v>
      </c>
      <c r="M41" s="195">
        <f t="shared" si="1"/>
        <v>1.5871727546842091E-2</v>
      </c>
      <c r="N41">
        <f>_xlfn.XLOOKUP(D41,'[6]API_NV.AGR.TOTL.ZS_DS2_en_csv_v'!$B$6:$B$271,'[6]API_NV.AGR.TOTL.ZS_DS2_en_csv_v'!$BL$6:$BL$271)</f>
        <v>3.9839672335147398</v>
      </c>
      <c r="O41" s="188">
        <f>_xlfn.XLOOKUP(D41,'[7]API_SP.RUR.TOTL_DS2_en_csv_v2_4'!$B$6:$B$271,'[7]API_SP.RUR.TOTL_DS2_en_csv_v2_4'!$BM$6:$BM$271)</f>
        <v>2346132</v>
      </c>
      <c r="P41" s="188">
        <f>_xlfn.XLOOKUP(D41,'[8]API_AG.PRD.FOOD.XD_DS2_en_csv_v'!$B$6:$B$271,'[8]API_AG.PRD.FOOD.XD_DS2_en_csv_v'!$BM$6:$BM$271)</f>
        <v>107.97</v>
      </c>
      <c r="Q41">
        <f>_xlfn.XLOOKUP(D41,'[9]API_NE.IMP.GNFS.ZS_DS2_en_csv_v'!$B$6:$B$271,'[9]API_NE.IMP.GNFS.ZS_DS2_en_csv_v'!$BK$6:$BK$271)</f>
        <v>29.648005893694801</v>
      </c>
      <c r="R41">
        <f>_xlfn.XLOOKUP(D41,'[10]API_NE.EXP.GNFS.ZS_DS2_en_csv_v'!$B$6:$B$271,'[10]API_NE.EXP.GNFS.ZS_DS2_en_csv_v'!$BL$6:$BL$271)</f>
        <v>27.834131590256899</v>
      </c>
      <c r="S41">
        <f>_xlfn.XLOOKUP(D41,'[11]API_EG.USE.ELEC.KH.PC_DS2_en_cs'!$B$6:$B$271,'[11]API_EG.USE.ELEC.KH.PC_DS2_en_cs'!$BG$6:$BG$271)</f>
        <v>3879.6734202306502</v>
      </c>
      <c r="T41">
        <f>_xlfn.XLOOKUP(D41,'[12]API_EN.POP.DNST_DS2_en_csv_v2_4'!$B$6:$B$271,'[12]API_EN.POP.DNST_DS2_en_csv_v2_4'!$BM$6:$BM$271)</f>
        <v>25.710001721512999</v>
      </c>
    </row>
    <row r="42" spans="1:20" x14ac:dyDescent="0.2">
      <c r="A42" s="161" t="s">
        <v>152</v>
      </c>
      <c r="B42" s="161">
        <v>156</v>
      </c>
      <c r="C42" s="161" t="s">
        <v>99</v>
      </c>
      <c r="D42" t="str">
        <f>_xlfn.XLOOKUP(B42,'Country Code M49'!$B$2:$B$250,'Country Code M49'!$C$2:$C$250,,0)</f>
        <v>CHN</v>
      </c>
      <c r="E42" s="162">
        <v>63.919134180621413</v>
      </c>
      <c r="F42" s="162">
        <v>91646212.706287846</v>
      </c>
      <c r="G42" s="160" t="s">
        <v>873</v>
      </c>
      <c r="H42" s="188">
        <f>_xlfn.XLOOKUP(D42,'[1]World Population'!$C$2:$C$267,'[1]World Population'!$BN$2:$BN$267)</f>
        <v>1411100000</v>
      </c>
      <c r="I42" s="188">
        <v>89.900001525878906</v>
      </c>
      <c r="J42" s="194">
        <f>_xlfn.XLOOKUP(D42,'[2]GDP 2015 Constant'!$B$6:$B$271,'[2]GDP 2015 Constant'!$BM$6:$BM$271)</f>
        <v>14616500000000</v>
      </c>
      <c r="K42" s="193">
        <f t="shared" si="0"/>
        <v>10358.231167174545</v>
      </c>
      <c r="L42" s="194">
        <f>_xlfn.XLOOKUP(D42,'[5]Tourism Receipts'!$B$6:$B$271,'[5]Tourism Receipts'!$BK$6:$BK$271)</f>
        <v>0</v>
      </c>
      <c r="M42" s="195">
        <f t="shared" si="1"/>
        <v>0</v>
      </c>
      <c r="N42">
        <f>_xlfn.XLOOKUP(D42,'[6]API_NV.AGR.TOTL.ZS_DS2_en_csv_v'!$B$6:$B$271,'[6]API_NV.AGR.TOTL.ZS_DS2_en_csv_v'!$BL$6:$BL$271)</f>
        <v>7.1436902775817996</v>
      </c>
      <c r="O42" s="188">
        <f>_xlfn.XLOOKUP(D42,'[7]API_SP.RUR.TOTL_DS2_en_csv_v2_4'!$B$6:$B$271,'[7]API_SP.RUR.TOTL_DS2_en_csv_v2_4'!$BM$6:$BM$271)</f>
        <v>544289492</v>
      </c>
      <c r="P42" s="188">
        <f>_xlfn.XLOOKUP(D42,'[8]API_AG.PRD.FOOD.XD_DS2_en_csv_v'!$B$6:$B$271,'[8]API_AG.PRD.FOOD.XD_DS2_en_csv_v'!$BM$6:$BM$271)</f>
        <v>102.96</v>
      </c>
      <c r="Q42">
        <f>_xlfn.XLOOKUP(D42,'[9]API_NE.IMP.GNFS.ZS_DS2_en_csv_v'!$B$6:$B$271,'[9]API_NE.IMP.GNFS.ZS_DS2_en_csv_v'!$BK$6:$BK$271)</f>
        <v>18.453680565723399</v>
      </c>
      <c r="R42">
        <f>_xlfn.XLOOKUP(D42,'[10]API_NE.EXP.GNFS.ZS_DS2_en_csv_v'!$B$6:$B$271,'[10]API_NE.EXP.GNFS.ZS_DS2_en_csv_v'!$BL$6:$BL$271)</f>
        <v>18.4099923154801</v>
      </c>
      <c r="S42">
        <f>_xlfn.XLOOKUP(D42,'[11]API_EG.USE.ELEC.KH.PC_DS2_en_cs'!$B$6:$B$271,'[11]API_EG.USE.ELEC.KH.PC_DS2_en_cs'!$BG$6:$BG$271)</f>
        <v>3905.3175980056299</v>
      </c>
      <c r="T42">
        <f>_xlfn.XLOOKUP(D42,'[12]API_EN.POP.DNST_DS2_en_csv_v2_4'!$B$6:$B$271,'[12]API_EN.POP.DNST_DS2_en_csv_v2_4'!$BM$6:$BM$271)</f>
        <v>149.72355255888201</v>
      </c>
    </row>
    <row r="43" spans="1:20" x14ac:dyDescent="0.2">
      <c r="A43" s="161" t="s">
        <v>152</v>
      </c>
      <c r="B43" s="161">
        <v>344</v>
      </c>
      <c r="C43" s="161" t="s">
        <v>695</v>
      </c>
      <c r="D43" t="str">
        <f>_xlfn.XLOOKUP(B43,'Country Code M49'!$B$2:$B$250,'Country Code M49'!$C$2:$C$250,,0)</f>
        <v>HKG</v>
      </c>
      <c r="E43" s="162">
        <v>71.405416561062623</v>
      </c>
      <c r="F43" s="162">
        <v>530984.95863137383</v>
      </c>
      <c r="G43" s="160" t="s">
        <v>872</v>
      </c>
      <c r="H43" s="188">
        <f>_xlfn.XLOOKUP(D43,'[1]World Population'!$C$2:$C$267,'[1]World Population'!$BN$2:$BN$267)</f>
        <v>7481000</v>
      </c>
      <c r="I43" s="188">
        <v>100</v>
      </c>
      <c r="J43" s="194">
        <f>_xlfn.XLOOKUP(D43,'[2]GDP 2015 Constant'!$B$6:$B$271,'[2]GDP 2015 Constant'!$BM$6:$BM$271)</f>
        <v>310237000000</v>
      </c>
      <c r="K43" s="193">
        <f t="shared" si="0"/>
        <v>41469.99064296217</v>
      </c>
      <c r="L43" s="194">
        <f>_xlfn.XLOOKUP(D43,'[5]Tourism Receipts'!$B$6:$B$271,'[5]Tourism Receipts'!$BK$6:$BK$271)</f>
        <v>42313000000</v>
      </c>
      <c r="M43" s="195">
        <f t="shared" si="1"/>
        <v>0.13638927658532027</v>
      </c>
      <c r="N43">
        <f>_xlfn.XLOOKUP(D43,'[6]API_NV.AGR.TOTL.ZS_DS2_en_csv_v'!$B$6:$B$271,'[6]API_NV.AGR.TOTL.ZS_DS2_en_csv_v'!$BL$6:$BL$271)</f>
        <v>7.2306274898122705E-2</v>
      </c>
      <c r="O43" s="188">
        <f>_xlfn.XLOOKUP(D43,'[7]API_SP.RUR.TOTL_DS2_en_csv_v2_4'!$B$6:$B$271,'[7]API_SP.RUR.TOTL_DS2_en_csv_v2_4'!$BM$6:$BM$271)</f>
        <v>0</v>
      </c>
      <c r="P43" s="188">
        <f>_xlfn.XLOOKUP(D43,'[8]API_AG.PRD.FOOD.XD_DS2_en_csv_v'!$B$6:$B$271,'[8]API_AG.PRD.FOOD.XD_DS2_en_csv_v'!$BM$6:$BM$271)</f>
        <v>220.88</v>
      </c>
      <c r="Q43">
        <f>_xlfn.XLOOKUP(D43,'[9]API_NE.IMP.GNFS.ZS_DS2_en_csv_v'!$B$6:$B$271,'[9]API_NE.IMP.GNFS.ZS_DS2_en_csv_v'!$BK$6:$BK$271)</f>
        <v>188.553266542735</v>
      </c>
      <c r="R43">
        <f>_xlfn.XLOOKUP(D43,'[10]API_NE.EXP.GNFS.ZS_DS2_en_csv_v'!$B$6:$B$271,'[10]API_NE.EXP.GNFS.ZS_DS2_en_csv_v'!$BL$6:$BL$271)</f>
        <v>177.65620106276501</v>
      </c>
      <c r="S43">
        <f>_xlfn.XLOOKUP(D43,'[11]API_EG.USE.ELEC.KH.PC_DS2_en_cs'!$B$6:$B$271,'[11]API_EG.USE.ELEC.KH.PC_DS2_en_cs'!$BG$6:$BG$271)</f>
        <v>6083.2699356802004</v>
      </c>
      <c r="T43">
        <f>_xlfn.XLOOKUP(D43,'[12]API_EN.POP.DNST_DS2_en_csv_v2_4'!$B$6:$B$271,'[12]API_EN.POP.DNST_DS2_en_csv_v2_4'!$BM$6:$BM$271)</f>
        <v>7124.7619047619</v>
      </c>
    </row>
    <row r="44" spans="1:20" x14ac:dyDescent="0.2">
      <c r="A44" s="161" t="s">
        <v>152</v>
      </c>
      <c r="B44" s="161">
        <v>446</v>
      </c>
      <c r="C44" s="161" t="s">
        <v>696</v>
      </c>
      <c r="D44" t="str">
        <f>_xlfn.XLOOKUP(B44,'Country Code M49'!$B$2:$B$250,'Country Code M49'!$C$2:$C$250,,0)</f>
        <v>MAC</v>
      </c>
      <c r="E44" s="162">
        <v>71.405416561062623</v>
      </c>
      <c r="F44" s="162">
        <v>45728.028765704505</v>
      </c>
      <c r="G44" s="160" t="s">
        <v>872</v>
      </c>
      <c r="H44" s="188">
        <f>_xlfn.XLOOKUP(D44,'[1]World Population'!$C$2:$C$267,'[1]World Population'!$BN$2:$BN$267)</f>
        <v>649342</v>
      </c>
      <c r="I44" s="188">
        <v>33.735076904296903</v>
      </c>
      <c r="J44" s="194">
        <f>_xlfn.XLOOKUP(D44,'[2]GDP 2015 Constant'!$B$6:$B$271,'[2]GDP 2015 Constant'!$BM$6:$BM$271)</f>
        <v>23488188942</v>
      </c>
      <c r="K44" s="193">
        <f t="shared" si="0"/>
        <v>36172.292785619902</v>
      </c>
      <c r="L44" s="194">
        <f>_xlfn.XLOOKUP(D44,'[5]Tourism Receipts'!$B$6:$B$271,'[5]Tourism Receipts'!$BK$6:$BK$271)</f>
        <v>41478000000</v>
      </c>
      <c r="M44" s="195">
        <f t="shared" si="1"/>
        <v>1.7659088192121883</v>
      </c>
      <c r="N44">
        <f>_xlfn.XLOOKUP(D44,'[6]API_NV.AGR.TOTL.ZS_DS2_en_csv_v'!$B$6:$B$271,'[6]API_NV.AGR.TOTL.ZS_DS2_en_csv_v'!$BL$6:$BL$271)</f>
        <v>0</v>
      </c>
      <c r="O44" s="188">
        <f>_xlfn.XLOOKUP(D44,'[7]API_SP.RUR.TOTL_DS2_en_csv_v2_4'!$B$6:$B$271,'[7]API_SP.RUR.TOTL_DS2_en_csv_v2_4'!$BM$6:$BM$271)</f>
        <v>0</v>
      </c>
      <c r="P44" s="188">
        <f>_xlfn.XLOOKUP(D44,'[8]API_AG.PRD.FOOD.XD_DS2_en_csv_v'!$B$6:$B$271,'[8]API_AG.PRD.FOOD.XD_DS2_en_csv_v'!$BM$6:$BM$271)</f>
        <v>89.39</v>
      </c>
      <c r="Q44">
        <f>_xlfn.XLOOKUP(D44,'[9]API_NE.IMP.GNFS.ZS_DS2_en_csv_v'!$B$6:$B$271,'[9]API_NE.IMP.GNFS.ZS_DS2_en_csv_v'!$BK$6:$BK$271)</f>
        <v>33.100745491089697</v>
      </c>
      <c r="R44">
        <f>_xlfn.XLOOKUP(D44,'[10]API_NE.EXP.GNFS.ZS_DS2_en_csv_v'!$B$6:$B$271,'[10]API_NE.EXP.GNFS.ZS_DS2_en_csv_v'!$BL$6:$BL$271)</f>
        <v>82.522613516486004</v>
      </c>
      <c r="S44">
        <f>_xlfn.XLOOKUP(D44,'[11]API_EG.USE.ELEC.KH.PC_DS2_en_cs'!$B$6:$B$271,'[11]API_EG.USE.ELEC.KH.PC_DS2_en_cs'!$BG$6:$BG$271)</f>
        <v>0</v>
      </c>
      <c r="T44">
        <f>_xlfn.XLOOKUP(D44,'[12]API_EN.POP.DNST_DS2_en_csv_v2_4'!$B$6:$B$271,'[12]API_EN.POP.DNST_DS2_en_csv_v2_4'!$BM$6:$BM$271)</f>
        <v>19736.838905775101</v>
      </c>
    </row>
    <row r="45" spans="1:20" x14ac:dyDescent="0.2">
      <c r="A45" s="161" t="s">
        <v>150</v>
      </c>
      <c r="B45" s="161">
        <v>170</v>
      </c>
      <c r="C45" s="161" t="s">
        <v>100</v>
      </c>
      <c r="D45" t="str">
        <f>_xlfn.XLOOKUP(B45,'Country Code M49'!$B$2:$B$250,'Country Code M49'!$C$2:$C$250,,0)</f>
        <v>COL</v>
      </c>
      <c r="E45" s="162">
        <v>70.431888000000001</v>
      </c>
      <c r="F45" s="162">
        <v>3545498.9827871998</v>
      </c>
      <c r="G45" s="160" t="s">
        <v>873</v>
      </c>
      <c r="H45" s="188">
        <f>_xlfn.XLOOKUP(D45,'[1]World Population'!$C$2:$C$267,'[1]World Population'!$BN$2:$BN$267)</f>
        <v>50882884</v>
      </c>
      <c r="I45" s="188">
        <v>64.721366882324205</v>
      </c>
      <c r="J45" s="194">
        <f>_xlfn.XLOOKUP(D45,'[2]GDP 2015 Constant'!$B$6:$B$271,'[2]GDP 2015 Constant'!$BM$6:$BM$271)</f>
        <v>298742000000</v>
      </c>
      <c r="K45" s="193">
        <f t="shared" si="0"/>
        <v>5871.1687804488438</v>
      </c>
      <c r="L45" s="194">
        <f>_xlfn.XLOOKUP(D45,'[5]Tourism Receipts'!$B$6:$B$271,'[5]Tourism Receipts'!$BK$6:$BK$271)</f>
        <v>6655000000</v>
      </c>
      <c r="M45" s="195">
        <f t="shared" si="1"/>
        <v>2.2276747159756579E-2</v>
      </c>
      <c r="N45">
        <f>_xlfn.XLOOKUP(D45,'[6]API_NV.AGR.TOTL.ZS_DS2_en_csv_v'!$B$6:$B$271,'[6]API_NV.AGR.TOTL.ZS_DS2_en_csv_v'!$BL$6:$BL$271)</f>
        <v>6.41072082168313</v>
      </c>
      <c r="O45" s="188">
        <f>_xlfn.XLOOKUP(D45,'[7]API_SP.RUR.TOTL_DS2_en_csv_v2_4'!$B$6:$B$271,'[7]API_SP.RUR.TOTL_DS2_en_csv_v2_4'!$BM$6:$BM$271)</f>
        <v>9451496</v>
      </c>
      <c r="P45" s="188">
        <f>_xlfn.XLOOKUP(D45,'[8]API_AG.PRD.FOOD.XD_DS2_en_csv_v'!$B$6:$B$271,'[8]API_AG.PRD.FOOD.XD_DS2_en_csv_v'!$BM$6:$BM$271)</f>
        <v>103.02</v>
      </c>
      <c r="Q45">
        <f>_xlfn.XLOOKUP(D45,'[9]API_NE.IMP.GNFS.ZS_DS2_en_csv_v'!$B$6:$B$271,'[9]API_NE.IMP.GNFS.ZS_DS2_en_csv_v'!$BK$6:$BK$271)</f>
        <v>20.635033119354201</v>
      </c>
      <c r="R45">
        <f>_xlfn.XLOOKUP(D45,'[10]API_NE.EXP.GNFS.ZS_DS2_en_csv_v'!$B$6:$B$271,'[10]API_NE.EXP.GNFS.ZS_DS2_en_csv_v'!$BL$6:$BL$271)</f>
        <v>15.868038654124099</v>
      </c>
      <c r="S45">
        <f>_xlfn.XLOOKUP(D45,'[11]API_EG.USE.ELEC.KH.PC_DS2_en_cs'!$B$6:$B$271,'[11]API_EG.USE.ELEC.KH.PC_DS2_en_cs'!$BG$6:$BG$271)</f>
        <v>1312.1994929878001</v>
      </c>
      <c r="T45">
        <f>_xlfn.XLOOKUP(D45,'[12]API_EN.POP.DNST_DS2_en_csv_v2_4'!$B$6:$B$271,'[12]API_EN.POP.DNST_DS2_en_csv_v2_4'!$BM$6:$BM$271)</f>
        <v>45.861094186570497</v>
      </c>
    </row>
    <row r="46" spans="1:20" x14ac:dyDescent="0.2">
      <c r="A46" s="161" t="s">
        <v>154</v>
      </c>
      <c r="B46" s="161">
        <v>174</v>
      </c>
      <c r="C46" s="161" t="s">
        <v>821</v>
      </c>
      <c r="D46" t="str">
        <f>_xlfn.XLOOKUP(B46,'Country Code M49'!$B$2:$B$250,'Country Code M49'!$C$2:$C$250,,0)</f>
        <v>COM</v>
      </c>
      <c r="E46" s="162">
        <v>99.59129668943163</v>
      </c>
      <c r="F46" s="162">
        <v>84742.234353037376</v>
      </c>
      <c r="G46" s="160" t="s">
        <v>877</v>
      </c>
      <c r="H46" s="188">
        <f>_xlfn.XLOOKUP(D46,'[1]World Population'!$C$2:$C$267,'[1]World Population'!$BN$2:$BN$267)</f>
        <v>869595</v>
      </c>
      <c r="I46" s="188">
        <v>69.679122924804702</v>
      </c>
      <c r="J46" s="194">
        <f>_xlfn.XLOOKUP(D46,'[2]GDP 2015 Constant'!$B$6:$B$271,'[2]GDP 2015 Constant'!$BM$6:$BM$271)</f>
        <v>1089641267</v>
      </c>
      <c r="K46" s="193">
        <f t="shared" si="0"/>
        <v>1253.0445402744956</v>
      </c>
      <c r="L46" s="194">
        <f>_xlfn.XLOOKUP(D46,'[5]Tourism Receipts'!$B$6:$B$271,'[5]Tourism Receipts'!$BK$6:$BK$271)</f>
        <v>73699996.950000003</v>
      </c>
      <c r="M46" s="195">
        <f t="shared" si="1"/>
        <v>6.7636936285380242E-2</v>
      </c>
      <c r="N46">
        <f>_xlfn.XLOOKUP(D46,'[6]API_NV.AGR.TOTL.ZS_DS2_en_csv_v'!$B$6:$B$271,'[6]API_NV.AGR.TOTL.ZS_DS2_en_csv_v'!$BL$6:$BL$271)</f>
        <v>35.620097987878097</v>
      </c>
      <c r="O46" s="188">
        <f>_xlfn.XLOOKUP(D46,'[7]API_SP.RUR.TOTL_DS2_en_csv_v2_4'!$B$6:$B$271,'[7]API_SP.RUR.TOTL_DS2_en_csv_v2_4'!$BM$6:$BM$271)</f>
        <v>614108</v>
      </c>
      <c r="P46" s="188">
        <f>_xlfn.XLOOKUP(D46,'[8]API_AG.PRD.FOOD.XD_DS2_en_csv_v'!$B$6:$B$271,'[8]API_AG.PRD.FOOD.XD_DS2_en_csv_v'!$BM$6:$BM$271)</f>
        <v>104.59</v>
      </c>
      <c r="Q46">
        <f>_xlfn.XLOOKUP(D46,'[9]API_NE.IMP.GNFS.ZS_DS2_en_csv_v'!$B$6:$B$271,'[9]API_NE.IMP.GNFS.ZS_DS2_en_csv_v'!$BK$6:$BK$271)</f>
        <v>30.087130352256999</v>
      </c>
      <c r="R46">
        <f>_xlfn.XLOOKUP(D46,'[10]API_NE.EXP.GNFS.ZS_DS2_en_csv_v'!$B$6:$B$271,'[10]API_NE.EXP.GNFS.ZS_DS2_en_csv_v'!$BL$6:$BL$271)</f>
        <v>12.7734606325226</v>
      </c>
      <c r="S46">
        <f>_xlfn.XLOOKUP(D46,'[11]API_EG.USE.ELEC.KH.PC_DS2_en_cs'!$B$6:$B$271,'[11]API_EG.USE.ELEC.KH.PC_DS2_en_cs'!$BG$6:$BG$271)</f>
        <v>0</v>
      </c>
      <c r="T46">
        <f>_xlfn.XLOOKUP(D46,'[12]API_EN.POP.DNST_DS2_en_csv_v2_4'!$B$6:$B$271,'[12]API_EN.POP.DNST_DS2_en_csv_v2_4'!$BM$6:$BM$271)</f>
        <v>467.27297152068797</v>
      </c>
    </row>
    <row r="47" spans="1:20" x14ac:dyDescent="0.2">
      <c r="A47" s="161" t="s">
        <v>154</v>
      </c>
      <c r="B47" s="161">
        <v>178</v>
      </c>
      <c r="C47" s="161" t="s">
        <v>822</v>
      </c>
      <c r="D47" t="str">
        <f>_xlfn.XLOOKUP(B47,'Country Code M49'!$B$2:$B$250,'Country Code M49'!$C$2:$C$250,,0)</f>
        <v>COG</v>
      </c>
      <c r="E47" s="162">
        <v>99.59129668943163</v>
      </c>
      <c r="F47" s="162">
        <v>535850.97183748684</v>
      </c>
      <c r="G47" s="160" t="s">
        <v>877</v>
      </c>
      <c r="H47" s="188">
        <f>_xlfn.XLOOKUP(D47,'[1]World Population'!$C$2:$C$267,'[1]World Population'!$BN$2:$BN$267)</f>
        <v>5518092</v>
      </c>
      <c r="I47" s="188">
        <v>52.313545227050803</v>
      </c>
      <c r="J47" s="194">
        <f>_xlfn.XLOOKUP(D47,'[2]GDP 2015 Constant'!$B$6:$B$271,'[2]GDP 2015 Constant'!$BM$6:$BM$271)</f>
        <v>9045462978</v>
      </c>
      <c r="K47" s="193">
        <f t="shared" si="0"/>
        <v>1639.2374353309078</v>
      </c>
      <c r="L47" s="194">
        <f>_xlfn.XLOOKUP(D47,'[5]Tourism Receipts'!$B$6:$B$271,'[5]Tourism Receipts'!$BK$6:$BK$271)</f>
        <v>0</v>
      </c>
      <c r="M47" s="195">
        <f t="shared" si="1"/>
        <v>0</v>
      </c>
      <c r="N47">
        <f>_xlfn.XLOOKUP(D47,'[6]API_NV.AGR.TOTL.ZS_DS2_en_csv_v'!$B$6:$B$271,'[6]API_NV.AGR.TOTL.ZS_DS2_en_csv_v'!$BL$6:$BL$271)</f>
        <v>7.6253804865844597</v>
      </c>
      <c r="O47" s="188">
        <f>_xlfn.XLOOKUP(D47,'[7]API_SP.RUR.TOTL_DS2_en_csv_v2_4'!$B$6:$B$271,'[7]API_SP.RUR.TOTL_DS2_en_csv_v2_4'!$BM$6:$BM$271)</f>
        <v>1775225</v>
      </c>
      <c r="P47" s="188">
        <f>_xlfn.XLOOKUP(D47,'[8]API_AG.PRD.FOOD.XD_DS2_en_csv_v'!$B$6:$B$271,'[8]API_AG.PRD.FOOD.XD_DS2_en_csv_v'!$BM$6:$BM$271)</f>
        <v>101.48</v>
      </c>
      <c r="Q47">
        <f>_xlfn.XLOOKUP(D47,'[9]API_NE.IMP.GNFS.ZS_DS2_en_csv_v'!$B$6:$B$271,'[9]API_NE.IMP.GNFS.ZS_DS2_en_csv_v'!$BK$6:$BK$271)</f>
        <v>49.006193372719899</v>
      </c>
      <c r="R47">
        <f>_xlfn.XLOOKUP(D47,'[10]API_NE.EXP.GNFS.ZS_DS2_en_csv_v'!$B$6:$B$271,'[10]API_NE.EXP.GNFS.ZS_DS2_en_csv_v'!$BL$6:$BL$271)</f>
        <v>73.792287746466101</v>
      </c>
      <c r="S47">
        <f>_xlfn.XLOOKUP(D47,'[11]API_EG.USE.ELEC.KH.PC_DS2_en_cs'!$B$6:$B$271,'[11]API_EG.USE.ELEC.KH.PC_DS2_en_cs'!$BG$6:$BG$271)</f>
        <v>202.87251436310001</v>
      </c>
      <c r="T47">
        <f>_xlfn.XLOOKUP(D47,'[12]API_EN.POP.DNST_DS2_en_csv_v2_4'!$B$6:$B$271,'[12]API_EN.POP.DNST_DS2_en_csv_v2_4'!$BM$6:$BM$271)</f>
        <v>16.1583953147877</v>
      </c>
    </row>
    <row r="48" spans="1:20" x14ac:dyDescent="0.2">
      <c r="A48" s="161" t="s">
        <v>150</v>
      </c>
      <c r="B48" s="161">
        <v>188</v>
      </c>
      <c r="C48" s="161" t="s">
        <v>717</v>
      </c>
      <c r="D48" t="str">
        <f>_xlfn.XLOOKUP(B48,'Country Code M49'!$B$2:$B$250,'Country Code M49'!$C$2:$C$250,,0)</f>
        <v>CRI</v>
      </c>
      <c r="E48" s="162">
        <v>72.432162730095172</v>
      </c>
      <c r="F48" s="162">
        <v>365608.58459642838</v>
      </c>
      <c r="G48" s="160" t="s">
        <v>872</v>
      </c>
      <c r="H48" s="188">
        <f>_xlfn.XLOOKUP(D48,'[1]World Population'!$C$2:$C$267,'[1]World Population'!$BN$2:$BN$267)</f>
        <v>5094114</v>
      </c>
      <c r="I48" s="188">
        <v>19.251909255981399</v>
      </c>
      <c r="J48" s="194">
        <f>_xlfn.XLOOKUP(D48,'[2]GDP 2015 Constant'!$B$6:$B$271,'[2]GDP 2015 Constant'!$BM$6:$BM$271)</f>
        <v>61774415011</v>
      </c>
      <c r="K48" s="193">
        <f t="shared" si="0"/>
        <v>12126.625947318807</v>
      </c>
      <c r="L48" s="194">
        <f>_xlfn.XLOOKUP(D48,'[5]Tourism Receipts'!$B$6:$B$271,'[5]Tourism Receipts'!$BK$6:$BK$271)</f>
        <v>4073000000</v>
      </c>
      <c r="M48" s="195">
        <f t="shared" si="1"/>
        <v>6.5933445088467976E-2</v>
      </c>
      <c r="N48">
        <f>_xlfn.XLOOKUP(D48,'[6]API_NV.AGR.TOTL.ZS_DS2_en_csv_v'!$B$6:$B$271,'[6]API_NV.AGR.TOTL.ZS_DS2_en_csv_v'!$BL$6:$BL$271)</f>
        <v>4.2020511630246498</v>
      </c>
      <c r="O48" s="188">
        <f>_xlfn.XLOOKUP(D48,'[7]API_SP.RUR.TOTL_DS2_en_csv_v2_4'!$B$6:$B$271,'[7]API_SP.RUR.TOTL_DS2_en_csv_v2_4'!$BM$6:$BM$271)</f>
        <v>979547</v>
      </c>
      <c r="P48" s="188">
        <f>_xlfn.XLOOKUP(D48,'[8]API_AG.PRD.FOOD.XD_DS2_en_csv_v'!$B$6:$B$271,'[8]API_AG.PRD.FOOD.XD_DS2_en_csv_v'!$BM$6:$BM$271)</f>
        <v>98.33</v>
      </c>
      <c r="Q48">
        <f>_xlfn.XLOOKUP(D48,'[9]API_NE.IMP.GNFS.ZS_DS2_en_csv_v'!$B$6:$B$271,'[9]API_NE.IMP.GNFS.ZS_DS2_en_csv_v'!$BK$6:$BK$271)</f>
        <v>33.206831240482401</v>
      </c>
      <c r="R48">
        <f>_xlfn.XLOOKUP(D48,'[10]API_NE.EXP.GNFS.ZS_DS2_en_csv_v'!$B$6:$B$271,'[10]API_NE.EXP.GNFS.ZS_DS2_en_csv_v'!$BL$6:$BL$271)</f>
        <v>34.325321559330803</v>
      </c>
      <c r="S48">
        <f>_xlfn.XLOOKUP(D48,'[11]API_EG.USE.ELEC.KH.PC_DS2_en_cs'!$B$6:$B$271,'[11]API_EG.USE.ELEC.KH.PC_DS2_en_cs'!$BG$6:$BG$271)</f>
        <v>1942.49060034742</v>
      </c>
      <c r="T48">
        <f>_xlfn.XLOOKUP(D48,'[12]API_EN.POP.DNST_DS2_en_csv_v2_4'!$B$6:$B$271,'[12]API_EN.POP.DNST_DS2_en_csv_v2_4'!$BM$6:$BM$271)</f>
        <v>99.767215041128097</v>
      </c>
    </row>
    <row r="49" spans="1:20" x14ac:dyDescent="0.2">
      <c r="A49" s="161" t="s">
        <v>154</v>
      </c>
      <c r="B49" s="161">
        <v>384</v>
      </c>
      <c r="C49" s="161" t="s">
        <v>823</v>
      </c>
      <c r="D49" t="str">
        <f>_xlfn.XLOOKUP(B49,'Country Code M49'!$B$2:$B$250,'Country Code M49'!$C$2:$C$250,,0)</f>
        <v>CIV</v>
      </c>
      <c r="E49" s="162">
        <v>99.59129668943163</v>
      </c>
      <c r="F49" s="162">
        <v>2561139.5813137684</v>
      </c>
      <c r="G49" s="160" t="s">
        <v>877</v>
      </c>
      <c r="H49" s="188">
        <f>_xlfn.XLOOKUP(D49,'[1]World Population'!$C$2:$C$267,'[1]World Population'!$BN$2:$BN$267)</f>
        <v>26378275</v>
      </c>
      <c r="I49" s="188">
        <v>100</v>
      </c>
      <c r="J49" s="194">
        <f>_xlfn.XLOOKUP(D49,'[2]GDP 2015 Constant'!$B$6:$B$271,'[2]GDP 2015 Constant'!$BM$6:$BM$271)</f>
        <v>61033878289</v>
      </c>
      <c r="K49" s="193">
        <f t="shared" si="0"/>
        <v>2313.7933882712196</v>
      </c>
      <c r="L49" s="194">
        <f>_xlfn.XLOOKUP(D49,'[5]Tourism Receipts'!$B$6:$B$271,'[5]Tourism Receipts'!$BK$6:$BK$271)</f>
        <v>551000000</v>
      </c>
      <c r="M49" s="195">
        <f t="shared" si="1"/>
        <v>9.0277730245319418E-3</v>
      </c>
      <c r="N49">
        <f>_xlfn.XLOOKUP(D49,'[6]API_NV.AGR.TOTL.ZS_DS2_en_csv_v'!$B$6:$B$271,'[6]API_NV.AGR.TOTL.ZS_DS2_en_csv_v'!$BL$6:$BL$271)</f>
        <v>20.671221079934</v>
      </c>
      <c r="O49" s="188">
        <f>_xlfn.XLOOKUP(D49,'[7]API_SP.RUR.TOTL_DS2_en_csv_v2_4'!$B$6:$B$271,'[7]API_SP.RUR.TOTL_DS2_en_csv_v2_4'!$BM$6:$BM$271)</f>
        <v>12739124</v>
      </c>
      <c r="P49" s="188">
        <f>_xlfn.XLOOKUP(D49,'[8]API_AG.PRD.FOOD.XD_DS2_en_csv_v'!$B$6:$B$271,'[8]API_AG.PRD.FOOD.XD_DS2_en_csv_v'!$BM$6:$BM$271)</f>
        <v>118.41</v>
      </c>
      <c r="Q49">
        <f>_xlfn.XLOOKUP(D49,'[9]API_NE.IMP.GNFS.ZS_DS2_en_csv_v'!$B$6:$B$271,'[9]API_NE.IMP.GNFS.ZS_DS2_en_csv_v'!$BK$6:$BK$271)</f>
        <v>23.426803689101199</v>
      </c>
      <c r="R49">
        <f>_xlfn.XLOOKUP(D49,'[10]API_NE.EXP.GNFS.ZS_DS2_en_csv_v'!$B$6:$B$271,'[10]API_NE.EXP.GNFS.ZS_DS2_en_csv_v'!$BL$6:$BL$271)</f>
        <v>23.776277560911399</v>
      </c>
      <c r="S49">
        <f>_xlfn.XLOOKUP(D49,'[11]API_EG.USE.ELEC.KH.PC_DS2_en_cs'!$B$6:$B$271,'[11]API_EG.USE.ELEC.KH.PC_DS2_en_cs'!$BG$6:$BG$271)</f>
        <v>274.73022392765102</v>
      </c>
      <c r="T49">
        <f>_xlfn.XLOOKUP(D49,'[12]API_EN.POP.DNST_DS2_en_csv_v2_4'!$B$6:$B$271,'[12]API_EN.POP.DNST_DS2_en_csv_v2_4'!$BM$6:$BM$271)</f>
        <v>82.950550314465403</v>
      </c>
    </row>
    <row r="50" spans="1:20" x14ac:dyDescent="0.2">
      <c r="A50" s="161" t="s">
        <v>155</v>
      </c>
      <c r="B50" s="161">
        <v>191</v>
      </c>
      <c r="C50" s="161" t="s">
        <v>805</v>
      </c>
      <c r="D50" t="str">
        <f>_xlfn.XLOOKUP(B50,'Country Code M49'!$B$2:$B$250,'Country Code M49'!$C$2:$C$250,,0)</f>
        <v>HRV</v>
      </c>
      <c r="E50" s="162">
        <v>84.272380315674425</v>
      </c>
      <c r="F50" s="162">
        <v>348070.21241783007</v>
      </c>
      <c r="G50" s="160" t="s">
        <v>877</v>
      </c>
      <c r="H50" s="188">
        <f>_xlfn.XLOOKUP(D50,'[1]World Population'!$C$2:$C$267,'[1]World Population'!$BN$2:$BN$267)</f>
        <v>4047680</v>
      </c>
      <c r="I50" s="188">
        <v>18.957239151001001</v>
      </c>
      <c r="J50" s="194">
        <f>_xlfn.XLOOKUP(D50,'[2]GDP 2015 Constant'!$B$6:$B$271,'[2]GDP 2015 Constant'!$BM$6:$BM$271)</f>
        <v>52557893779</v>
      </c>
      <c r="K50" s="193">
        <f t="shared" si="0"/>
        <v>12984.69586997984</v>
      </c>
      <c r="L50" s="194">
        <f>_xlfn.XLOOKUP(D50,'[5]Tourism Receipts'!$B$6:$B$271,'[5]Tourism Receipts'!$BK$6:$BK$271)</f>
        <v>11348000000</v>
      </c>
      <c r="M50" s="195">
        <f t="shared" si="1"/>
        <v>0.21591428392692175</v>
      </c>
      <c r="N50">
        <f>_xlfn.XLOOKUP(D50,'[6]API_NV.AGR.TOTL.ZS_DS2_en_csv_v'!$B$6:$B$271,'[6]API_NV.AGR.TOTL.ZS_DS2_en_csv_v'!$BL$6:$BL$271)</f>
        <v>2.86876409373393</v>
      </c>
      <c r="O50" s="188">
        <f>_xlfn.XLOOKUP(D50,'[7]API_SP.RUR.TOTL_DS2_en_csv_v2_4'!$B$6:$B$271,'[7]API_SP.RUR.TOTL_DS2_en_csv_v2_4'!$BM$6:$BM$271)</f>
        <v>1718119</v>
      </c>
      <c r="P50" s="188">
        <f>_xlfn.XLOOKUP(D50,'[8]API_AG.PRD.FOOD.XD_DS2_en_csv_v'!$B$6:$B$271,'[8]API_AG.PRD.FOOD.XD_DS2_en_csv_v'!$BM$6:$BM$271)</f>
        <v>86.34</v>
      </c>
      <c r="Q50">
        <f>_xlfn.XLOOKUP(D50,'[9]API_NE.IMP.GNFS.ZS_DS2_en_csv_v'!$B$6:$B$271,'[9]API_NE.IMP.GNFS.ZS_DS2_en_csv_v'!$BK$6:$BK$271)</f>
        <v>50.342006249526399</v>
      </c>
      <c r="R50">
        <f>_xlfn.XLOOKUP(D50,'[10]API_NE.EXP.GNFS.ZS_DS2_en_csv_v'!$B$6:$B$271,'[10]API_NE.EXP.GNFS.ZS_DS2_en_csv_v'!$BL$6:$BL$271)</f>
        <v>50.747473751656102</v>
      </c>
      <c r="S50">
        <f>_xlfn.XLOOKUP(D50,'[11]API_EG.USE.ELEC.KH.PC_DS2_en_cs'!$B$6:$B$271,'[11]API_EG.USE.ELEC.KH.PC_DS2_en_cs'!$BG$6:$BG$271)</f>
        <v>3714.3829884420702</v>
      </c>
      <c r="T50">
        <f>_xlfn.XLOOKUP(D50,'[12]API_EN.POP.DNST_DS2_en_csv_v2_4'!$B$6:$B$271,'[12]API_EN.POP.DNST_DS2_en_csv_v2_4'!$BM$6:$BM$271)</f>
        <v>72.331665475339506</v>
      </c>
    </row>
    <row r="51" spans="1:20" x14ac:dyDescent="0.2">
      <c r="A51" s="161" t="s">
        <v>150</v>
      </c>
      <c r="B51" s="161">
        <v>192</v>
      </c>
      <c r="C51" s="161" t="s">
        <v>718</v>
      </c>
      <c r="D51" t="str">
        <f>_xlfn.XLOOKUP(B51,'Country Code M49'!$B$2:$B$250,'Country Code M49'!$C$2:$C$250,,0)</f>
        <v>CUB</v>
      </c>
      <c r="E51" s="162">
        <v>72.432162730095172</v>
      </c>
      <c r="F51" s="162">
        <v>820909.91630153358</v>
      </c>
      <c r="G51" s="160" t="s">
        <v>872</v>
      </c>
      <c r="H51" s="188">
        <f>_xlfn.XLOOKUP(D51,'[1]World Population'!$C$2:$C$267,'[1]World Population'!$BN$2:$BN$267)</f>
        <v>11326616</v>
      </c>
      <c r="I51" s="188">
        <v>50.561416625976598</v>
      </c>
      <c r="J51" s="194">
        <f>_xlfn.XLOOKUP(D51,'[2]GDP 2015 Constant'!$B$6:$B$271,'[2]GDP 2015 Constant'!$BM$6:$BM$271)</f>
        <v>81054474018</v>
      </c>
      <c r="K51" s="193">
        <f t="shared" si="0"/>
        <v>7156.1068211370457</v>
      </c>
      <c r="L51" s="194">
        <f>_xlfn.XLOOKUP(D51,'[5]Tourism Receipts'!$B$6:$B$271,'[5]Tourism Receipts'!$BK$6:$BK$271)</f>
        <v>2783000000</v>
      </c>
      <c r="M51" s="195">
        <f t="shared" si="1"/>
        <v>3.4334933804912128E-2</v>
      </c>
      <c r="N51">
        <f>_xlfn.XLOOKUP(D51,'[6]API_NV.AGR.TOTL.ZS_DS2_en_csv_v'!$B$6:$B$271,'[6]API_NV.AGR.TOTL.ZS_DS2_en_csv_v'!$BL$6:$BL$271)</f>
        <v>3.5676992690567402</v>
      </c>
      <c r="O51" s="188">
        <f>_xlfn.XLOOKUP(D51,'[7]API_SP.RUR.TOTL_DS2_en_csv_v2_4'!$B$6:$B$271,'[7]API_SP.RUR.TOTL_DS2_en_csv_v2_4'!$BM$6:$BM$271)</f>
        <v>2583148</v>
      </c>
      <c r="P51" s="188">
        <f>_xlfn.XLOOKUP(D51,'[8]API_AG.PRD.FOOD.XD_DS2_en_csv_v'!$B$6:$B$271,'[8]API_AG.PRD.FOOD.XD_DS2_en_csv_v'!$BM$6:$BM$271)</f>
        <v>73.7</v>
      </c>
      <c r="Q51">
        <f>_xlfn.XLOOKUP(D51,'[9]API_NE.IMP.GNFS.ZS_DS2_en_csv_v'!$B$6:$B$271,'[9]API_NE.IMP.GNFS.ZS_DS2_en_csv_v'!$BK$6:$BK$271)</f>
        <v>12.560719640179901</v>
      </c>
      <c r="R51">
        <f>_xlfn.XLOOKUP(D51,'[10]API_NE.EXP.GNFS.ZS_DS2_en_csv_v'!$B$6:$B$271,'[10]API_NE.EXP.GNFS.ZS_DS2_en_csv_v'!$BL$6:$BL$271)</f>
        <v>12.2133271454538</v>
      </c>
      <c r="S51">
        <f>_xlfn.XLOOKUP(D51,'[11]API_EG.USE.ELEC.KH.PC_DS2_en_cs'!$B$6:$B$271,'[11]API_EG.USE.ELEC.KH.PC_DS2_en_cs'!$BG$6:$BG$271)</f>
        <v>1450.8828186377</v>
      </c>
      <c r="T51">
        <f>_xlfn.XLOOKUP(D51,'[12]API_EN.POP.DNST_DS2_en_csv_v2_4'!$B$6:$B$271,'[12]API_EN.POP.DNST_DS2_en_csv_v2_4'!$BM$6:$BM$271)</f>
        <v>109.11961464354501</v>
      </c>
    </row>
    <row r="52" spans="1:20" x14ac:dyDescent="0.2">
      <c r="A52" s="161" t="s">
        <v>150</v>
      </c>
      <c r="B52" s="161">
        <v>531</v>
      </c>
      <c r="C52" s="161" t="s">
        <v>719</v>
      </c>
      <c r="D52" t="str">
        <f>_xlfn.XLOOKUP(B52,'Country Code M49'!$B$2:$B$250,'Country Code M49'!$C$2:$C$250,,0)</f>
        <v>CUW</v>
      </c>
      <c r="E52" s="162">
        <v>73.920769675063781</v>
      </c>
      <c r="F52" s="162">
        <v>12078.653764905421</v>
      </c>
      <c r="G52" s="160" t="s">
        <v>872</v>
      </c>
      <c r="H52" s="188">
        <f>_xlfn.XLOOKUP(D52,'[1]World Population'!$C$2:$C$267,'[1]World Population'!$BN$2:$BN$267)</f>
        <v>154947</v>
      </c>
      <c r="I52" s="188">
        <v>14.866768836975099</v>
      </c>
      <c r="J52" s="194">
        <f>_xlfn.XLOOKUP(D52,'[2]GDP 2015 Constant'!$B$6:$B$271,'[2]GDP 2015 Constant'!$BM$6:$BM$271)</f>
        <v>2285297118</v>
      </c>
      <c r="K52" s="193">
        <f t="shared" si="0"/>
        <v>14748.895544928266</v>
      </c>
      <c r="L52" s="194">
        <f>_xlfn.XLOOKUP(D52,'[5]Tourism Receipts'!$B$6:$B$271,'[5]Tourism Receipts'!$BK$6:$BK$271)</f>
        <v>604000000</v>
      </c>
      <c r="M52" s="195">
        <f t="shared" si="1"/>
        <v>0.26429823730255103</v>
      </c>
      <c r="N52">
        <f>_xlfn.XLOOKUP(D52,'[6]API_NV.AGR.TOTL.ZS_DS2_en_csv_v'!$B$6:$B$271,'[6]API_NV.AGR.TOTL.ZS_DS2_en_csv_v'!$BL$6:$BL$271)</f>
        <v>0.16876592666023599</v>
      </c>
      <c r="O52" s="188">
        <f>_xlfn.XLOOKUP(D52,'[7]API_SP.RUR.TOTL_DS2_en_csv_v2_4'!$B$6:$B$271,'[7]API_SP.RUR.TOTL_DS2_en_csv_v2_4'!$BM$6:$BM$271)</f>
        <v>16948</v>
      </c>
      <c r="P52" s="188">
        <f>_xlfn.XLOOKUP(D52,'[8]API_AG.PRD.FOOD.XD_DS2_en_csv_v'!$B$6:$B$271,'[8]API_AG.PRD.FOOD.XD_DS2_en_csv_v'!$BM$6:$BM$271)</f>
        <v>0</v>
      </c>
      <c r="Q52">
        <f>_xlfn.XLOOKUP(D52,'[9]API_NE.IMP.GNFS.ZS_DS2_en_csv_v'!$B$6:$B$271,'[9]API_NE.IMP.GNFS.ZS_DS2_en_csv_v'!$BK$6:$BK$271)</f>
        <v>0</v>
      </c>
      <c r="R52">
        <f>_xlfn.XLOOKUP(D52,'[10]API_NE.EXP.GNFS.ZS_DS2_en_csv_v'!$B$6:$B$271,'[10]API_NE.EXP.GNFS.ZS_DS2_en_csv_v'!$BL$6:$BL$271)</f>
        <v>0</v>
      </c>
      <c r="S52">
        <f>_xlfn.XLOOKUP(D52,'[11]API_EG.USE.ELEC.KH.PC_DS2_en_cs'!$B$6:$B$271,'[11]API_EG.USE.ELEC.KH.PC_DS2_en_cs'!$BG$6:$BG$271)</f>
        <v>4797.6704359594396</v>
      </c>
      <c r="T52">
        <f>_xlfn.XLOOKUP(D52,'[12]API_EN.POP.DNST_DS2_en_csv_v2_4'!$B$6:$B$271,'[12]API_EN.POP.DNST_DS2_en_csv_v2_4'!$BM$6:$BM$271)</f>
        <v>348.97972972973002</v>
      </c>
    </row>
    <row r="53" spans="1:20" x14ac:dyDescent="0.2">
      <c r="A53" s="161" t="s">
        <v>148</v>
      </c>
      <c r="B53" s="161">
        <v>196</v>
      </c>
      <c r="C53" s="161" t="s">
        <v>858</v>
      </c>
      <c r="D53" t="str">
        <f>_xlfn.XLOOKUP(B53,'Country Code M49'!$B$2:$B$250,'Country Code M49'!$C$2:$C$250,,0)</f>
        <v>CYP</v>
      </c>
      <c r="E53" s="162">
        <v>94.532022754949935</v>
      </c>
      <c r="F53" s="162">
        <v>113306.08247408298</v>
      </c>
      <c r="G53" s="160" t="s">
        <v>877</v>
      </c>
      <c r="H53" s="188">
        <f>_xlfn.XLOOKUP(D53,'[1]World Population'!$C$2:$C$267,'[1]World Population'!$BN$2:$BN$267)</f>
        <v>1207361</v>
      </c>
      <c r="I53" s="188">
        <v>100</v>
      </c>
      <c r="J53" s="194">
        <f>_xlfn.XLOOKUP(D53,'[2]GDP 2015 Constant'!$B$6:$B$271,'[2]GDP 2015 Constant'!$BM$6:$BM$271)</f>
        <v>23640672757</v>
      </c>
      <c r="K53" s="193">
        <f t="shared" si="0"/>
        <v>19580.450881716406</v>
      </c>
      <c r="L53" s="194">
        <f>_xlfn.XLOOKUP(D53,'[5]Tourism Receipts'!$B$6:$B$271,'[5]Tourism Receipts'!$BK$6:$BK$271)</f>
        <v>3449000000</v>
      </c>
      <c r="M53" s="195">
        <f t="shared" si="1"/>
        <v>0.14589263323645268</v>
      </c>
      <c r="N53">
        <f>_xlfn.XLOOKUP(D53,'[6]API_NV.AGR.TOTL.ZS_DS2_en_csv_v'!$B$6:$B$271,'[6]API_NV.AGR.TOTL.ZS_DS2_en_csv_v'!$BL$6:$BL$271)</f>
        <v>1.80860524588047</v>
      </c>
      <c r="O53" s="188">
        <f>_xlfn.XLOOKUP(D53,'[7]API_SP.RUR.TOTL_DS2_en_csv_v2_4'!$B$6:$B$271,'[7]API_SP.RUR.TOTL_DS2_en_csv_v2_4'!$BM$6:$BM$271)</f>
        <v>400590</v>
      </c>
      <c r="P53" s="188">
        <f>_xlfn.XLOOKUP(D53,'[8]API_AG.PRD.FOOD.XD_DS2_en_csv_v'!$B$6:$B$271,'[8]API_AG.PRD.FOOD.XD_DS2_en_csv_v'!$BM$6:$BM$271)</f>
        <v>106.23</v>
      </c>
      <c r="Q53">
        <f>_xlfn.XLOOKUP(D53,'[9]API_NE.IMP.GNFS.ZS_DS2_en_csv_v'!$B$6:$B$271,'[9]API_NE.IMP.GNFS.ZS_DS2_en_csv_v'!$BK$6:$BK$271)</f>
        <v>73.773375139814306</v>
      </c>
      <c r="R53">
        <f>_xlfn.XLOOKUP(D53,'[10]API_NE.EXP.GNFS.ZS_DS2_en_csv_v'!$B$6:$B$271,'[10]API_NE.EXP.GNFS.ZS_DS2_en_csv_v'!$BL$6:$BL$271)</f>
        <v>75.593848763019395</v>
      </c>
      <c r="S53">
        <f>_xlfn.XLOOKUP(D53,'[11]API_EG.USE.ELEC.KH.PC_DS2_en_cs'!$B$6:$B$271,'[11]API_EG.USE.ELEC.KH.PC_DS2_en_cs'!$BG$6:$BG$271)</f>
        <v>3624.9335023869698</v>
      </c>
      <c r="T53">
        <f>_xlfn.XLOOKUP(D53,'[12]API_EN.POP.DNST_DS2_en_csv_v2_4'!$B$6:$B$271,'[12]API_EN.POP.DNST_DS2_en_csv_v2_4'!$BM$6:$BM$271)</f>
        <v>130.66677489177499</v>
      </c>
    </row>
    <row r="54" spans="1:20" x14ac:dyDescent="0.2">
      <c r="A54" s="161" t="s">
        <v>156</v>
      </c>
      <c r="B54" s="161">
        <v>203</v>
      </c>
      <c r="C54" s="161" t="s">
        <v>702</v>
      </c>
      <c r="D54" t="str">
        <f>_xlfn.XLOOKUP(B54,'Country Code M49'!$B$2:$B$250,'Country Code M49'!$C$2:$C$250,,0)</f>
        <v>CZE</v>
      </c>
      <c r="E54" s="162">
        <v>69.868672442313738</v>
      </c>
      <c r="F54" s="162">
        <v>746840.21347037994</v>
      </c>
      <c r="G54" s="160" t="s">
        <v>872</v>
      </c>
      <c r="H54" s="188">
        <f>_xlfn.XLOOKUP(D54,'[1]World Population'!$C$2:$C$267,'[1]World Population'!$BN$2:$BN$267)</f>
        <v>10697858</v>
      </c>
      <c r="I54" s="188">
        <v>44.5244750976563</v>
      </c>
      <c r="J54" s="194">
        <f>_xlfn.XLOOKUP(D54,'[2]GDP 2015 Constant'!$B$6:$B$271,'[2]GDP 2015 Constant'!$BM$6:$BM$271)</f>
        <v>203095000000</v>
      </c>
      <c r="K54" s="193">
        <f t="shared" si="0"/>
        <v>18984.641598346137</v>
      </c>
      <c r="L54" s="194">
        <f>_xlfn.XLOOKUP(D54,'[5]Tourism Receipts'!$B$6:$B$271,'[5]Tourism Receipts'!$BK$6:$BK$271)</f>
        <v>8283000000</v>
      </c>
      <c r="M54" s="195">
        <f t="shared" si="1"/>
        <v>4.0783869617666613E-2</v>
      </c>
      <c r="N54">
        <f>_xlfn.XLOOKUP(D54,'[6]API_NV.AGR.TOTL.ZS_DS2_en_csv_v'!$B$6:$B$271,'[6]API_NV.AGR.TOTL.ZS_DS2_en_csv_v'!$BL$6:$BL$271)</f>
        <v>1.8612180131487801</v>
      </c>
      <c r="O54" s="188">
        <f>_xlfn.XLOOKUP(D54,'[7]API_SP.RUR.TOTL_DS2_en_csv_v2_4'!$B$6:$B$271,'[7]API_SP.RUR.TOTL_DS2_en_csv_v2_4'!$BM$6:$BM$271)</f>
        <v>2774917</v>
      </c>
      <c r="P54" s="188">
        <f>_xlfn.XLOOKUP(D54,'[8]API_AG.PRD.FOOD.XD_DS2_en_csv_v'!$B$6:$B$271,'[8]API_AG.PRD.FOOD.XD_DS2_en_csv_v'!$BM$6:$BM$271)</f>
        <v>97.33</v>
      </c>
      <c r="Q54">
        <f>_xlfn.XLOOKUP(D54,'[9]API_NE.IMP.GNFS.ZS_DS2_en_csv_v'!$B$6:$B$271,'[9]API_NE.IMP.GNFS.ZS_DS2_en_csv_v'!$BK$6:$BK$271)</f>
        <v>71.019332990120503</v>
      </c>
      <c r="R54">
        <f>_xlfn.XLOOKUP(D54,'[10]API_NE.EXP.GNFS.ZS_DS2_en_csv_v'!$B$6:$B$271,'[10]API_NE.EXP.GNFS.ZS_DS2_en_csv_v'!$BL$6:$BL$271)</f>
        <v>73.894453321285695</v>
      </c>
      <c r="S54">
        <f>_xlfn.XLOOKUP(D54,'[11]API_EG.USE.ELEC.KH.PC_DS2_en_cs'!$B$6:$B$271,'[11]API_EG.USE.ELEC.KH.PC_DS2_en_cs'!$BG$6:$BG$271)</f>
        <v>6258.8910370365902</v>
      </c>
      <c r="T54">
        <f>_xlfn.XLOOKUP(D54,'[12]API_EN.POP.DNST_DS2_en_csv_v2_4'!$B$6:$B$271,'[12]API_EN.POP.DNST_DS2_en_csv_v2_4'!$BM$6:$BM$271)</f>
        <v>138.575928842168</v>
      </c>
    </row>
    <row r="55" spans="1:20" x14ac:dyDescent="0.2">
      <c r="A55" s="161" t="s">
        <v>152</v>
      </c>
      <c r="B55" s="161">
        <v>408</v>
      </c>
      <c r="C55" s="161" t="s">
        <v>697</v>
      </c>
      <c r="D55" t="str">
        <f>_xlfn.XLOOKUP(B55,'Country Code M49'!$B$2:$B$250,'Country Code M49'!$C$2:$C$250,,0)</f>
        <v>PRK</v>
      </c>
      <c r="E55" s="162">
        <v>80.671375409647695</v>
      </c>
      <c r="F55" s="162">
        <v>2070527.6555390996</v>
      </c>
      <c r="G55" s="160" t="s">
        <v>872</v>
      </c>
      <c r="H55" s="188">
        <f>_xlfn.XLOOKUP(D55,'[1]World Population'!$C$2:$C$267,'[1]World Population'!$BN$2:$BN$267)</f>
        <v>25778815</v>
      </c>
      <c r="I55" s="188">
        <v>97.055267333984403</v>
      </c>
      <c r="J55" s="194" t="e">
        <f>_xlfn.XLOOKUP(D55,'[2]GDP 2015 Constant'!$B$6:$B$271,'[2]GDP 2015 Constant'!$BM$6:$BM$271)</f>
        <v>#REF!</v>
      </c>
      <c r="K55" s="193" t="e">
        <f t="shared" si="0"/>
        <v>#REF!</v>
      </c>
      <c r="L55" s="194">
        <f>_xlfn.XLOOKUP(D55,'[5]Tourism Receipts'!$B$6:$B$271,'[5]Tourism Receipts'!$BK$6:$BK$271)</f>
        <v>0</v>
      </c>
      <c r="M55" s="195" t="e">
        <f t="shared" si="1"/>
        <v>#REF!</v>
      </c>
      <c r="N55">
        <f>_xlfn.XLOOKUP(D55,'[6]API_NV.AGR.TOTL.ZS_DS2_en_csv_v'!$B$6:$B$271,'[6]API_NV.AGR.TOTL.ZS_DS2_en_csv_v'!$BL$6:$BL$271)</f>
        <v>0</v>
      </c>
      <c r="O55" s="188">
        <f>_xlfn.XLOOKUP(D55,'[7]API_SP.RUR.TOTL_DS2_en_csv_v2_4'!$B$6:$B$271,'[7]API_SP.RUR.TOTL_DS2_en_csv_v2_4'!$BM$6:$BM$271)</f>
        <v>9697732</v>
      </c>
      <c r="P55" s="188">
        <f>_xlfn.XLOOKUP(D55,'[8]API_AG.PRD.FOOD.XD_DS2_en_csv_v'!$B$6:$B$271,'[8]API_AG.PRD.FOOD.XD_DS2_en_csv_v'!$BM$6:$BM$271)</f>
        <v>94.46</v>
      </c>
      <c r="Q55">
        <f>_xlfn.XLOOKUP(D55,'[9]API_NE.IMP.GNFS.ZS_DS2_en_csv_v'!$B$6:$B$271,'[9]API_NE.IMP.GNFS.ZS_DS2_en_csv_v'!$BK$6:$BK$271)</f>
        <v>0</v>
      </c>
      <c r="R55">
        <f>_xlfn.XLOOKUP(D55,'[10]API_NE.EXP.GNFS.ZS_DS2_en_csv_v'!$B$6:$B$271,'[10]API_NE.EXP.GNFS.ZS_DS2_en_csv_v'!$BL$6:$BL$271)</f>
        <v>0</v>
      </c>
      <c r="S55">
        <f>_xlfn.XLOOKUP(D55,'[11]API_EG.USE.ELEC.KH.PC_DS2_en_cs'!$B$6:$B$271,'[11]API_EG.USE.ELEC.KH.PC_DS2_en_cs'!$BG$6:$BG$271)</f>
        <v>601.68906335845304</v>
      </c>
      <c r="T55">
        <f>_xlfn.XLOOKUP(D55,'[12]API_EN.POP.DNST_DS2_en_csv_v2_4'!$B$6:$B$271,'[12]API_EN.POP.DNST_DS2_en_csv_v2_4'!$BM$6:$BM$271)</f>
        <v>214.091977410514</v>
      </c>
    </row>
    <row r="56" spans="1:20" x14ac:dyDescent="0.2">
      <c r="A56" s="161" t="s">
        <v>153</v>
      </c>
      <c r="B56" s="161">
        <v>208</v>
      </c>
      <c r="C56" s="161" t="s">
        <v>101</v>
      </c>
      <c r="D56" t="str">
        <f>_xlfn.XLOOKUP(B56,'Country Code M49'!$B$2:$B$250,'Country Code M49'!$C$2:$C$250,,0)</f>
        <v>DNK</v>
      </c>
      <c r="E56" s="162">
        <v>81.333527554384801</v>
      </c>
      <c r="F56" s="162">
        <v>469448.98769115366</v>
      </c>
      <c r="G56" s="160" t="s">
        <v>870</v>
      </c>
      <c r="H56" s="188">
        <f>_xlfn.XLOOKUP(D56,'[1]World Population'!$C$2:$C$267,'[1]World Population'!$BN$2:$BN$267)</f>
        <v>5831404</v>
      </c>
      <c r="I56" s="188">
        <v>98.849998474121094</v>
      </c>
      <c r="J56" s="194">
        <f>_xlfn.XLOOKUP(D56,'[2]GDP 2015 Constant'!$B$6:$B$271,'[2]GDP 2015 Constant'!$BM$6:$BM$271)</f>
        <v>327738000000</v>
      </c>
      <c r="K56" s="193">
        <f t="shared" si="0"/>
        <v>56202.245634156032</v>
      </c>
      <c r="L56" s="194">
        <f>_xlfn.XLOOKUP(D56,'[5]Tourism Receipts'!$B$6:$B$271,'[5]Tourism Receipts'!$BK$6:$BK$271)</f>
        <v>9097000000</v>
      </c>
      <c r="M56" s="195">
        <f t="shared" si="1"/>
        <v>2.7756927789880943E-2</v>
      </c>
      <c r="N56">
        <f>_xlfn.XLOOKUP(D56,'[6]API_NV.AGR.TOTL.ZS_DS2_en_csv_v'!$B$6:$B$271,'[6]API_NV.AGR.TOTL.ZS_DS2_en_csv_v'!$BL$6:$BL$271)</f>
        <v>1.2220281022500099</v>
      </c>
      <c r="O56" s="188">
        <f>_xlfn.XLOOKUP(D56,'[7]API_SP.RUR.TOTL_DS2_en_csv_v2_4'!$B$6:$B$271,'[7]API_SP.RUR.TOTL_DS2_en_csv_v2_4'!$BM$6:$BM$271)</f>
        <v>693004</v>
      </c>
      <c r="P56" s="188">
        <f>_xlfn.XLOOKUP(D56,'[8]API_AG.PRD.FOOD.XD_DS2_en_csv_v'!$B$6:$B$271,'[8]API_AG.PRD.FOOD.XD_DS2_en_csv_v'!$BM$6:$BM$271)</f>
        <v>102.6</v>
      </c>
      <c r="Q56">
        <f>_xlfn.XLOOKUP(D56,'[9]API_NE.IMP.GNFS.ZS_DS2_en_csv_v'!$B$6:$B$271,'[9]API_NE.IMP.GNFS.ZS_DS2_en_csv_v'!$BK$6:$BK$271)</f>
        <v>50.415191942282902</v>
      </c>
      <c r="R56">
        <f>_xlfn.XLOOKUP(D56,'[10]API_NE.EXP.GNFS.ZS_DS2_en_csv_v'!$B$6:$B$271,'[10]API_NE.EXP.GNFS.ZS_DS2_en_csv_v'!$BL$6:$BL$271)</f>
        <v>58.999334966281701</v>
      </c>
      <c r="S56">
        <f>_xlfn.XLOOKUP(D56,'[11]API_EG.USE.ELEC.KH.PC_DS2_en_cs'!$B$6:$B$271,'[11]API_EG.USE.ELEC.KH.PC_DS2_en_cs'!$BG$6:$BG$271)</f>
        <v>5858.8015362874803</v>
      </c>
      <c r="T56">
        <f>_xlfn.XLOOKUP(D56,'[12]API_EN.POP.DNST_DS2_en_csv_v2_4'!$B$6:$B$271,'[12]API_EN.POP.DNST_DS2_en_csv_v2_4'!$BM$6:$BM$271)</f>
        <v>145.7851</v>
      </c>
    </row>
    <row r="57" spans="1:20" x14ac:dyDescent="0.2">
      <c r="A57" s="161" t="s">
        <v>154</v>
      </c>
      <c r="B57" s="161">
        <v>262</v>
      </c>
      <c r="C57" s="161" t="s">
        <v>825</v>
      </c>
      <c r="D57" t="str">
        <f>_xlfn.XLOOKUP(B57,'Country Code M49'!$B$2:$B$250,'Country Code M49'!$C$2:$C$250,,0)</f>
        <v>DJI</v>
      </c>
      <c r="E57" s="162">
        <v>99.59129668943163</v>
      </c>
      <c r="F57" s="162">
        <v>96962.086456830642</v>
      </c>
      <c r="G57" s="160" t="s">
        <v>877</v>
      </c>
      <c r="H57" s="188">
        <f>_xlfn.XLOOKUP(D57,'[1]World Population'!$C$2:$C$267,'[1]World Population'!$BN$2:$BN$267)</f>
        <v>988002</v>
      </c>
      <c r="I57" s="188">
        <v>89.140319824218807</v>
      </c>
      <c r="J57" s="194">
        <f>_xlfn.XLOOKUP(D57,'[2]GDP 2015 Constant'!$B$6:$B$271,'[2]GDP 2015 Constant'!$BM$6:$BM$271)</f>
        <v>3065136606</v>
      </c>
      <c r="K57" s="193">
        <f t="shared" si="0"/>
        <v>3102.3587057516079</v>
      </c>
      <c r="L57" s="194">
        <f>_xlfn.XLOOKUP(D57,'[5]Tourism Receipts'!$B$6:$B$271,'[5]Tourism Receipts'!$BK$6:$BK$271)</f>
        <v>57000000</v>
      </c>
      <c r="M57" s="195">
        <f t="shared" si="1"/>
        <v>1.8596234793719336E-2</v>
      </c>
      <c r="N57">
        <f>_xlfn.XLOOKUP(D57,'[6]API_NV.AGR.TOTL.ZS_DS2_en_csv_v'!$B$6:$B$271,'[6]API_NV.AGR.TOTL.ZS_DS2_en_csv_v'!$BL$6:$BL$271)</f>
        <v>1.51935122196429</v>
      </c>
      <c r="O57" s="188">
        <f>_xlfn.XLOOKUP(D57,'[7]API_SP.RUR.TOTL_DS2_en_csv_v2_4'!$B$6:$B$271,'[7]API_SP.RUR.TOTL_DS2_en_csv_v2_4'!$BM$6:$BM$271)</f>
        <v>216748</v>
      </c>
      <c r="P57" s="188">
        <f>_xlfn.XLOOKUP(D57,'[8]API_AG.PRD.FOOD.XD_DS2_en_csv_v'!$B$6:$B$271,'[8]API_AG.PRD.FOOD.XD_DS2_en_csv_v'!$BM$6:$BM$271)</f>
        <v>122.46</v>
      </c>
      <c r="Q57">
        <f>_xlfn.XLOOKUP(D57,'[9]API_NE.IMP.GNFS.ZS_DS2_en_csv_v'!$B$6:$B$271,'[9]API_NE.IMP.GNFS.ZS_DS2_en_csv_v'!$BK$6:$BK$271)</f>
        <v>143.77881164830299</v>
      </c>
      <c r="R57">
        <f>_xlfn.XLOOKUP(D57,'[10]API_NE.EXP.GNFS.ZS_DS2_en_csv_v'!$B$6:$B$271,'[10]API_NE.EXP.GNFS.ZS_DS2_en_csv_v'!$BL$6:$BL$271)</f>
        <v>166.71774637210899</v>
      </c>
      <c r="S57">
        <f>_xlfn.XLOOKUP(D57,'[11]API_EG.USE.ELEC.KH.PC_DS2_en_cs'!$B$6:$B$271,'[11]API_EG.USE.ELEC.KH.PC_DS2_en_cs'!$BG$6:$BG$271)</f>
        <v>0</v>
      </c>
      <c r="T57">
        <f>_xlfn.XLOOKUP(D57,'[12]API_EN.POP.DNST_DS2_en_csv_v2_4'!$B$6:$B$271,'[12]API_EN.POP.DNST_DS2_en_csv_v2_4'!$BM$6:$BM$271)</f>
        <v>42.623037100949098</v>
      </c>
    </row>
    <row r="58" spans="1:20" x14ac:dyDescent="0.2">
      <c r="A58" s="161" t="s">
        <v>150</v>
      </c>
      <c r="B58" s="161">
        <v>212</v>
      </c>
      <c r="C58" s="161" t="s">
        <v>720</v>
      </c>
      <c r="D58" t="str">
        <f>_xlfn.XLOOKUP(B58,'Country Code M49'!$B$2:$B$250,'Country Code M49'!$C$2:$C$250,,0)</f>
        <v>DMA</v>
      </c>
      <c r="E58" s="162">
        <v>72.432162730095172</v>
      </c>
      <c r="F58" s="162">
        <v>5200.6292840208334</v>
      </c>
      <c r="G58" s="160" t="s">
        <v>872</v>
      </c>
      <c r="H58" s="188">
        <f>_xlfn.XLOOKUP(D58,'[1]World Population'!$C$2:$C$267,'[1]World Population'!$BN$2:$BN$267)</f>
        <v>71991</v>
      </c>
      <c r="I58" s="188">
        <v>86.400001525878906</v>
      </c>
      <c r="J58" s="194">
        <f>_xlfn.XLOOKUP(D58,'[2]GDP 2015 Constant'!$B$6:$B$271,'[2]GDP 2015 Constant'!$BM$6:$BM$271)</f>
        <v>472745391.10000002</v>
      </c>
      <c r="K58" s="193">
        <f t="shared" si="0"/>
        <v>6566.7290508535789</v>
      </c>
      <c r="L58" s="194">
        <f>_xlfn.XLOOKUP(D58,'[5]Tourism Receipts'!$B$6:$B$271,'[5]Tourism Receipts'!$BK$6:$BK$271)</f>
        <v>111000000</v>
      </c>
      <c r="M58" s="195">
        <f t="shared" si="1"/>
        <v>0.23479869310142068</v>
      </c>
      <c r="N58">
        <f>_xlfn.XLOOKUP(D58,'[6]API_NV.AGR.TOTL.ZS_DS2_en_csv_v'!$B$6:$B$271,'[6]API_NV.AGR.TOTL.ZS_DS2_en_csv_v'!$BL$6:$BL$271)</f>
        <v>11.983163249856201</v>
      </c>
      <c r="O58" s="188">
        <f>_xlfn.XLOOKUP(D58,'[7]API_SP.RUR.TOTL_DS2_en_csv_v2_4'!$B$6:$B$271,'[7]API_SP.RUR.TOTL_DS2_en_csv_v2_4'!$BM$6:$BM$271)</f>
        <v>20813</v>
      </c>
      <c r="P58" s="188">
        <f>_xlfn.XLOOKUP(D58,'[8]API_AG.PRD.FOOD.XD_DS2_en_csv_v'!$B$6:$B$271,'[8]API_AG.PRD.FOOD.XD_DS2_en_csv_v'!$BM$6:$BM$271)</f>
        <v>99.96</v>
      </c>
      <c r="Q58">
        <f>_xlfn.XLOOKUP(D58,'[9]API_NE.IMP.GNFS.ZS_DS2_en_csv_v'!$B$6:$B$271,'[9]API_NE.IMP.GNFS.ZS_DS2_en_csv_v'!$BK$6:$BK$271)</f>
        <v>77.767244372045795</v>
      </c>
      <c r="R58">
        <f>_xlfn.XLOOKUP(D58,'[10]API_NE.EXP.GNFS.ZS_DS2_en_csv_v'!$B$6:$B$271,'[10]API_NE.EXP.GNFS.ZS_DS2_en_csv_v'!$BL$6:$BL$271)</f>
        <v>0</v>
      </c>
      <c r="S58">
        <f>_xlfn.XLOOKUP(D58,'[11]API_EG.USE.ELEC.KH.PC_DS2_en_cs'!$B$6:$B$271,'[11]API_EG.USE.ELEC.KH.PC_DS2_en_cs'!$BG$6:$BG$271)</f>
        <v>0</v>
      </c>
      <c r="T58">
        <f>_xlfn.XLOOKUP(D58,'[12]API_EN.POP.DNST_DS2_en_csv_v2_4'!$B$6:$B$271,'[12]API_EN.POP.DNST_DS2_en_csv_v2_4'!$BM$6:$BM$271)</f>
        <v>95.988</v>
      </c>
    </row>
    <row r="59" spans="1:20" x14ac:dyDescent="0.2">
      <c r="A59" s="161" t="s">
        <v>150</v>
      </c>
      <c r="B59" s="161">
        <v>214</v>
      </c>
      <c r="C59" s="161" t="s">
        <v>721</v>
      </c>
      <c r="D59" t="str">
        <f>_xlfn.XLOOKUP(B59,'Country Code M49'!$B$2:$B$250,'Country Code M49'!$C$2:$C$250,,0)</f>
        <v>DOM</v>
      </c>
      <c r="E59" s="162">
        <v>72.432162730095172</v>
      </c>
      <c r="F59" s="162">
        <v>777848.99555849202</v>
      </c>
      <c r="G59" s="160" t="s">
        <v>872</v>
      </c>
      <c r="H59" s="188">
        <f>_xlfn.XLOOKUP(D59,'[1]World Population'!$C$2:$C$267,'[1]World Population'!$BN$2:$BN$267)</f>
        <v>10847904</v>
      </c>
      <c r="I59" s="188">
        <v>70.368942260742202</v>
      </c>
      <c r="J59" s="194">
        <f>_xlfn.XLOOKUP(D59,'[2]GDP 2015 Constant'!$B$6:$B$271,'[2]GDP 2015 Constant'!$BM$6:$BM$271)</f>
        <v>83287065055</v>
      </c>
      <c r="K59" s="193">
        <f t="shared" si="0"/>
        <v>7677.7103719760053</v>
      </c>
      <c r="L59" s="194">
        <f>_xlfn.XLOOKUP(D59,'[5]Tourism Receipts'!$B$6:$B$271,'[5]Tourism Receipts'!$BK$6:$BK$271)</f>
        <v>7561000000</v>
      </c>
      <c r="M59" s="195">
        <f t="shared" si="1"/>
        <v>9.078240414651384E-2</v>
      </c>
      <c r="N59">
        <f>_xlfn.XLOOKUP(D59,'[6]API_NV.AGR.TOTL.ZS_DS2_en_csv_v'!$B$6:$B$271,'[6]API_NV.AGR.TOTL.ZS_DS2_en_csv_v'!$BL$6:$BL$271)</f>
        <v>5.2272889262158202</v>
      </c>
      <c r="O59" s="188">
        <f>_xlfn.XLOOKUP(D59,'[7]API_SP.RUR.TOTL_DS2_en_csv_v2_4'!$B$6:$B$271,'[7]API_SP.RUR.TOTL_DS2_en_csv_v2_4'!$BM$6:$BM$271)</f>
        <v>1894044</v>
      </c>
      <c r="P59" s="188">
        <f>_xlfn.XLOOKUP(D59,'[8]API_AG.PRD.FOOD.XD_DS2_en_csv_v'!$B$6:$B$271,'[8]API_AG.PRD.FOOD.XD_DS2_en_csv_v'!$BM$6:$BM$271)</f>
        <v>117.31</v>
      </c>
      <c r="Q59">
        <f>_xlfn.XLOOKUP(D59,'[9]API_NE.IMP.GNFS.ZS_DS2_en_csv_v'!$B$6:$B$271,'[9]API_NE.IMP.GNFS.ZS_DS2_en_csv_v'!$BK$6:$BK$271)</f>
        <v>28.504535082217799</v>
      </c>
      <c r="R59">
        <f>_xlfn.XLOOKUP(D59,'[10]API_NE.EXP.GNFS.ZS_DS2_en_csv_v'!$B$6:$B$271,'[10]API_NE.EXP.GNFS.ZS_DS2_en_csv_v'!$BL$6:$BL$271)</f>
        <v>23.069282041292301</v>
      </c>
      <c r="S59">
        <f>_xlfn.XLOOKUP(D59,'[11]API_EG.USE.ELEC.KH.PC_DS2_en_cs'!$B$6:$B$271,'[11]API_EG.USE.ELEC.KH.PC_DS2_en_cs'!$BG$6:$BG$271)</f>
        <v>1615.5146066248501</v>
      </c>
      <c r="T59">
        <f>_xlfn.XLOOKUP(D59,'[12]API_EN.POP.DNST_DS2_en_csv_v2_4'!$B$6:$B$271,'[12]API_EN.POP.DNST_DS2_en_csv_v2_4'!$BM$6:$BM$271)</f>
        <v>224.547795487477</v>
      </c>
    </row>
    <row r="60" spans="1:20" x14ac:dyDescent="0.2">
      <c r="A60" s="161" t="s">
        <v>150</v>
      </c>
      <c r="B60" s="161">
        <v>218</v>
      </c>
      <c r="C60" s="161" t="s">
        <v>722</v>
      </c>
      <c r="D60" t="str">
        <f>_xlfn.XLOOKUP(B60,'Country Code M49'!$B$2:$B$250,'Country Code M49'!$C$2:$C$250,,0)</f>
        <v>ECU</v>
      </c>
      <c r="E60" s="162">
        <v>72.432162730095172</v>
      </c>
      <c r="F60" s="162">
        <v>1258414.6656238544</v>
      </c>
      <c r="G60" s="160" t="s">
        <v>872</v>
      </c>
      <c r="H60" s="188">
        <f>_xlfn.XLOOKUP(D60,'[1]World Population'!$C$2:$C$267,'[1]World Population'!$BN$2:$BN$267)</f>
        <v>17643060</v>
      </c>
      <c r="I60" s="188">
        <v>11.080117225646999</v>
      </c>
      <c r="J60" s="194">
        <f>_xlfn.XLOOKUP(D60,'[2]GDP 2015 Constant'!$B$6:$B$271,'[2]GDP 2015 Constant'!$BM$6:$BM$271)</f>
        <v>93781977160</v>
      </c>
      <c r="K60" s="193">
        <f t="shared" si="0"/>
        <v>5315.5165351135238</v>
      </c>
      <c r="L60" s="194">
        <f>_xlfn.XLOOKUP(D60,'[5]Tourism Receipts'!$B$6:$B$271,'[5]Tourism Receipts'!$BK$6:$BK$271)</f>
        <v>2279000000</v>
      </c>
      <c r="M60" s="195">
        <f t="shared" si="1"/>
        <v>2.4301044497194092E-2</v>
      </c>
      <c r="N60">
        <f>_xlfn.XLOOKUP(D60,'[6]API_NV.AGR.TOTL.ZS_DS2_en_csv_v'!$B$6:$B$271,'[6]API_NV.AGR.TOTL.ZS_DS2_en_csv_v'!$BL$6:$BL$271)</f>
        <v>8.8005311428869195</v>
      </c>
      <c r="O60" s="188">
        <f>_xlfn.XLOOKUP(D60,'[7]API_SP.RUR.TOTL_DS2_en_csv_v2_4'!$B$6:$B$271,'[7]API_SP.RUR.TOTL_DS2_en_csv_v2_4'!$BM$6:$BM$271)</f>
        <v>6322214</v>
      </c>
      <c r="P60" s="188">
        <f>_xlfn.XLOOKUP(D60,'[8]API_AG.PRD.FOOD.XD_DS2_en_csv_v'!$B$6:$B$271,'[8]API_AG.PRD.FOOD.XD_DS2_en_csv_v'!$BM$6:$BM$271)</f>
        <v>96.86</v>
      </c>
      <c r="Q60">
        <f>_xlfn.XLOOKUP(D60,'[9]API_NE.IMP.GNFS.ZS_DS2_en_csv_v'!$B$6:$B$271,'[9]API_NE.IMP.GNFS.ZS_DS2_en_csv_v'!$BK$6:$BK$271)</f>
        <v>23.757446960268702</v>
      </c>
      <c r="R60">
        <f>_xlfn.XLOOKUP(D60,'[10]API_NE.EXP.GNFS.ZS_DS2_en_csv_v'!$B$6:$B$271,'[10]API_NE.EXP.GNFS.ZS_DS2_en_csv_v'!$BL$6:$BL$271)</f>
        <v>23.048367304590698</v>
      </c>
      <c r="S60">
        <f>_xlfn.XLOOKUP(D60,'[11]API_EG.USE.ELEC.KH.PC_DS2_en_cs'!$B$6:$B$271,'[11]API_EG.USE.ELEC.KH.PC_DS2_en_cs'!$BG$6:$BG$271)</f>
        <v>1376.3936330322399</v>
      </c>
      <c r="T60">
        <f>_xlfn.XLOOKUP(D60,'[12]API_EN.POP.DNST_DS2_en_csv_v2_4'!$B$6:$B$271,'[12]API_EN.POP.DNST_DS2_en_csv_v2_4'!$BM$6:$BM$271)</f>
        <v>71.038250926075094</v>
      </c>
    </row>
    <row r="61" spans="1:20" x14ac:dyDescent="0.2">
      <c r="A61" s="161" t="s">
        <v>876</v>
      </c>
      <c r="B61" s="161">
        <v>818</v>
      </c>
      <c r="C61" s="161" t="s">
        <v>765</v>
      </c>
      <c r="D61" t="str">
        <f>_xlfn.XLOOKUP(B61,'Country Code M49'!$B$2:$B$250,'Country Code M49'!$C$2:$C$250,,0)</f>
        <v>EGY</v>
      </c>
      <c r="E61" s="162">
        <v>91.016179554931128</v>
      </c>
      <c r="F61" s="162">
        <v>9136941.3347783815</v>
      </c>
      <c r="G61" s="160" t="s">
        <v>872</v>
      </c>
      <c r="H61" s="188">
        <f>_xlfn.XLOOKUP(D61,'[1]World Population'!$C$2:$C$267,'[1]World Population'!$BN$2:$BN$267)</f>
        <v>102334403</v>
      </c>
      <c r="I61" s="188">
        <v>49.730869293212898</v>
      </c>
      <c r="J61" s="194">
        <f>_xlfn.XLOOKUP(D61,'[2]GDP 2015 Constant'!$B$6:$B$271,'[2]GDP 2015 Constant'!$BM$6:$BM$271)</f>
        <v>412246000000</v>
      </c>
      <c r="K61" s="193">
        <f t="shared" si="0"/>
        <v>4028.420432569485</v>
      </c>
      <c r="L61" s="194">
        <f>_xlfn.XLOOKUP(D61,'[5]Tourism Receipts'!$B$6:$B$271,'[5]Tourism Receipts'!$BK$6:$BK$271)</f>
        <v>12704000000</v>
      </c>
      <c r="M61" s="195">
        <f t="shared" si="1"/>
        <v>3.0816551282486671E-2</v>
      </c>
      <c r="N61">
        <f>_xlfn.XLOOKUP(D61,'[6]API_NV.AGR.TOTL.ZS_DS2_en_csv_v'!$B$6:$B$271,'[6]API_NV.AGR.TOTL.ZS_DS2_en_csv_v'!$BL$6:$BL$271)</f>
        <v>11.0489758951318</v>
      </c>
      <c r="O61" s="188">
        <f>_xlfn.XLOOKUP(D61,'[7]API_SP.RUR.TOTL_DS2_en_csv_v2_4'!$B$6:$B$271,'[7]API_SP.RUR.TOTL_DS2_en_csv_v2_4'!$BM$6:$BM$271)</f>
        <v>58552675</v>
      </c>
      <c r="P61" s="188">
        <f>_xlfn.XLOOKUP(D61,'[8]API_AG.PRD.FOOD.XD_DS2_en_csv_v'!$B$6:$B$271,'[8]API_AG.PRD.FOOD.XD_DS2_en_csv_v'!$BM$6:$BM$271)</f>
        <v>99.59</v>
      </c>
      <c r="Q61">
        <f>_xlfn.XLOOKUP(D61,'[9]API_NE.IMP.GNFS.ZS_DS2_en_csv_v'!$B$6:$B$271,'[9]API_NE.IMP.GNFS.ZS_DS2_en_csv_v'!$BK$6:$BK$271)</f>
        <v>29.366295578491901</v>
      </c>
      <c r="R61">
        <f>_xlfn.XLOOKUP(D61,'[10]API_NE.EXP.GNFS.ZS_DS2_en_csv_v'!$B$6:$B$271,'[10]API_NE.EXP.GNFS.ZS_DS2_en_csv_v'!$BL$6:$BL$271)</f>
        <v>17.500610661205201</v>
      </c>
      <c r="S61">
        <f>_xlfn.XLOOKUP(D61,'[11]API_EG.USE.ELEC.KH.PC_DS2_en_cs'!$B$6:$B$271,'[11]API_EG.USE.ELEC.KH.PC_DS2_en_cs'!$BG$6:$BG$271)</f>
        <v>1683.2132576920301</v>
      </c>
      <c r="T61">
        <f>_xlfn.XLOOKUP(D61,'[12]API_EN.POP.DNST_DS2_en_csv_v2_4'!$B$6:$B$271,'[12]API_EN.POP.DNST_DS2_en_csv_v2_4'!$BM$6:$BM$271)</f>
        <v>102.80215279521801</v>
      </c>
    </row>
    <row r="62" spans="1:20" x14ac:dyDescent="0.2">
      <c r="A62" s="161" t="s">
        <v>150</v>
      </c>
      <c r="B62" s="161">
        <v>222</v>
      </c>
      <c r="C62" s="161" t="s">
        <v>723</v>
      </c>
      <c r="D62" t="str">
        <f>_xlfn.XLOOKUP(B62,'Country Code M49'!$B$2:$B$250,'Country Code M49'!$C$2:$C$250,,0)</f>
        <v>SLV</v>
      </c>
      <c r="E62" s="162">
        <v>80.08369293447646</v>
      </c>
      <c r="F62" s="162">
        <v>516828.12072193727</v>
      </c>
      <c r="G62" s="160" t="s">
        <v>872</v>
      </c>
      <c r="H62" s="188">
        <f>_xlfn.XLOOKUP(D62,'[1]World Population'!$C$2:$C$267,'[1]World Population'!$BN$2:$BN$267)</f>
        <v>6486201</v>
      </c>
      <c r="I62" s="188">
        <v>52.747669219970703</v>
      </c>
      <c r="J62" s="194">
        <f>_xlfn.XLOOKUP(D62,'[2]GDP 2015 Constant'!$B$6:$B$271,'[2]GDP 2015 Constant'!$BM$6:$BM$271)</f>
        <v>23560825997</v>
      </c>
      <c r="K62" s="193">
        <f t="shared" si="0"/>
        <v>3632.4538812472815</v>
      </c>
      <c r="L62" s="194">
        <f>_xlfn.XLOOKUP(D62,'[5]Tourism Receipts'!$B$6:$B$271,'[5]Tourism Receipts'!$BK$6:$BK$271)</f>
        <v>1370000000</v>
      </c>
      <c r="M62" s="195">
        <f t="shared" si="1"/>
        <v>5.8147367166772594E-2</v>
      </c>
      <c r="N62">
        <f>_xlfn.XLOOKUP(D62,'[6]API_NV.AGR.TOTL.ZS_DS2_en_csv_v'!$B$6:$B$271,'[6]API_NV.AGR.TOTL.ZS_DS2_en_csv_v'!$BL$6:$BL$271)</f>
        <v>4.8678163013548899</v>
      </c>
      <c r="O62" s="188">
        <f>_xlfn.XLOOKUP(D62,'[7]API_SP.RUR.TOTL_DS2_en_csv_v2_4'!$B$6:$B$271,'[7]API_SP.RUR.TOTL_DS2_en_csv_v2_4'!$BM$6:$BM$271)</f>
        <v>1722476</v>
      </c>
      <c r="P62" s="188">
        <f>_xlfn.XLOOKUP(D62,'[8]API_AG.PRD.FOOD.XD_DS2_en_csv_v'!$B$6:$B$271,'[8]API_AG.PRD.FOOD.XD_DS2_en_csv_v'!$BM$6:$BM$271)</f>
        <v>104.45</v>
      </c>
      <c r="Q62">
        <f>_xlfn.XLOOKUP(D62,'[9]API_NE.IMP.GNFS.ZS_DS2_en_csv_v'!$B$6:$B$271,'[9]API_NE.IMP.GNFS.ZS_DS2_en_csv_v'!$BK$6:$BK$271)</f>
        <v>46.699243106970002</v>
      </c>
      <c r="R62">
        <f>_xlfn.XLOOKUP(D62,'[10]API_NE.EXP.GNFS.ZS_DS2_en_csv_v'!$B$6:$B$271,'[10]API_NE.EXP.GNFS.ZS_DS2_en_csv_v'!$BL$6:$BL$271)</f>
        <v>29.675840792128099</v>
      </c>
      <c r="S62">
        <f>_xlfn.XLOOKUP(D62,'[11]API_EG.USE.ELEC.KH.PC_DS2_en_cs'!$B$6:$B$271,'[11]API_EG.USE.ELEC.KH.PC_DS2_en_cs'!$BG$6:$BG$271)</f>
        <v>937.07447224232601</v>
      </c>
      <c r="T62">
        <f>_xlfn.XLOOKUP(D62,'[12]API_EN.POP.DNST_DS2_en_csv_v2_4'!$B$6:$B$271,'[12]API_EN.POP.DNST_DS2_en_csv_v2_4'!$BM$6:$BM$271)</f>
        <v>313.04058880308901</v>
      </c>
    </row>
    <row r="63" spans="1:20" x14ac:dyDescent="0.2">
      <c r="A63" s="161" t="s">
        <v>154</v>
      </c>
      <c r="B63" s="161">
        <v>226</v>
      </c>
      <c r="C63" s="161" t="s">
        <v>826</v>
      </c>
      <c r="D63" t="str">
        <f>_xlfn.XLOOKUP(B63,'Country Code M49'!$B$2:$B$250,'Country Code M49'!$C$2:$C$250,,0)</f>
        <v>GNQ</v>
      </c>
      <c r="E63" s="162">
        <v>91.939766485050328</v>
      </c>
      <c r="F63" s="162">
        <v>124670.32335372825</v>
      </c>
      <c r="G63" s="160" t="s">
        <v>877</v>
      </c>
      <c r="H63" s="188">
        <f>_xlfn.XLOOKUP(D63,'[1]World Population'!$C$2:$C$267,'[1]World Population'!$BN$2:$BN$267)</f>
        <v>1402985</v>
      </c>
      <c r="I63" s="188">
        <v>44.668678283691399</v>
      </c>
      <c r="J63" s="194">
        <f>_xlfn.XLOOKUP(D63,'[2]GDP 2015 Constant'!$B$6:$B$271,'[2]GDP 2015 Constant'!$BM$6:$BM$271)</f>
        <v>9625001914</v>
      </c>
      <c r="K63" s="193">
        <f t="shared" si="0"/>
        <v>6860.3740695730885</v>
      </c>
      <c r="L63" s="194">
        <f>_xlfn.XLOOKUP(D63,'[5]Tourism Receipts'!$B$6:$B$271,'[5]Tourism Receipts'!$BK$6:$BK$271)</f>
        <v>0</v>
      </c>
      <c r="M63" s="195">
        <f t="shared" si="1"/>
        <v>0</v>
      </c>
      <c r="N63">
        <f>_xlfn.XLOOKUP(D63,'[6]API_NV.AGR.TOTL.ZS_DS2_en_csv_v'!$B$6:$B$271,'[6]API_NV.AGR.TOTL.ZS_DS2_en_csv_v'!$BL$6:$BL$271)</f>
        <v>2.43787850840374</v>
      </c>
      <c r="O63" s="188">
        <f>_xlfn.XLOOKUP(D63,'[7]API_SP.RUR.TOTL_DS2_en_csv_v2_4'!$B$6:$B$271,'[7]API_SP.RUR.TOTL_DS2_en_csv_v2_4'!$BM$6:$BM$271)</f>
        <v>377403</v>
      </c>
      <c r="P63" s="188">
        <f>_xlfn.XLOOKUP(D63,'[8]API_AG.PRD.FOOD.XD_DS2_en_csv_v'!$B$6:$B$271,'[8]API_AG.PRD.FOOD.XD_DS2_en_csv_v'!$BM$6:$BM$271)</f>
        <v>101.37</v>
      </c>
      <c r="Q63">
        <f>_xlfn.XLOOKUP(D63,'[9]API_NE.IMP.GNFS.ZS_DS2_en_csv_v'!$B$6:$B$271,'[9]API_NE.IMP.GNFS.ZS_DS2_en_csv_v'!$BK$6:$BK$271)</f>
        <v>44.031146679407499</v>
      </c>
      <c r="R63">
        <f>_xlfn.XLOOKUP(D63,'[10]API_NE.EXP.GNFS.ZS_DS2_en_csv_v'!$B$6:$B$271,'[10]API_NE.EXP.GNFS.ZS_DS2_en_csv_v'!$BL$6:$BL$271)</f>
        <v>51.130748168144997</v>
      </c>
      <c r="S63">
        <f>_xlfn.XLOOKUP(D63,'[11]API_EG.USE.ELEC.KH.PC_DS2_en_cs'!$B$6:$B$271,'[11]API_EG.USE.ELEC.KH.PC_DS2_en_cs'!$BG$6:$BG$271)</f>
        <v>0</v>
      </c>
      <c r="T63">
        <f>_xlfn.XLOOKUP(D63,'[12]API_EN.POP.DNST_DS2_en_csv_v2_4'!$B$6:$B$271,'[12]API_EN.POP.DNST_DS2_en_csv_v2_4'!$BM$6:$BM$271)</f>
        <v>50.017290552584697</v>
      </c>
    </row>
    <row r="64" spans="1:20" x14ac:dyDescent="0.2">
      <c r="A64" s="161" t="s">
        <v>154</v>
      </c>
      <c r="B64" s="161">
        <v>232</v>
      </c>
      <c r="C64" s="161" t="s">
        <v>827</v>
      </c>
      <c r="D64" t="str">
        <f>_xlfn.XLOOKUP(B64,'Country Code M49'!$B$2:$B$250,'Country Code M49'!$C$2:$C$250,,0)</f>
        <v>ERI</v>
      </c>
      <c r="E64" s="162">
        <v>102.69433227860404</v>
      </c>
      <c r="F64" s="162">
        <v>359132.34941150615</v>
      </c>
      <c r="G64" s="160" t="s">
        <v>877</v>
      </c>
      <c r="H64" s="188">
        <f>_xlfn.XLOOKUP(D64,'[1]World Population'!$C$2:$C$267,'[1]World Population'!$BN$2:$BN$267)</f>
        <v>0</v>
      </c>
      <c r="I64" s="188">
        <v>46.599998474121101</v>
      </c>
      <c r="J64" s="194" t="e">
        <f>_xlfn.XLOOKUP(D64,'[2]GDP 2015 Constant'!$B$6:$B$271,'[2]GDP 2015 Constant'!$BM$6:$BM$271)</f>
        <v>#REF!</v>
      </c>
      <c r="K64" s="193" t="e">
        <f t="shared" si="0"/>
        <v>#REF!</v>
      </c>
      <c r="L64" s="194">
        <f>_xlfn.XLOOKUP(D64,'[5]Tourism Receipts'!$B$6:$B$271,'[5]Tourism Receipts'!$BK$6:$BK$271)</f>
        <v>0</v>
      </c>
      <c r="M64" s="195" t="e">
        <f t="shared" si="1"/>
        <v>#REF!</v>
      </c>
      <c r="N64">
        <f>_xlfn.XLOOKUP(D64,'[6]API_NV.AGR.TOTL.ZS_DS2_en_csv_v'!$B$6:$B$271,'[6]API_NV.AGR.TOTL.ZS_DS2_en_csv_v'!$BL$6:$BL$271)</f>
        <v>0</v>
      </c>
      <c r="O64" s="188" t="e">
        <f>_xlfn.XLOOKUP(D64,'[7]API_SP.RUR.TOTL_DS2_en_csv_v2_4'!$B$6:$B$271,'[7]API_SP.RUR.TOTL_DS2_en_csv_v2_4'!$BM$6:$BM$271)</f>
        <v>#REF!</v>
      </c>
      <c r="P64" s="188">
        <f>_xlfn.XLOOKUP(D64,'[8]API_AG.PRD.FOOD.XD_DS2_en_csv_v'!$B$6:$B$271,'[8]API_AG.PRD.FOOD.XD_DS2_en_csv_v'!$BM$6:$BM$271)</f>
        <v>103.01</v>
      </c>
      <c r="Q64">
        <f>_xlfn.XLOOKUP(D64,'[9]API_NE.IMP.GNFS.ZS_DS2_en_csv_v'!$B$6:$B$271,'[9]API_NE.IMP.GNFS.ZS_DS2_en_csv_v'!$BK$6:$BK$271)</f>
        <v>0</v>
      </c>
      <c r="R64">
        <f>_xlfn.XLOOKUP(D64,'[10]API_NE.EXP.GNFS.ZS_DS2_en_csv_v'!$B$6:$B$271,'[10]API_NE.EXP.GNFS.ZS_DS2_en_csv_v'!$BL$6:$BL$271)</f>
        <v>0</v>
      </c>
      <c r="S64">
        <f>_xlfn.XLOOKUP(D64,'[11]API_EG.USE.ELEC.KH.PC_DS2_en_cs'!$B$6:$B$271,'[11]API_EG.USE.ELEC.KH.PC_DS2_en_cs'!$BG$6:$BG$271)</f>
        <v>96.634579959679201</v>
      </c>
      <c r="T64">
        <f>_xlfn.XLOOKUP(D64,'[12]API_EN.POP.DNST_DS2_en_csv_v2_4'!$B$6:$B$271,'[12]API_EN.POP.DNST_DS2_en_csv_v2_4'!$BM$6:$BM$271)</f>
        <v>29.299427551012599</v>
      </c>
    </row>
    <row r="65" spans="1:20" x14ac:dyDescent="0.2">
      <c r="A65" s="161" t="s">
        <v>153</v>
      </c>
      <c r="B65" s="161">
        <v>233</v>
      </c>
      <c r="C65" s="161" t="s">
        <v>102</v>
      </c>
      <c r="D65" t="str">
        <f>_xlfn.XLOOKUP(B65,'Country Code M49'!$B$2:$B$250,'Country Code M49'!$C$2:$C$250,,0)</f>
        <v>EST</v>
      </c>
      <c r="E65" s="162">
        <v>77.507163323782237</v>
      </c>
      <c r="F65" s="162">
        <v>102743.49570200573</v>
      </c>
      <c r="G65" s="160" t="s">
        <v>873</v>
      </c>
      <c r="H65" s="188">
        <f>_xlfn.XLOOKUP(D65,'[1]World Population'!$C$2:$C$267,'[1]World Population'!$BN$2:$BN$267)</f>
        <v>1329479</v>
      </c>
      <c r="I65" s="188">
        <v>41.410957336425803</v>
      </c>
      <c r="J65" s="194">
        <f>_xlfn.XLOOKUP(D65,'[2]GDP 2015 Constant'!$B$6:$B$271,'[2]GDP 2015 Constant'!$BM$6:$BM$271)</f>
        <v>26279914561</v>
      </c>
      <c r="K65" s="193">
        <f t="shared" si="0"/>
        <v>19767.077600323133</v>
      </c>
      <c r="L65" s="194">
        <f>_xlfn.XLOOKUP(D65,'[5]Tourism Receipts'!$B$6:$B$271,'[5]Tourism Receipts'!$BK$6:$BK$271)</f>
        <v>2326000000</v>
      </c>
      <c r="M65" s="195">
        <f t="shared" si="1"/>
        <v>8.8508659135895285E-2</v>
      </c>
      <c r="N65">
        <f>_xlfn.XLOOKUP(D65,'[6]API_NV.AGR.TOTL.ZS_DS2_en_csv_v'!$B$6:$B$271,'[6]API_NV.AGR.TOTL.ZS_DS2_en_csv_v'!$BL$6:$BL$271)</f>
        <v>2.5111737977642701</v>
      </c>
      <c r="O65" s="188">
        <f>_xlfn.XLOOKUP(D65,'[7]API_SP.RUR.TOTL_DS2_en_csv_v2_4'!$B$6:$B$271,'[7]API_SP.RUR.TOTL_DS2_en_csv_v2_4'!$BM$6:$BM$271)</f>
        <v>409094</v>
      </c>
      <c r="P65" s="188">
        <f>_xlfn.XLOOKUP(D65,'[8]API_AG.PRD.FOOD.XD_DS2_en_csv_v'!$B$6:$B$271,'[8]API_AG.PRD.FOOD.XD_DS2_en_csv_v'!$BM$6:$BM$271)</f>
        <v>107.75</v>
      </c>
      <c r="Q65">
        <f>_xlfn.XLOOKUP(D65,'[9]API_NE.IMP.GNFS.ZS_DS2_en_csv_v'!$B$6:$B$271,'[9]API_NE.IMP.GNFS.ZS_DS2_en_csv_v'!$BK$6:$BK$271)</f>
        <v>71.871360536091601</v>
      </c>
      <c r="R65">
        <f>_xlfn.XLOOKUP(D65,'[10]API_NE.EXP.GNFS.ZS_DS2_en_csv_v'!$B$6:$B$271,'[10]API_NE.EXP.GNFS.ZS_DS2_en_csv_v'!$BL$6:$BL$271)</f>
        <v>74.046586127579104</v>
      </c>
      <c r="S65">
        <f>_xlfn.XLOOKUP(D65,'[11]API_EG.USE.ELEC.KH.PC_DS2_en_cs'!$B$6:$B$271,'[11]API_EG.USE.ELEC.KH.PC_DS2_en_cs'!$BG$6:$BG$271)</f>
        <v>6732.3674731561096</v>
      </c>
      <c r="T65">
        <f>_xlfn.XLOOKUP(D65,'[12]API_EN.POP.DNST_DS2_en_csv_v2_4'!$B$6:$B$271,'[12]API_EN.POP.DNST_DS2_en_csv_v2_4'!$BM$6:$BM$271)</f>
        <v>31.098923976608202</v>
      </c>
    </row>
    <row r="66" spans="1:20" x14ac:dyDescent="0.2">
      <c r="A66" s="161" t="s">
        <v>154</v>
      </c>
      <c r="B66" s="161">
        <v>748</v>
      </c>
      <c r="C66" s="161" t="s">
        <v>828</v>
      </c>
      <c r="D66" t="str">
        <f>_xlfn.XLOOKUP(B66,'Country Code M49'!$B$2:$B$250,'Country Code M49'!$C$2:$C$250,,0)</f>
        <v>SWZ</v>
      </c>
      <c r="E66" s="162">
        <v>99.59129668943163</v>
      </c>
      <c r="F66" s="162">
        <v>114340.76772913645</v>
      </c>
      <c r="G66" s="160" t="s">
        <v>877</v>
      </c>
      <c r="H66" s="188">
        <f>_xlfn.XLOOKUP(D66,'[1]World Population'!$C$2:$C$267,'[1]World Population'!$BN$2:$BN$267)</f>
        <v>1160164</v>
      </c>
      <c r="I66" s="188">
        <v>100</v>
      </c>
      <c r="J66" s="194">
        <f>_xlfn.XLOOKUP(D66,'[2]GDP 2015 Constant'!$B$6:$B$271,'[2]GDP 2015 Constant'!$BM$6:$BM$271)</f>
        <v>4319634145</v>
      </c>
      <c r="K66" s="193">
        <f t="shared" si="0"/>
        <v>3723.2961417523729</v>
      </c>
      <c r="L66" s="194">
        <f>_xlfn.XLOOKUP(D66,'[5]Tourism Receipts'!$B$6:$B$271,'[5]Tourism Receipts'!$BK$6:$BK$271)</f>
        <v>16399999.619999999</v>
      </c>
      <c r="M66" s="195">
        <f t="shared" si="1"/>
        <v>3.7966177387923207E-3</v>
      </c>
      <c r="N66">
        <f>_xlfn.XLOOKUP(D66,'[6]API_NV.AGR.TOTL.ZS_DS2_en_csv_v'!$B$6:$B$271,'[6]API_NV.AGR.TOTL.ZS_DS2_en_csv_v'!$BL$6:$BL$271)</f>
        <v>8.5982213976999908</v>
      </c>
      <c r="O66" s="188">
        <f>_xlfn.XLOOKUP(D66,'[7]API_SP.RUR.TOTL_DS2_en_csv_v2_4'!$B$6:$B$271,'[7]API_SP.RUR.TOTL_DS2_en_csv_v2_4'!$BM$6:$BM$271)</f>
        <v>879741</v>
      </c>
      <c r="P66" s="188">
        <f>_xlfn.XLOOKUP(D66,'[8]API_AG.PRD.FOOD.XD_DS2_en_csv_v'!$B$6:$B$271,'[8]API_AG.PRD.FOOD.XD_DS2_en_csv_v'!$BM$6:$BM$271)</f>
        <v>102.88</v>
      </c>
      <c r="Q66">
        <f>_xlfn.XLOOKUP(D66,'[9]API_NE.IMP.GNFS.ZS_DS2_en_csv_v'!$B$6:$B$271,'[9]API_NE.IMP.GNFS.ZS_DS2_en_csv_v'!$BK$6:$BK$271)</f>
        <v>44.313881031412002</v>
      </c>
      <c r="R66">
        <f>_xlfn.XLOOKUP(D66,'[10]API_NE.EXP.GNFS.ZS_DS2_en_csv_v'!$B$6:$B$271,'[10]API_NE.EXP.GNFS.ZS_DS2_en_csv_v'!$BL$6:$BL$271)</f>
        <v>45.946323426739497</v>
      </c>
      <c r="S66">
        <f>_xlfn.XLOOKUP(D66,'[11]API_EG.USE.ELEC.KH.PC_DS2_en_cs'!$B$6:$B$271,'[11]API_EG.USE.ELEC.KH.PC_DS2_en_cs'!$BG$6:$BG$271)</f>
        <v>0</v>
      </c>
      <c r="T66">
        <f>_xlfn.XLOOKUP(D66,'[12]API_EN.POP.DNST_DS2_en_csv_v2_4'!$B$6:$B$271,'[12]API_EN.POP.DNST_DS2_en_csv_v2_4'!$BM$6:$BM$271)</f>
        <v>67.451395348837195</v>
      </c>
    </row>
    <row r="67" spans="1:20" x14ac:dyDescent="0.2">
      <c r="A67" s="161" t="s">
        <v>154</v>
      </c>
      <c r="B67" s="161">
        <v>231</v>
      </c>
      <c r="C67" s="161" t="s">
        <v>103</v>
      </c>
      <c r="D67" t="str">
        <f>_xlfn.XLOOKUP(B67,'Country Code M49'!$B$2:$B$250,'Country Code M49'!$C$2:$C$250,,0)</f>
        <v>ETH</v>
      </c>
      <c r="E67" s="162">
        <v>92.142713249999986</v>
      </c>
      <c r="F67" s="162">
        <v>10327235.515532775</v>
      </c>
      <c r="G67" s="160" t="s">
        <v>873</v>
      </c>
      <c r="H67" s="188">
        <f>_xlfn.XLOOKUP(D67,'[1]World Population'!$C$2:$C$267,'[1]World Population'!$BN$2:$BN$267)</f>
        <v>114963583</v>
      </c>
      <c r="I67" s="188">
        <v>11.7355556488037</v>
      </c>
      <c r="J67" s="194">
        <f>_xlfn.XLOOKUP(D67,'[2]GDP 2015 Constant'!$B$6:$B$271,'[2]GDP 2015 Constant'!$BM$6:$BM$271)</f>
        <v>95071785238</v>
      </c>
      <c r="K67" s="193">
        <f t="shared" ref="K67:K130" si="2">J67/H67</f>
        <v>826.97305317980567</v>
      </c>
      <c r="L67" s="194">
        <f>_xlfn.XLOOKUP(D67,'[5]Tourism Receipts'!$B$6:$B$271,'[5]Tourism Receipts'!$BK$6:$BK$271)</f>
        <v>3548000000</v>
      </c>
      <c r="M67" s="195">
        <f t="shared" ref="M67:M130" si="3">L67/J67</f>
        <v>3.7319168785124188E-2</v>
      </c>
      <c r="N67">
        <f>_xlfn.XLOOKUP(D67,'[6]API_NV.AGR.TOTL.ZS_DS2_en_csv_v'!$B$6:$B$271,'[6]API_NV.AGR.TOTL.ZS_DS2_en_csv_v'!$BL$6:$BL$271)</f>
        <v>33.633329059433599</v>
      </c>
      <c r="O67" s="188">
        <f>_xlfn.XLOOKUP(D67,'[7]API_SP.RUR.TOTL_DS2_en_csv_v2_4'!$B$6:$B$271,'[7]API_SP.RUR.TOTL_DS2_en_csv_v2_4'!$BM$6:$BM$271)</f>
        <v>90022234</v>
      </c>
      <c r="P67" s="188">
        <f>_xlfn.XLOOKUP(D67,'[8]API_AG.PRD.FOOD.XD_DS2_en_csv_v'!$B$6:$B$271,'[8]API_AG.PRD.FOOD.XD_DS2_en_csv_v'!$BM$6:$BM$271)</f>
        <v>119.21</v>
      </c>
      <c r="Q67">
        <f>_xlfn.XLOOKUP(D67,'[9]API_NE.IMP.GNFS.ZS_DS2_en_csv_v'!$B$6:$B$271,'[9]API_NE.IMP.GNFS.ZS_DS2_en_csv_v'!$BK$6:$BK$271)</f>
        <v>22.826699077005301</v>
      </c>
      <c r="R67">
        <f>_xlfn.XLOOKUP(D67,'[10]API_NE.EXP.GNFS.ZS_DS2_en_csv_v'!$B$6:$B$271,'[10]API_NE.EXP.GNFS.ZS_DS2_en_csv_v'!$BL$6:$BL$271)</f>
        <v>7.9399766087609001</v>
      </c>
      <c r="S67">
        <f>_xlfn.XLOOKUP(D67,'[11]API_EG.USE.ELEC.KH.PC_DS2_en_cs'!$B$6:$B$271,'[11]API_EG.USE.ELEC.KH.PC_DS2_en_cs'!$BG$6:$BG$271)</f>
        <v>69.198745402687393</v>
      </c>
      <c r="T67">
        <f>_xlfn.XLOOKUP(D67,'[12]API_EN.POP.DNST_DS2_en_csv_v2_4'!$B$6:$B$271,'[12]API_EN.POP.DNST_DS2_en_csv_v2_4'!$BM$6:$BM$271)</f>
        <v>101.86648071355999</v>
      </c>
    </row>
    <row r="68" spans="1:20" x14ac:dyDescent="0.2">
      <c r="A68" s="161" t="s">
        <v>153</v>
      </c>
      <c r="B68" s="161">
        <v>234</v>
      </c>
      <c r="C68" s="161" t="s">
        <v>774</v>
      </c>
      <c r="D68" t="str">
        <f>_xlfn.XLOOKUP(B68,'Country Code M49'!$B$2:$B$250,'Country Code M49'!$C$2:$C$250,,0)</f>
        <v>FRO</v>
      </c>
      <c r="E68" s="162">
        <v>76.185479353763768</v>
      </c>
      <c r="F68" s="162">
        <v>3710.2328445282956</v>
      </c>
      <c r="G68" s="160" t="s">
        <v>877</v>
      </c>
      <c r="H68" s="188">
        <f>_xlfn.XLOOKUP(D68,'[1]World Population'!$C$2:$C$267,'[1]World Population'!$BN$2:$BN$267)</f>
        <v>48865</v>
      </c>
      <c r="I68" s="188">
        <v>97.554122924804702</v>
      </c>
      <c r="J68" s="194" t="e">
        <f>_xlfn.XLOOKUP(D68,'[2]GDP 2015 Constant'!$B$6:$B$271,'[2]GDP 2015 Constant'!$BM$6:$BM$271)</f>
        <v>#REF!</v>
      </c>
      <c r="K68" s="193" t="e">
        <f t="shared" si="2"/>
        <v>#REF!</v>
      </c>
      <c r="L68" s="194">
        <f>_xlfn.XLOOKUP(D68,'[5]Tourism Receipts'!$B$6:$B$271,'[5]Tourism Receipts'!$BK$6:$BK$271)</f>
        <v>0</v>
      </c>
      <c r="M68" s="195" t="e">
        <f t="shared" si="3"/>
        <v>#REF!</v>
      </c>
      <c r="N68">
        <f>_xlfn.XLOOKUP(D68,'[6]API_NV.AGR.TOTL.ZS_DS2_en_csv_v'!$B$6:$B$271,'[6]API_NV.AGR.TOTL.ZS_DS2_en_csv_v'!$BL$6:$BL$271)</f>
        <v>17.027503073225301</v>
      </c>
      <c r="O68" s="188">
        <f>_xlfn.XLOOKUP(D68,'[7]API_SP.RUR.TOTL_DS2_en_csv_v2_4'!$B$6:$B$271,'[7]API_SP.RUR.TOTL_DS2_en_csv_v2_4'!$BM$6:$BM$271)</f>
        <v>28147</v>
      </c>
      <c r="P68" s="188">
        <f>_xlfn.XLOOKUP(D68,'[8]API_AG.PRD.FOOD.XD_DS2_en_csv_v'!$B$6:$B$271,'[8]API_AG.PRD.FOOD.XD_DS2_en_csv_v'!$BM$6:$BM$271)</f>
        <v>90.38</v>
      </c>
      <c r="Q68">
        <f>_xlfn.XLOOKUP(D68,'[9]API_NE.IMP.GNFS.ZS_DS2_en_csv_v'!$B$6:$B$271,'[9]API_NE.IMP.GNFS.ZS_DS2_en_csv_v'!$BK$6:$BK$271)</f>
        <v>54.201255919804403</v>
      </c>
      <c r="R68">
        <f>_xlfn.XLOOKUP(D68,'[10]API_NE.EXP.GNFS.ZS_DS2_en_csv_v'!$B$6:$B$271,'[10]API_NE.EXP.GNFS.ZS_DS2_en_csv_v'!$BL$6:$BL$271)</f>
        <v>55.729501128378303</v>
      </c>
      <c r="S68">
        <f>_xlfn.XLOOKUP(D68,'[11]API_EG.USE.ELEC.KH.PC_DS2_en_cs'!$B$6:$B$271,'[11]API_EG.USE.ELEC.KH.PC_DS2_en_cs'!$BG$6:$BG$271)</f>
        <v>0</v>
      </c>
      <c r="T68">
        <f>_xlfn.XLOOKUP(D68,'[12]API_EN.POP.DNST_DS2_en_csv_v2_4'!$B$6:$B$271,'[12]API_EN.POP.DNST_DS2_en_csv_v2_4'!$BM$6:$BM$271)</f>
        <v>35.772327964860899</v>
      </c>
    </row>
    <row r="69" spans="1:20" x14ac:dyDescent="0.2">
      <c r="A69" s="161" t="s">
        <v>874</v>
      </c>
      <c r="B69" s="161">
        <v>242</v>
      </c>
      <c r="C69" s="161" t="s">
        <v>752</v>
      </c>
      <c r="D69" t="str">
        <f>_xlfn.XLOOKUP(B69,'Country Code M49'!$B$2:$B$250,'Country Code M49'!$C$2:$C$250,,0)</f>
        <v>FJI</v>
      </c>
      <c r="E69" s="162">
        <v>75.713119146168523</v>
      </c>
      <c r="F69" s="162">
        <v>67384.67604008998</v>
      </c>
      <c r="G69" s="160" t="s">
        <v>872</v>
      </c>
      <c r="H69" s="188">
        <f>_xlfn.XLOOKUP(D69,'[1]World Population'!$C$2:$C$267,'[1]World Population'!$BN$2:$BN$267)</f>
        <v>896444</v>
      </c>
      <c r="I69" s="188">
        <v>100</v>
      </c>
      <c r="J69" s="194">
        <f>_xlfn.XLOOKUP(D69,'[2]GDP 2015 Constant'!$B$6:$B$271,'[2]GDP 2015 Constant'!$BM$6:$BM$271)</f>
        <v>4431812577</v>
      </c>
      <c r="K69" s="193">
        <f t="shared" si="2"/>
        <v>4943.7695795833315</v>
      </c>
      <c r="L69" s="194">
        <f>_xlfn.XLOOKUP(D69,'[5]Tourism Receipts'!$B$6:$B$271,'[5]Tourism Receipts'!$BK$6:$BK$271)</f>
        <v>1370000000</v>
      </c>
      <c r="M69" s="195">
        <f t="shared" si="3"/>
        <v>0.30912859607600685</v>
      </c>
      <c r="N69">
        <f>_xlfn.XLOOKUP(D69,'[6]API_NV.AGR.TOTL.ZS_DS2_en_csv_v'!$B$6:$B$271,'[6]API_NV.AGR.TOTL.ZS_DS2_en_csv_v'!$BL$6:$BL$271)</f>
        <v>11.849117809924</v>
      </c>
      <c r="O69" s="188">
        <f>_xlfn.XLOOKUP(D69,'[7]API_SP.RUR.TOTL_DS2_en_csv_v2_4'!$B$6:$B$271,'[7]API_SP.RUR.TOTL_DS2_en_csv_v2_4'!$BM$6:$BM$271)</f>
        <v>383257</v>
      </c>
      <c r="P69" s="188">
        <f>_xlfn.XLOOKUP(D69,'[8]API_AG.PRD.FOOD.XD_DS2_en_csv_v'!$B$6:$B$271,'[8]API_AG.PRD.FOOD.XD_DS2_en_csv_v'!$BM$6:$BM$271)</f>
        <v>114.8</v>
      </c>
      <c r="Q69">
        <f>_xlfn.XLOOKUP(D69,'[9]API_NE.IMP.GNFS.ZS_DS2_en_csv_v'!$B$6:$B$271,'[9]API_NE.IMP.GNFS.ZS_DS2_en_csv_v'!$BK$6:$BK$271)</f>
        <v>55.523715109346398</v>
      </c>
      <c r="R69">
        <f>_xlfn.XLOOKUP(D69,'[10]API_NE.EXP.GNFS.ZS_DS2_en_csv_v'!$B$6:$B$271,'[10]API_NE.EXP.GNFS.ZS_DS2_en_csv_v'!$BL$6:$BL$271)</f>
        <v>48.131641707421402</v>
      </c>
      <c r="S69">
        <f>_xlfn.XLOOKUP(D69,'[11]API_EG.USE.ELEC.KH.PC_DS2_en_cs'!$B$6:$B$271,'[11]API_EG.USE.ELEC.KH.PC_DS2_en_cs'!$BG$6:$BG$271)</f>
        <v>0</v>
      </c>
      <c r="T69">
        <f>_xlfn.XLOOKUP(D69,'[12]API_EN.POP.DNST_DS2_en_csv_v2_4'!$B$6:$B$271,'[12]API_EN.POP.DNST_DS2_en_csv_v2_4'!$BM$6:$BM$271)</f>
        <v>49.0664477285167</v>
      </c>
    </row>
    <row r="70" spans="1:20" x14ac:dyDescent="0.2">
      <c r="A70" s="161" t="s">
        <v>153</v>
      </c>
      <c r="B70" s="161">
        <v>246</v>
      </c>
      <c r="C70" s="161" t="s">
        <v>104</v>
      </c>
      <c r="D70" t="str">
        <f>_xlfn.XLOOKUP(B70,'Country Code M49'!$B$2:$B$250,'Country Code M49'!$C$2:$C$250,,0)</f>
        <v>FIN</v>
      </c>
      <c r="E70" s="162">
        <v>65.423688821785305</v>
      </c>
      <c r="F70" s="162">
        <v>361936.93129988067</v>
      </c>
      <c r="G70" s="160" t="s">
        <v>873</v>
      </c>
      <c r="H70" s="188">
        <f>_xlfn.XLOOKUP(D70,'[1]World Population'!$C$2:$C$267,'[1]World Population'!$BN$2:$BN$267)</f>
        <v>5529543</v>
      </c>
      <c r="I70" s="188">
        <v>46.925533294677699</v>
      </c>
      <c r="J70" s="194">
        <f>_xlfn.XLOOKUP(D70,'[2]GDP 2015 Constant'!$B$6:$B$271,'[2]GDP 2015 Constant'!$BM$6:$BM$271)</f>
        <v>248883000000</v>
      </c>
      <c r="K70" s="193">
        <f t="shared" si="2"/>
        <v>45009.687057321011</v>
      </c>
      <c r="L70" s="194">
        <f>_xlfn.XLOOKUP(D70,'[5]Tourism Receipts'!$B$6:$B$271,'[5]Tourism Receipts'!$BK$6:$BK$271)</f>
        <v>5762000000</v>
      </c>
      <c r="M70" s="195">
        <f t="shared" si="3"/>
        <v>2.3151440636765067E-2</v>
      </c>
      <c r="N70">
        <f>_xlfn.XLOOKUP(D70,'[6]API_NV.AGR.TOTL.ZS_DS2_en_csv_v'!$B$6:$B$271,'[6]API_NV.AGR.TOTL.ZS_DS2_en_csv_v'!$BL$6:$BL$271)</f>
        <v>2.34936544202258</v>
      </c>
      <c r="O70" s="188">
        <f>_xlfn.XLOOKUP(D70,'[7]API_SP.RUR.TOTL_DS2_en_csv_v2_4'!$B$6:$B$271,'[7]API_SP.RUR.TOTL_DS2_en_csv_v2_4'!$BM$6:$BM$271)</f>
        <v>800844</v>
      </c>
      <c r="P70" s="188">
        <f>_xlfn.XLOOKUP(D70,'[8]API_AG.PRD.FOOD.XD_DS2_en_csv_v'!$B$6:$B$271,'[8]API_AG.PRD.FOOD.XD_DS2_en_csv_v'!$BM$6:$BM$271)</f>
        <v>98.55</v>
      </c>
      <c r="Q70">
        <f>_xlfn.XLOOKUP(D70,'[9]API_NE.IMP.GNFS.ZS_DS2_en_csv_v'!$B$6:$B$271,'[9]API_NE.IMP.GNFS.ZS_DS2_en_csv_v'!$BK$6:$BK$271)</f>
        <v>39.722360237805603</v>
      </c>
      <c r="R70">
        <f>_xlfn.XLOOKUP(D70,'[10]API_NE.EXP.GNFS.ZS_DS2_en_csv_v'!$B$6:$B$271,'[10]API_NE.EXP.GNFS.ZS_DS2_en_csv_v'!$BL$6:$BL$271)</f>
        <v>39.881677034171098</v>
      </c>
      <c r="S70">
        <f>_xlfn.XLOOKUP(D70,'[11]API_EG.USE.ELEC.KH.PC_DS2_en_cs'!$B$6:$B$271,'[11]API_EG.USE.ELEC.KH.PC_DS2_en_cs'!$BG$6:$BG$271)</f>
        <v>15249.989380230199</v>
      </c>
      <c r="T70">
        <f>_xlfn.XLOOKUP(D70,'[12]API_EN.POP.DNST_DS2_en_csv_v2_4'!$B$6:$B$271,'[12]API_EN.POP.DNST_DS2_en_csv_v2_4'!$BM$6:$BM$271)</f>
        <v>18.1928768835954</v>
      </c>
    </row>
    <row r="71" spans="1:20" x14ac:dyDescent="0.2">
      <c r="A71" s="161" t="s">
        <v>147</v>
      </c>
      <c r="B71" s="161">
        <v>250</v>
      </c>
      <c r="C71" s="161" t="s">
        <v>105</v>
      </c>
      <c r="D71" t="str">
        <f>_xlfn.XLOOKUP(B71,'Country Code M49'!$B$2:$B$250,'Country Code M49'!$C$2:$C$250,,0)</f>
        <v>FRA</v>
      </c>
      <c r="E71" s="162">
        <v>84.790171811458606</v>
      </c>
      <c r="F71" s="162">
        <v>5522358.4530287553</v>
      </c>
      <c r="G71" s="160" t="s">
        <v>873</v>
      </c>
      <c r="H71" s="188">
        <f>_xlfn.XLOOKUP(D71,'[1]World Population'!$C$2:$C$267,'[1]World Population'!$BN$2:$BN$267)</f>
        <v>67379908</v>
      </c>
      <c r="I71" s="188">
        <v>7.2413382530212402</v>
      </c>
      <c r="J71" s="194">
        <f>_xlfn.XLOOKUP(D71,'[2]GDP 2015 Constant'!$B$6:$B$271,'[2]GDP 2015 Constant'!$BM$6:$BM$271)</f>
        <v>2411260000000</v>
      </c>
      <c r="K71" s="193">
        <f t="shared" si="2"/>
        <v>35786.038769895618</v>
      </c>
      <c r="L71" s="194">
        <f>_xlfn.XLOOKUP(D71,'[5]Tourism Receipts'!$B$6:$B$271,'[5]Tourism Receipts'!$BK$6:$BK$271)</f>
        <v>72518000000</v>
      </c>
      <c r="M71" s="195">
        <f t="shared" si="3"/>
        <v>3.0074732712357853E-2</v>
      </c>
      <c r="N71">
        <f>_xlfn.XLOOKUP(D71,'[6]API_NV.AGR.TOTL.ZS_DS2_en_csv_v'!$B$6:$B$271,'[6]API_NV.AGR.TOTL.ZS_DS2_en_csv_v'!$BL$6:$BL$271)</f>
        <v>1.52245926892254</v>
      </c>
      <c r="O71" s="188">
        <f>_xlfn.XLOOKUP(D71,'[7]API_SP.RUR.TOTL_DS2_en_csv_v2_4'!$B$6:$B$271,'[7]API_SP.RUR.TOTL_DS2_en_csv_v2_4'!$BM$6:$BM$271)</f>
        <v>12819027</v>
      </c>
      <c r="P71" s="188">
        <f>_xlfn.XLOOKUP(D71,'[8]API_AG.PRD.FOOD.XD_DS2_en_csv_v'!$B$6:$B$271,'[8]API_AG.PRD.FOOD.XD_DS2_en_csv_v'!$BM$6:$BM$271)</f>
        <v>92.19</v>
      </c>
      <c r="Q71">
        <f>_xlfn.XLOOKUP(D71,'[9]API_NE.IMP.GNFS.ZS_DS2_en_csv_v'!$B$6:$B$271,'[9]API_NE.IMP.GNFS.ZS_DS2_en_csv_v'!$BK$6:$BK$271)</f>
        <v>32.724285386657499</v>
      </c>
      <c r="R71">
        <f>_xlfn.XLOOKUP(D71,'[10]API_NE.EXP.GNFS.ZS_DS2_en_csv_v'!$B$6:$B$271,'[10]API_NE.EXP.GNFS.ZS_DS2_en_csv_v'!$BL$6:$BL$271)</f>
        <v>31.592055414366801</v>
      </c>
      <c r="S71">
        <f>_xlfn.XLOOKUP(D71,'[11]API_EG.USE.ELEC.KH.PC_DS2_en_cs'!$B$6:$B$271,'[11]API_EG.USE.ELEC.KH.PC_DS2_en_cs'!$BG$6:$BG$271)</f>
        <v>6939.9435249092703</v>
      </c>
      <c r="T71">
        <f>_xlfn.XLOOKUP(D71,'[12]API_EN.POP.DNST_DS2_en_csv_v2_4'!$B$6:$B$271,'[12]API_EN.POP.DNST_DS2_en_csv_v2_4'!$BM$6:$BM$271)</f>
        <v>123.055513855179</v>
      </c>
    </row>
    <row r="72" spans="1:20" x14ac:dyDescent="0.2">
      <c r="A72" s="161" t="s">
        <v>878</v>
      </c>
      <c r="B72" s="161">
        <v>258</v>
      </c>
      <c r="C72" s="161" t="s">
        <v>782</v>
      </c>
      <c r="D72" t="str">
        <f>_xlfn.XLOOKUP(B72,'Country Code M49'!$B$2:$B$250,'Country Code M49'!$C$2:$C$250,,0)</f>
        <v>PYF</v>
      </c>
      <c r="E72" s="162">
        <v>78.69033303610577</v>
      </c>
      <c r="F72" s="162">
        <v>21978.21001698434</v>
      </c>
      <c r="G72" s="160" t="s">
        <v>872</v>
      </c>
      <c r="H72" s="188">
        <f>_xlfn.XLOOKUP(D72,'[1]World Population'!$C$2:$C$267,'[1]World Population'!$BN$2:$BN$267)</f>
        <v>280904</v>
      </c>
      <c r="I72" s="188">
        <v>100</v>
      </c>
      <c r="J72" s="194">
        <f>_xlfn.XLOOKUP(D72,'[2]GDP 2015 Constant'!$B$6:$B$271,'[2]GDP 2015 Constant'!$BM$6:$BM$271)</f>
        <v>5501937833</v>
      </c>
      <c r="K72" s="193">
        <f t="shared" si="2"/>
        <v>19586.541426964373</v>
      </c>
      <c r="L72" s="194">
        <f>_xlfn.XLOOKUP(D72,'[5]Tourism Receipts'!$B$6:$B$271,'[5]Tourism Receipts'!$BK$6:$BK$271)</f>
        <v>0</v>
      </c>
      <c r="M72" s="195">
        <f t="shared" si="3"/>
        <v>0</v>
      </c>
      <c r="N72">
        <f>_xlfn.XLOOKUP(D72,'[6]API_NV.AGR.TOTL.ZS_DS2_en_csv_v'!$B$6:$B$271,'[6]API_NV.AGR.TOTL.ZS_DS2_en_csv_v'!$BL$6:$BL$271)</f>
        <v>0</v>
      </c>
      <c r="O72" s="188">
        <f>_xlfn.XLOOKUP(D72,'[7]API_SP.RUR.TOTL_DS2_en_csv_v2_4'!$B$6:$B$271,'[7]API_SP.RUR.TOTL_DS2_en_csv_v2_4'!$BM$6:$BM$271)</f>
        <v>106814</v>
      </c>
      <c r="P72" s="188">
        <f>_xlfn.XLOOKUP(D72,'[8]API_AG.PRD.FOOD.XD_DS2_en_csv_v'!$B$6:$B$271,'[8]API_AG.PRD.FOOD.XD_DS2_en_csv_v'!$BM$6:$BM$271)</f>
        <v>102.96</v>
      </c>
      <c r="Q72">
        <f>_xlfn.XLOOKUP(D72,'[9]API_NE.IMP.GNFS.ZS_DS2_en_csv_v'!$B$6:$B$271,'[9]API_NE.IMP.GNFS.ZS_DS2_en_csv_v'!$BK$6:$BK$271)</f>
        <v>0</v>
      </c>
      <c r="R72">
        <f>_xlfn.XLOOKUP(D72,'[10]API_NE.EXP.GNFS.ZS_DS2_en_csv_v'!$B$6:$B$271,'[10]API_NE.EXP.GNFS.ZS_DS2_en_csv_v'!$BL$6:$BL$271)</f>
        <v>20.175142725080899</v>
      </c>
      <c r="S72">
        <f>_xlfn.XLOOKUP(D72,'[11]API_EG.USE.ELEC.KH.PC_DS2_en_cs'!$B$6:$B$271,'[11]API_EG.USE.ELEC.KH.PC_DS2_en_cs'!$BG$6:$BG$271)</f>
        <v>0</v>
      </c>
      <c r="T72">
        <f>_xlfn.XLOOKUP(D72,'[12]API_EN.POP.DNST_DS2_en_csv_v2_4'!$B$6:$B$271,'[12]API_EN.POP.DNST_DS2_en_csv_v2_4'!$BM$6:$BM$271)</f>
        <v>80.928838951310894</v>
      </c>
    </row>
    <row r="73" spans="1:20" x14ac:dyDescent="0.2">
      <c r="A73" s="161" t="s">
        <v>154</v>
      </c>
      <c r="B73" s="161">
        <v>266</v>
      </c>
      <c r="C73" s="161" t="s">
        <v>829</v>
      </c>
      <c r="D73" t="str">
        <f>_xlfn.XLOOKUP(B73,'Country Code M49'!$B$2:$B$250,'Country Code M49'!$C$2:$C$250,,0)</f>
        <v>GAB</v>
      </c>
      <c r="E73" s="162">
        <v>91.939766485050328</v>
      </c>
      <c r="F73" s="162">
        <v>199748.33666542036</v>
      </c>
      <c r="G73" s="160" t="s">
        <v>877</v>
      </c>
      <c r="H73" s="188">
        <f>_xlfn.XLOOKUP(D73,'[1]World Population'!$C$2:$C$267,'[1]World Population'!$BN$2:$BN$267)</f>
        <v>2225728</v>
      </c>
      <c r="I73" s="188">
        <v>99.900001525878906</v>
      </c>
      <c r="J73" s="194">
        <f>_xlfn.XLOOKUP(D73,'[2]GDP 2015 Constant'!$B$6:$B$271,'[2]GDP 2015 Constant'!$BM$6:$BM$271)</f>
        <v>15176119329</v>
      </c>
      <c r="K73" s="193">
        <f t="shared" si="2"/>
        <v>6818.4968374392556</v>
      </c>
      <c r="L73" s="194">
        <f>_xlfn.XLOOKUP(D73,'[5]Tourism Receipts'!$B$6:$B$271,'[5]Tourism Receipts'!$BK$6:$BK$271)</f>
        <v>0</v>
      </c>
      <c r="M73" s="195">
        <f t="shared" si="3"/>
        <v>0</v>
      </c>
      <c r="N73">
        <f>_xlfn.XLOOKUP(D73,'[6]API_NV.AGR.TOTL.ZS_DS2_en_csv_v'!$B$6:$B$271,'[6]API_NV.AGR.TOTL.ZS_DS2_en_csv_v'!$BL$6:$BL$271)</f>
        <v>5.5544308701413003</v>
      </c>
      <c r="O73" s="188">
        <f>_xlfn.XLOOKUP(D73,'[7]API_SP.RUR.TOTL_DS2_en_csv_v2_4'!$B$6:$B$271,'[7]API_SP.RUR.TOTL_DS2_en_csv_v2_4'!$BM$6:$BM$271)</f>
        <v>220525</v>
      </c>
      <c r="P73" s="188">
        <f>_xlfn.XLOOKUP(D73,'[8]API_AG.PRD.FOOD.XD_DS2_en_csv_v'!$B$6:$B$271,'[8]API_AG.PRD.FOOD.XD_DS2_en_csv_v'!$BM$6:$BM$271)</f>
        <v>103.24</v>
      </c>
      <c r="Q73">
        <f>_xlfn.XLOOKUP(D73,'[9]API_NE.IMP.GNFS.ZS_DS2_en_csv_v'!$B$6:$B$271,'[9]API_NE.IMP.GNFS.ZS_DS2_en_csv_v'!$BK$6:$BK$271)</f>
        <v>22.737521206296201</v>
      </c>
      <c r="R73">
        <f>_xlfn.XLOOKUP(D73,'[10]API_NE.EXP.GNFS.ZS_DS2_en_csv_v'!$B$6:$B$271,'[10]API_NE.EXP.GNFS.ZS_DS2_en_csv_v'!$BL$6:$BL$271)</f>
        <v>51.431073227199597</v>
      </c>
      <c r="S73">
        <f>_xlfn.XLOOKUP(D73,'[11]API_EG.USE.ELEC.KH.PC_DS2_en_cs'!$B$6:$B$271,'[11]API_EG.USE.ELEC.KH.PC_DS2_en_cs'!$BG$6:$BG$271)</f>
        <v>1167.85159366621</v>
      </c>
      <c r="T73">
        <f>_xlfn.XLOOKUP(D73,'[12]API_EN.POP.DNST_DS2_en_csv_v2_4'!$B$6:$B$271,'[12]API_EN.POP.DNST_DS2_en_csv_v2_4'!$BM$6:$BM$271)</f>
        <v>8.6379011914464208</v>
      </c>
    </row>
    <row r="74" spans="1:20" x14ac:dyDescent="0.2">
      <c r="A74" s="161" t="s">
        <v>154</v>
      </c>
      <c r="B74" s="161">
        <v>270</v>
      </c>
      <c r="C74" s="161" t="s">
        <v>830</v>
      </c>
      <c r="D74" t="str">
        <f>_xlfn.XLOOKUP(B74,'Country Code M49'!$B$2:$B$250,'Country Code M49'!$C$2:$C$250,,0)</f>
        <v>GMB</v>
      </c>
      <c r="E74" s="162">
        <v>102.69433227860404</v>
      </c>
      <c r="F74" s="162">
        <v>241095.4838904787</v>
      </c>
      <c r="G74" s="160" t="s">
        <v>877</v>
      </c>
      <c r="H74" s="188">
        <f>_xlfn.XLOOKUP(D74,'[1]World Population'!$C$2:$C$267,'[1]World Population'!$BN$2:$BN$267)</f>
        <v>2416664</v>
      </c>
      <c r="I74" s="188">
        <v>100</v>
      </c>
      <c r="J74" s="194">
        <f>_xlfn.XLOOKUP(D74,'[2]GDP 2015 Constant'!$B$6:$B$271,'[2]GDP 2015 Constant'!$BM$6:$BM$271)</f>
        <v>1674141973</v>
      </c>
      <c r="K74" s="193">
        <f t="shared" si="2"/>
        <v>692.74916703356359</v>
      </c>
      <c r="L74" s="194">
        <f>_xlfn.XLOOKUP(D74,'[5]Tourism Receipts'!$B$6:$B$271,'[5]Tourism Receipts'!$BK$6:$BK$271)</f>
        <v>174000000</v>
      </c>
      <c r="M74" s="195">
        <f t="shared" si="3"/>
        <v>0.10393383763516692</v>
      </c>
      <c r="N74">
        <f>_xlfn.XLOOKUP(D74,'[6]API_NV.AGR.TOTL.ZS_DS2_en_csv_v'!$B$6:$B$271,'[6]API_NV.AGR.TOTL.ZS_DS2_en_csv_v'!$BL$6:$BL$271)</f>
        <v>20.004045872555501</v>
      </c>
      <c r="O74" s="188">
        <f>_xlfn.XLOOKUP(D74,'[7]API_SP.RUR.TOTL_DS2_en_csv_v2_4'!$B$6:$B$271,'[7]API_SP.RUR.TOTL_DS2_en_csv_v2_4'!$BM$6:$BM$271)</f>
        <v>904267</v>
      </c>
      <c r="P74" s="188">
        <f>_xlfn.XLOOKUP(D74,'[8]API_AG.PRD.FOOD.XD_DS2_en_csv_v'!$B$6:$B$271,'[8]API_AG.PRD.FOOD.XD_DS2_en_csv_v'!$BM$6:$BM$271)</f>
        <v>101.23</v>
      </c>
      <c r="Q74">
        <f>_xlfn.XLOOKUP(D74,'[9]API_NE.IMP.GNFS.ZS_DS2_en_csv_v'!$B$6:$B$271,'[9]API_NE.IMP.GNFS.ZS_DS2_en_csv_v'!$BK$6:$BK$271)</f>
        <v>41.382682553200603</v>
      </c>
      <c r="R74">
        <f>_xlfn.XLOOKUP(D74,'[10]API_NE.EXP.GNFS.ZS_DS2_en_csv_v'!$B$6:$B$271,'[10]API_NE.EXP.GNFS.ZS_DS2_en_csv_v'!$BL$6:$BL$271)</f>
        <v>18.841397968469501</v>
      </c>
      <c r="S74">
        <f>_xlfn.XLOOKUP(D74,'[11]API_EG.USE.ELEC.KH.PC_DS2_en_cs'!$B$6:$B$271,'[11]API_EG.USE.ELEC.KH.PC_DS2_en_cs'!$BG$6:$BG$271)</f>
        <v>0</v>
      </c>
      <c r="T74">
        <f>_xlfn.XLOOKUP(D74,'[12]API_EN.POP.DNST_DS2_en_csv_v2_4'!$B$6:$B$271,'[12]API_EN.POP.DNST_DS2_en_csv_v2_4'!$BM$6:$BM$271)</f>
        <v>238.80079051383399</v>
      </c>
    </row>
    <row r="75" spans="1:20" x14ac:dyDescent="0.2">
      <c r="A75" s="161" t="s">
        <v>148</v>
      </c>
      <c r="B75" s="161">
        <v>268</v>
      </c>
      <c r="C75" s="161" t="s">
        <v>106</v>
      </c>
      <c r="D75" t="str">
        <f>_xlfn.XLOOKUP(B75,'Country Code M49'!$B$2:$B$250,'Country Code M49'!$C$2:$C$250,,0)</f>
        <v>GEO</v>
      </c>
      <c r="E75" s="162">
        <v>100.974</v>
      </c>
      <c r="F75" s="162">
        <v>403572.88319999998</v>
      </c>
      <c r="G75" s="160" t="s">
        <v>873</v>
      </c>
      <c r="H75" s="188">
        <f>_xlfn.XLOOKUP(D75,'[1]World Population'!$C$2:$C$267,'[1]World Population'!$BN$2:$BN$267)</f>
        <v>3722716</v>
      </c>
      <c r="I75" s="188">
        <v>93.206710815429702</v>
      </c>
      <c r="J75" s="194">
        <f>_xlfn.XLOOKUP(D75,'[2]GDP 2015 Constant'!$B$6:$B$271,'[2]GDP 2015 Constant'!$BM$6:$BM$271)</f>
        <v>16557390869</v>
      </c>
      <c r="K75" s="193">
        <f t="shared" si="2"/>
        <v>4447.6642507781953</v>
      </c>
      <c r="L75" s="194">
        <f>_xlfn.XLOOKUP(D75,'[5]Tourism Receipts'!$B$6:$B$271,'[5]Tourism Receipts'!$BK$6:$BK$271)</f>
        <v>3518000000</v>
      </c>
      <c r="M75" s="195">
        <f t="shared" si="3"/>
        <v>0.2124730899834385</v>
      </c>
      <c r="N75">
        <f>_xlfn.XLOOKUP(D75,'[6]API_NV.AGR.TOTL.ZS_DS2_en_csv_v'!$B$6:$B$271,'[6]API_NV.AGR.TOTL.ZS_DS2_en_csv_v'!$BL$6:$BL$271)</f>
        <v>6.5045891872234698</v>
      </c>
      <c r="O75" s="188">
        <f>_xlfn.XLOOKUP(D75,'[7]API_SP.RUR.TOTL_DS2_en_csv_v2_4'!$B$6:$B$271,'[7]API_SP.RUR.TOTL_DS2_en_csv_v2_4'!$BM$6:$BM$271)</f>
        <v>1509450</v>
      </c>
      <c r="P75" s="188">
        <f>_xlfn.XLOOKUP(D75,'[8]API_AG.PRD.FOOD.XD_DS2_en_csv_v'!$B$6:$B$271,'[8]API_AG.PRD.FOOD.XD_DS2_en_csv_v'!$BM$6:$BM$271)</f>
        <v>115.93</v>
      </c>
      <c r="Q75">
        <f>_xlfn.XLOOKUP(D75,'[9]API_NE.IMP.GNFS.ZS_DS2_en_csv_v'!$B$6:$B$271,'[9]API_NE.IMP.GNFS.ZS_DS2_en_csv_v'!$BK$6:$BK$271)</f>
        <v>61.197011618990402</v>
      </c>
      <c r="R75">
        <f>_xlfn.XLOOKUP(D75,'[10]API_NE.EXP.GNFS.ZS_DS2_en_csv_v'!$B$6:$B$271,'[10]API_NE.EXP.GNFS.ZS_DS2_en_csv_v'!$BL$6:$BL$271)</f>
        <v>54.818493141138099</v>
      </c>
      <c r="S75">
        <f>_xlfn.XLOOKUP(D75,'[11]API_EG.USE.ELEC.KH.PC_DS2_en_cs'!$B$6:$B$271,'[11]API_EG.USE.ELEC.KH.PC_DS2_en_cs'!$BG$6:$BG$271)</f>
        <v>2693.9727602251301</v>
      </c>
      <c r="T75">
        <f>_xlfn.XLOOKUP(D75,'[12]API_EN.POP.DNST_DS2_en_csv_v2_4'!$B$6:$B$271,'[12]API_EN.POP.DNST_DS2_en_csv_v2_4'!$BM$6:$BM$271)</f>
        <v>65.130270478323197</v>
      </c>
    </row>
    <row r="76" spans="1:20" x14ac:dyDescent="0.2">
      <c r="A76" s="161" t="s">
        <v>147</v>
      </c>
      <c r="B76" s="161">
        <v>276</v>
      </c>
      <c r="C76" s="161" t="s">
        <v>107</v>
      </c>
      <c r="D76" t="str">
        <f>_xlfn.XLOOKUP(B76,'Country Code M49'!$B$2:$B$250,'Country Code M49'!$C$2:$C$250,,0)</f>
        <v>DEU</v>
      </c>
      <c r="E76" s="162">
        <v>75</v>
      </c>
      <c r="F76" s="162">
        <v>6263775</v>
      </c>
      <c r="G76" s="160" t="s">
        <v>870</v>
      </c>
      <c r="H76" s="188">
        <f>_xlfn.XLOOKUP(D76,'[1]World Population'!$C$2:$C$267,'[1]World Population'!$BN$2:$BN$267)</f>
        <v>83160871</v>
      </c>
      <c r="I76" s="188">
        <v>100</v>
      </c>
      <c r="J76" s="194">
        <f>_xlfn.XLOOKUP(D76,'[2]GDP 2015 Constant'!$B$6:$B$271,'[2]GDP 2015 Constant'!$BM$6:$BM$271)</f>
        <v>3435820000000</v>
      </c>
      <c r="K76" s="193">
        <f t="shared" si="2"/>
        <v>41315.344087726065</v>
      </c>
      <c r="L76" s="194">
        <f>_xlfn.XLOOKUP(D76,'[5]Tourism Receipts'!$B$6:$B$271,'[5]Tourism Receipts'!$BK$6:$BK$271)</f>
        <v>59446000000</v>
      </c>
      <c r="M76" s="195">
        <f t="shared" si="3"/>
        <v>1.7301837698133198E-2</v>
      </c>
      <c r="N76">
        <f>_xlfn.XLOOKUP(D76,'[6]API_NV.AGR.TOTL.ZS_DS2_en_csv_v'!$B$6:$B$271,'[6]API_NV.AGR.TOTL.ZS_DS2_en_csv_v'!$BL$6:$BL$271)</f>
        <v>0.77898858450775199</v>
      </c>
      <c r="O76" s="188">
        <f>_xlfn.XLOOKUP(D76,'[7]API_SP.RUR.TOTL_DS2_en_csv_v2_4'!$B$6:$B$271,'[7]API_SP.RUR.TOTL_DS2_en_csv_v2_4'!$BM$6:$BM$271)</f>
        <v>18750282</v>
      </c>
      <c r="P76" s="188">
        <f>_xlfn.XLOOKUP(D76,'[8]API_AG.PRD.FOOD.XD_DS2_en_csv_v'!$B$6:$B$271,'[8]API_AG.PRD.FOOD.XD_DS2_en_csv_v'!$BM$6:$BM$271)</f>
        <v>94.74</v>
      </c>
      <c r="Q76">
        <f>_xlfn.XLOOKUP(D76,'[9]API_NE.IMP.GNFS.ZS_DS2_en_csv_v'!$B$6:$B$271,'[9]API_NE.IMP.GNFS.ZS_DS2_en_csv_v'!$BK$6:$BK$271)</f>
        <v>41.133360650383302</v>
      </c>
      <c r="R76">
        <f>_xlfn.XLOOKUP(D76,'[10]API_NE.EXP.GNFS.ZS_DS2_en_csv_v'!$B$6:$B$271,'[10]API_NE.EXP.GNFS.ZS_DS2_en_csv_v'!$BL$6:$BL$271)</f>
        <v>46.624238847222401</v>
      </c>
      <c r="S76">
        <f>_xlfn.XLOOKUP(D76,'[11]API_EG.USE.ELEC.KH.PC_DS2_en_cs'!$B$6:$B$271,'[11]API_EG.USE.ELEC.KH.PC_DS2_en_cs'!$BG$6:$BG$271)</f>
        <v>7035.4829747167596</v>
      </c>
      <c r="T76">
        <f>_xlfn.XLOOKUP(D76,'[12]API_EN.POP.DNST_DS2_en_csv_v2_4'!$B$6:$B$271,'[12]API_EN.POP.DNST_DS2_en_csv_v2_4'!$BM$6:$BM$271)</f>
        <v>238.01731875554501</v>
      </c>
    </row>
    <row r="77" spans="1:20" x14ac:dyDescent="0.2">
      <c r="A77" s="161" t="s">
        <v>154</v>
      </c>
      <c r="B77" s="161">
        <v>288</v>
      </c>
      <c r="C77" s="161" t="s">
        <v>108</v>
      </c>
      <c r="D77" t="str">
        <f>_xlfn.XLOOKUP(B77,'Country Code M49'!$B$2:$B$250,'Country Code M49'!$C$2:$C$250,,0)</f>
        <v>GHA</v>
      </c>
      <c r="E77" s="162">
        <v>84.007500000000007</v>
      </c>
      <c r="F77" s="162">
        <v>2555331.7342500002</v>
      </c>
      <c r="G77" s="160" t="s">
        <v>870</v>
      </c>
      <c r="H77" s="188">
        <f>_xlfn.XLOOKUP(D77,'[1]World Population'!$C$2:$C$267,'[1]World Population'!$BN$2:$BN$267)</f>
        <v>31072945</v>
      </c>
      <c r="I77" s="188">
        <v>99.779296875</v>
      </c>
      <c r="J77" s="194">
        <f>_xlfn.XLOOKUP(D77,'[2]GDP 2015 Constant'!$B$6:$B$271,'[2]GDP 2015 Constant'!$BM$6:$BM$271)</f>
        <v>62786746874</v>
      </c>
      <c r="K77" s="193">
        <f t="shared" si="2"/>
        <v>2020.6242721441433</v>
      </c>
      <c r="L77" s="194">
        <f>_xlfn.XLOOKUP(D77,'[5]Tourism Receipts'!$B$6:$B$271,'[5]Tourism Receipts'!$BK$6:$BK$271)</f>
        <v>996000000</v>
      </c>
      <c r="M77" s="195">
        <f t="shared" si="3"/>
        <v>1.5863220338501783E-2</v>
      </c>
      <c r="N77">
        <f>_xlfn.XLOOKUP(D77,'[6]API_NV.AGR.TOTL.ZS_DS2_en_csv_v'!$B$6:$B$271,'[6]API_NV.AGR.TOTL.ZS_DS2_en_csv_v'!$BL$6:$BL$271)</f>
        <v>17.323229997398801</v>
      </c>
      <c r="O77" s="188">
        <f>_xlfn.XLOOKUP(D77,'[7]API_SP.RUR.TOTL_DS2_en_csv_v2_4'!$B$6:$B$271,'[7]API_SP.RUR.TOTL_DS2_en_csv_v2_4'!$BM$6:$BM$271)</f>
        <v>13252922</v>
      </c>
      <c r="P77" s="188">
        <f>_xlfn.XLOOKUP(D77,'[8]API_AG.PRD.FOOD.XD_DS2_en_csv_v'!$B$6:$B$271,'[8]API_AG.PRD.FOOD.XD_DS2_en_csv_v'!$BM$6:$BM$271)</f>
        <v>115.64</v>
      </c>
      <c r="Q77">
        <f>_xlfn.XLOOKUP(D77,'[9]API_NE.IMP.GNFS.ZS_DS2_en_csv_v'!$B$6:$B$271,'[9]API_NE.IMP.GNFS.ZS_DS2_en_csv_v'!$BK$6:$BK$271)</f>
        <v>34.503622462809801</v>
      </c>
      <c r="R77">
        <f>_xlfn.XLOOKUP(D77,'[10]API_NE.EXP.GNFS.ZS_DS2_en_csv_v'!$B$6:$B$271,'[10]API_NE.EXP.GNFS.ZS_DS2_en_csv_v'!$BL$6:$BL$271)</f>
        <v>37.449599421384399</v>
      </c>
      <c r="S77">
        <f>_xlfn.XLOOKUP(D77,'[11]API_EG.USE.ELEC.KH.PC_DS2_en_cs'!$B$6:$B$271,'[11]API_EG.USE.ELEC.KH.PC_DS2_en_cs'!$BG$6:$BG$271)</f>
        <v>351.30147573066603</v>
      </c>
      <c r="T77">
        <f>_xlfn.XLOOKUP(D77,'[12]API_EN.POP.DNST_DS2_en_csv_v2_4'!$B$6:$B$271,'[12]API_EN.POP.DNST_DS2_en_csv_v2_4'!$BM$6:$BM$271)</f>
        <v>136.564564261008</v>
      </c>
    </row>
    <row r="78" spans="1:20" x14ac:dyDescent="0.2">
      <c r="A78" s="161" t="s">
        <v>155</v>
      </c>
      <c r="B78" s="161">
        <v>292</v>
      </c>
      <c r="C78" s="161" t="s">
        <v>806</v>
      </c>
      <c r="D78" t="str">
        <f>_xlfn.XLOOKUP(B78,'Country Code M49'!$B$2:$B$250,'Country Code M49'!$C$2:$C$250,,0)</f>
        <v>GIB</v>
      </c>
      <c r="E78" s="162">
        <v>84.272380315674425</v>
      </c>
      <c r="F78" s="162">
        <v>2839.9792166382281</v>
      </c>
      <c r="G78" s="160" t="s">
        <v>877</v>
      </c>
      <c r="H78" s="188">
        <f>_xlfn.XLOOKUP(D78,'[1]World Population'!$C$2:$C$267,'[1]World Population'!$BN$2:$BN$267)</f>
        <v>33691</v>
      </c>
      <c r="I78" s="188">
        <v>60.400001525878899</v>
      </c>
      <c r="J78" s="194" t="e">
        <f>_xlfn.XLOOKUP(D78,'[2]GDP 2015 Constant'!$B$6:$B$271,'[2]GDP 2015 Constant'!$BM$6:$BM$271)</f>
        <v>#REF!</v>
      </c>
      <c r="K78" s="193" t="e">
        <f t="shared" si="2"/>
        <v>#REF!</v>
      </c>
      <c r="L78" s="194">
        <f>_xlfn.XLOOKUP(D78,'[5]Tourism Receipts'!$B$6:$B$271,'[5]Tourism Receipts'!$BK$6:$BK$271)</f>
        <v>0</v>
      </c>
      <c r="M78" s="195" t="e">
        <f t="shared" si="3"/>
        <v>#REF!</v>
      </c>
      <c r="N78">
        <f>_xlfn.XLOOKUP(D78,'[6]API_NV.AGR.TOTL.ZS_DS2_en_csv_v'!$B$6:$B$271,'[6]API_NV.AGR.TOTL.ZS_DS2_en_csv_v'!$BL$6:$BL$271)</f>
        <v>0</v>
      </c>
      <c r="O78" s="188">
        <f>_xlfn.XLOOKUP(D78,'[7]API_SP.RUR.TOTL_DS2_en_csv_v2_4'!$B$6:$B$271,'[7]API_SP.RUR.TOTL_DS2_en_csv_v2_4'!$BM$6:$BM$271)</f>
        <v>0</v>
      </c>
      <c r="P78" s="188">
        <f>_xlfn.XLOOKUP(D78,'[8]API_AG.PRD.FOOD.XD_DS2_en_csv_v'!$B$6:$B$271,'[8]API_AG.PRD.FOOD.XD_DS2_en_csv_v'!$BM$6:$BM$271)</f>
        <v>0</v>
      </c>
      <c r="Q78">
        <f>_xlfn.XLOOKUP(D78,'[9]API_NE.IMP.GNFS.ZS_DS2_en_csv_v'!$B$6:$B$271,'[9]API_NE.IMP.GNFS.ZS_DS2_en_csv_v'!$BK$6:$BK$271)</f>
        <v>0</v>
      </c>
      <c r="R78">
        <f>_xlfn.XLOOKUP(D78,'[10]API_NE.EXP.GNFS.ZS_DS2_en_csv_v'!$B$6:$B$271,'[10]API_NE.EXP.GNFS.ZS_DS2_en_csv_v'!$BL$6:$BL$271)</f>
        <v>0</v>
      </c>
      <c r="S78">
        <f>_xlfn.XLOOKUP(D78,'[11]API_EG.USE.ELEC.KH.PC_DS2_en_cs'!$B$6:$B$271,'[11]API_EG.USE.ELEC.KH.PC_DS2_en_cs'!$BG$6:$BG$271)</f>
        <v>5692.9371997865101</v>
      </c>
      <c r="T78">
        <f>_xlfn.XLOOKUP(D78,'[12]API_EN.POP.DNST_DS2_en_csv_v2_4'!$B$6:$B$271,'[12]API_EN.POP.DNST_DS2_en_csv_v2_4'!$BM$6:$BM$271)</f>
        <v>3369.1</v>
      </c>
    </row>
    <row r="79" spans="1:20" x14ac:dyDescent="0.2">
      <c r="A79" s="161" t="s">
        <v>155</v>
      </c>
      <c r="B79" s="161">
        <v>300</v>
      </c>
      <c r="C79" s="161" t="s">
        <v>109</v>
      </c>
      <c r="D79" t="str">
        <f>_xlfn.XLOOKUP(B79,'Country Code M49'!$B$2:$B$250,'Country Code M49'!$C$2:$C$250,,0)</f>
        <v>GRC</v>
      </c>
      <c r="E79" s="162">
        <v>141.69054441260747</v>
      </c>
      <c r="F79" s="162">
        <v>1483995.9169054443</v>
      </c>
      <c r="G79" s="160" t="s">
        <v>873</v>
      </c>
      <c r="H79" s="188">
        <f>_xlfn.XLOOKUP(D79,'[1]World Population'!$C$2:$C$267,'[1]World Population'!$BN$2:$BN$267)</f>
        <v>10700556</v>
      </c>
      <c r="I79" s="188">
        <v>100</v>
      </c>
      <c r="J79" s="194">
        <f>_xlfn.XLOOKUP(D79,'[2]GDP 2015 Constant'!$B$6:$B$271,'[2]GDP 2015 Constant'!$BM$6:$BM$271)</f>
        <v>185375000000</v>
      </c>
      <c r="K79" s="193">
        <f t="shared" si="2"/>
        <v>17323.866161720944</v>
      </c>
      <c r="L79" s="194">
        <f>_xlfn.XLOOKUP(D79,'[5]Tourism Receipts'!$B$6:$B$271,'[5]Tourism Receipts'!$BK$6:$BK$271)</f>
        <v>21594000000</v>
      </c>
      <c r="M79" s="195">
        <f t="shared" si="3"/>
        <v>0.1164881995954147</v>
      </c>
      <c r="N79">
        <f>_xlfn.XLOOKUP(D79,'[6]API_NV.AGR.TOTL.ZS_DS2_en_csv_v'!$B$6:$B$271,'[6]API_NV.AGR.TOTL.ZS_DS2_en_csv_v'!$BL$6:$BL$271)</f>
        <v>3.77962501702793</v>
      </c>
      <c r="O79" s="188">
        <f>_xlfn.XLOOKUP(D79,'[7]API_SP.RUR.TOTL_DS2_en_csv_v2_4'!$B$6:$B$271,'[7]API_SP.RUR.TOTL_DS2_en_csv_v2_4'!$BM$6:$BM$271)</f>
        <v>2170608</v>
      </c>
      <c r="P79" s="188">
        <f>_xlfn.XLOOKUP(D79,'[8]API_AG.PRD.FOOD.XD_DS2_en_csv_v'!$B$6:$B$271,'[8]API_AG.PRD.FOOD.XD_DS2_en_csv_v'!$BM$6:$BM$271)</f>
        <v>99.26</v>
      </c>
      <c r="Q79">
        <f>_xlfn.XLOOKUP(D79,'[9]API_NE.IMP.GNFS.ZS_DS2_en_csv_v'!$B$6:$B$271,'[9]API_NE.IMP.GNFS.ZS_DS2_en_csv_v'!$BK$6:$BK$271)</f>
        <v>41.157120456381897</v>
      </c>
      <c r="R79">
        <f>_xlfn.XLOOKUP(D79,'[10]API_NE.EXP.GNFS.ZS_DS2_en_csv_v'!$B$6:$B$271,'[10]API_NE.EXP.GNFS.ZS_DS2_en_csv_v'!$BL$6:$BL$271)</f>
        <v>40.132156109169998</v>
      </c>
      <c r="S79">
        <f>_xlfn.XLOOKUP(D79,'[11]API_EG.USE.ELEC.KH.PC_DS2_en_cs'!$B$6:$B$271,'[11]API_EG.USE.ELEC.KH.PC_DS2_en_cs'!$BG$6:$BG$271)</f>
        <v>5062.6064215523202</v>
      </c>
      <c r="T79">
        <f>_xlfn.XLOOKUP(D79,'[12]API_EN.POP.DNST_DS2_en_csv_v2_4'!$B$6:$B$271,'[12]API_EN.POP.DNST_DS2_en_csv_v2_4'!$BM$6:$BM$271)</f>
        <v>83.014398758727694</v>
      </c>
    </row>
    <row r="80" spans="1:20" x14ac:dyDescent="0.2">
      <c r="A80" s="161" t="s">
        <v>151</v>
      </c>
      <c r="B80" s="161">
        <v>304</v>
      </c>
      <c r="C80" s="161" t="s">
        <v>772</v>
      </c>
      <c r="D80" t="str">
        <f>_xlfn.XLOOKUP(B80,'Country Code M49'!$B$2:$B$250,'Country Code M49'!$C$2:$C$250,,0)</f>
        <v>GRL</v>
      </c>
      <c r="E80" s="162">
        <v>73.688879646838529</v>
      </c>
      <c r="F80" s="162">
        <v>4178.1594759757445</v>
      </c>
      <c r="G80" s="160" t="s">
        <v>872</v>
      </c>
      <c r="H80" s="188">
        <f>_xlfn.XLOOKUP(D80,'[1]World Population'!$C$2:$C$267,'[1]World Population'!$BN$2:$BN$267)</f>
        <v>56367</v>
      </c>
      <c r="I80" s="188">
        <v>53.997432708740199</v>
      </c>
      <c r="J80" s="194">
        <f>_xlfn.XLOOKUP(D80,'[2]GDP 2015 Constant'!$B$6:$B$271,'[2]GDP 2015 Constant'!$BM$6:$BM$271)</f>
        <v>2703236956</v>
      </c>
      <c r="K80" s="193">
        <f t="shared" si="2"/>
        <v>47957.793673603352</v>
      </c>
      <c r="L80" s="194">
        <f>_xlfn.XLOOKUP(D80,'[5]Tourism Receipts'!$B$6:$B$271,'[5]Tourism Receipts'!$BK$6:$BK$271)</f>
        <v>0</v>
      </c>
      <c r="M80" s="195">
        <f t="shared" si="3"/>
        <v>0</v>
      </c>
      <c r="N80">
        <f>_xlfn.XLOOKUP(D80,'[6]API_NV.AGR.TOTL.ZS_DS2_en_csv_v'!$B$6:$B$271,'[6]API_NV.AGR.TOTL.ZS_DS2_en_csv_v'!$BL$6:$BL$271)</f>
        <v>18.178904779073001</v>
      </c>
      <c r="O80" s="188">
        <f>_xlfn.XLOOKUP(D80,'[7]API_SP.RUR.TOTL_DS2_en_csv_v2_4'!$B$6:$B$271,'[7]API_SP.RUR.TOTL_DS2_en_csv_v2_4'!$BM$6:$BM$271)</f>
        <v>7169</v>
      </c>
      <c r="P80" s="188">
        <f>_xlfn.XLOOKUP(D80,'[8]API_AG.PRD.FOOD.XD_DS2_en_csv_v'!$B$6:$B$271,'[8]API_AG.PRD.FOOD.XD_DS2_en_csv_v'!$BM$6:$BM$271)</f>
        <v>0</v>
      </c>
      <c r="Q80">
        <f>_xlfn.XLOOKUP(D80,'[9]API_NE.IMP.GNFS.ZS_DS2_en_csv_v'!$B$6:$B$271,'[9]API_NE.IMP.GNFS.ZS_DS2_en_csv_v'!$BK$6:$BK$271)</f>
        <v>45.322111722057798</v>
      </c>
      <c r="R80">
        <f>_xlfn.XLOOKUP(D80,'[10]API_NE.EXP.GNFS.ZS_DS2_en_csv_v'!$B$6:$B$271,'[10]API_NE.EXP.GNFS.ZS_DS2_en_csv_v'!$BL$6:$BL$271)</f>
        <v>41.083804029964298</v>
      </c>
      <c r="S80">
        <f>_xlfn.XLOOKUP(D80,'[11]API_EG.USE.ELEC.KH.PC_DS2_en_cs'!$B$6:$B$271,'[11]API_EG.USE.ELEC.KH.PC_DS2_en_cs'!$BG$6:$BG$271)</f>
        <v>0</v>
      </c>
      <c r="T80">
        <f>_xlfn.XLOOKUP(D80,'[12]API_EN.POP.DNST_DS2_en_csv_v2_4'!$B$6:$B$271,'[12]API_EN.POP.DNST_DS2_en_csv_v2_4'!$BM$6:$BM$271)</f>
        <v>0.13732976001949099</v>
      </c>
    </row>
    <row r="81" spans="1:20" x14ac:dyDescent="0.2">
      <c r="A81" s="161" t="s">
        <v>150</v>
      </c>
      <c r="B81" s="161">
        <v>308</v>
      </c>
      <c r="C81" s="161" t="s">
        <v>726</v>
      </c>
      <c r="D81" t="str">
        <f>_xlfn.XLOOKUP(B81,'Country Code M49'!$B$2:$B$250,'Country Code M49'!$C$2:$C$250,,0)</f>
        <v>GRD</v>
      </c>
      <c r="E81" s="162">
        <v>72.432162730095172</v>
      </c>
      <c r="F81" s="162">
        <v>8112.4022257706592</v>
      </c>
      <c r="G81" s="160" t="s">
        <v>872</v>
      </c>
      <c r="H81" s="188">
        <f>_xlfn.XLOOKUP(D81,'[1]World Population'!$C$2:$C$267,'[1]World Population'!$BN$2:$BN$267)</f>
        <v>112519</v>
      </c>
      <c r="I81" s="188">
        <v>26.200885772705099</v>
      </c>
      <c r="J81" s="194">
        <f>_xlfn.XLOOKUP(D81,'[2]GDP 2015 Constant'!$B$6:$B$271,'[2]GDP 2015 Constant'!$BM$6:$BM$271)</f>
        <v>978815313.89999998</v>
      </c>
      <c r="K81" s="193">
        <f t="shared" si="2"/>
        <v>8699.1113847439101</v>
      </c>
      <c r="L81" s="194">
        <f>_xlfn.XLOOKUP(D81,'[5]Tourism Receipts'!$B$6:$B$271,'[5]Tourism Receipts'!$BK$6:$BK$271)</f>
        <v>548000000</v>
      </c>
      <c r="M81" s="195">
        <f t="shared" si="3"/>
        <v>0.55986046828031755</v>
      </c>
      <c r="N81">
        <f>_xlfn.XLOOKUP(D81,'[6]API_NV.AGR.TOTL.ZS_DS2_en_csv_v'!$B$6:$B$271,'[6]API_NV.AGR.TOTL.ZS_DS2_en_csv_v'!$BL$6:$BL$271)</f>
        <v>4.6795120268830797</v>
      </c>
      <c r="O81" s="188">
        <f>_xlfn.XLOOKUP(D81,'[7]API_SP.RUR.TOTL_DS2_en_csv_v2_4'!$B$6:$B$271,'[7]API_SP.RUR.TOTL_DS2_en_csv_v2_4'!$BM$6:$BM$271)</f>
        <v>71408</v>
      </c>
      <c r="P81" s="188">
        <f>_xlfn.XLOOKUP(D81,'[8]API_AG.PRD.FOOD.XD_DS2_en_csv_v'!$B$6:$B$271,'[8]API_AG.PRD.FOOD.XD_DS2_en_csv_v'!$BM$6:$BM$271)</f>
        <v>91.56</v>
      </c>
      <c r="Q81">
        <f>_xlfn.XLOOKUP(D81,'[9]API_NE.IMP.GNFS.ZS_DS2_en_csv_v'!$B$6:$B$271,'[9]API_NE.IMP.GNFS.ZS_DS2_en_csv_v'!$BK$6:$BK$271)</f>
        <v>0</v>
      </c>
      <c r="R81">
        <f>_xlfn.XLOOKUP(D81,'[10]API_NE.EXP.GNFS.ZS_DS2_en_csv_v'!$B$6:$B$271,'[10]API_NE.EXP.GNFS.ZS_DS2_en_csv_v'!$BL$6:$BL$271)</f>
        <v>0</v>
      </c>
      <c r="S81">
        <f>_xlfn.XLOOKUP(D81,'[11]API_EG.USE.ELEC.KH.PC_DS2_en_cs'!$B$6:$B$271,'[11]API_EG.USE.ELEC.KH.PC_DS2_en_cs'!$BG$6:$BG$271)</f>
        <v>0</v>
      </c>
      <c r="T81">
        <f>_xlfn.XLOOKUP(D81,'[12]API_EN.POP.DNST_DS2_en_csv_v2_4'!$B$6:$B$271,'[12]API_EN.POP.DNST_DS2_en_csv_v2_4'!$BM$6:$BM$271)</f>
        <v>330.93823529411799</v>
      </c>
    </row>
    <row r="82" spans="1:20" x14ac:dyDescent="0.2">
      <c r="A82" s="161" t="s">
        <v>875</v>
      </c>
      <c r="B82" s="161">
        <v>316</v>
      </c>
      <c r="C82" s="161" t="s">
        <v>757</v>
      </c>
      <c r="D82" t="str">
        <f>_xlfn.XLOOKUP(B82,'Country Code M49'!$B$2:$B$250,'Country Code M49'!$C$2:$C$250,,0)</f>
        <v>GUM</v>
      </c>
      <c r="E82" s="162">
        <v>78.69033303610577</v>
      </c>
      <c r="F82" s="162">
        <v>13164.892716940496</v>
      </c>
      <c r="G82" s="160" t="s">
        <v>872</v>
      </c>
      <c r="H82" s="188">
        <f>_xlfn.XLOOKUP(D82,'[1]World Population'!$C$2:$C$267,'[1]World Population'!$BN$2:$BN$267)</f>
        <v>168783</v>
      </c>
      <c r="I82" s="188">
        <v>100</v>
      </c>
      <c r="J82" s="194">
        <f>_xlfn.XLOOKUP(D82,'[2]GDP 2015 Constant'!$B$6:$B$271,'[2]GDP 2015 Constant'!$BM$6:$BM$271)</f>
        <v>5259729936</v>
      </c>
      <c r="K82" s="193">
        <f t="shared" si="2"/>
        <v>31162.675956701802</v>
      </c>
      <c r="L82" s="194">
        <f>_xlfn.XLOOKUP(D82,'[5]Tourism Receipts'!$B$6:$B$271,'[5]Tourism Receipts'!$BK$6:$BK$271)</f>
        <v>0</v>
      </c>
      <c r="M82" s="195">
        <f t="shared" si="3"/>
        <v>0</v>
      </c>
      <c r="N82">
        <f>_xlfn.XLOOKUP(D82,'[6]API_NV.AGR.TOTL.ZS_DS2_en_csv_v'!$B$6:$B$271,'[6]API_NV.AGR.TOTL.ZS_DS2_en_csv_v'!$BL$6:$BL$271)</f>
        <v>0</v>
      </c>
      <c r="O82" s="188">
        <f>_xlfn.XLOOKUP(D82,'[7]API_SP.RUR.TOTL_DS2_en_csv_v2_4'!$B$6:$B$271,'[7]API_SP.RUR.TOTL_DS2_en_csv_v2_4'!$BM$6:$BM$271)</f>
        <v>8544</v>
      </c>
      <c r="P82" s="188">
        <f>_xlfn.XLOOKUP(D82,'[8]API_AG.PRD.FOOD.XD_DS2_en_csv_v'!$B$6:$B$271,'[8]API_AG.PRD.FOOD.XD_DS2_en_csv_v'!$BM$6:$BM$271)</f>
        <v>0</v>
      </c>
      <c r="Q82">
        <f>_xlfn.XLOOKUP(D82,'[9]API_NE.IMP.GNFS.ZS_DS2_en_csv_v'!$B$6:$B$271,'[9]API_NE.IMP.GNFS.ZS_DS2_en_csv_v'!$BK$6:$BK$271)</f>
        <v>53.6633663366337</v>
      </c>
      <c r="R82">
        <f>_xlfn.XLOOKUP(D82,'[10]API_NE.EXP.GNFS.ZS_DS2_en_csv_v'!$B$6:$B$271,'[10]API_NE.EXP.GNFS.ZS_DS2_en_csv_v'!$BL$6:$BL$271)</f>
        <v>22.0458830923947</v>
      </c>
      <c r="S82">
        <f>_xlfn.XLOOKUP(D82,'[11]API_EG.USE.ELEC.KH.PC_DS2_en_cs'!$B$6:$B$271,'[11]API_EG.USE.ELEC.KH.PC_DS2_en_cs'!$BG$6:$BG$271)</f>
        <v>0</v>
      </c>
      <c r="T82">
        <f>_xlfn.XLOOKUP(D82,'[12]API_EN.POP.DNST_DS2_en_csv_v2_4'!$B$6:$B$271,'[12]API_EN.POP.DNST_DS2_en_csv_v2_4'!$BM$6:$BM$271)</f>
        <v>312.56111111111102</v>
      </c>
    </row>
    <row r="83" spans="1:20" x14ac:dyDescent="0.2">
      <c r="A83" s="161" t="s">
        <v>150</v>
      </c>
      <c r="B83" s="161">
        <v>320</v>
      </c>
      <c r="C83" s="161" t="s">
        <v>728</v>
      </c>
      <c r="D83" t="str">
        <f>_xlfn.XLOOKUP(B83,'Country Code M49'!$B$2:$B$250,'Country Code M49'!$C$2:$C$250,,0)</f>
        <v>GTM</v>
      </c>
      <c r="E83" s="162">
        <v>72.432162730095172</v>
      </c>
      <c r="F83" s="162">
        <v>1273466.0690391683</v>
      </c>
      <c r="G83" s="160" t="s">
        <v>872</v>
      </c>
      <c r="H83" s="188">
        <f>_xlfn.XLOOKUP(D83,'[1]World Population'!$C$2:$C$267,'[1]World Population'!$BN$2:$BN$267)</f>
        <v>16858333</v>
      </c>
      <c r="I83" s="188">
        <v>100</v>
      </c>
      <c r="J83" s="194">
        <f>_xlfn.XLOOKUP(D83,'[2]GDP 2015 Constant'!$B$6:$B$271,'[2]GDP 2015 Constant'!$BM$6:$BM$271)</f>
        <v>69560945138</v>
      </c>
      <c r="K83" s="193">
        <f t="shared" si="2"/>
        <v>4126.2054283777643</v>
      </c>
      <c r="L83" s="194">
        <f>_xlfn.XLOOKUP(D83,'[5]Tourism Receipts'!$B$6:$B$271,'[5]Tourism Receipts'!$BK$6:$BK$271)</f>
        <v>1235099976</v>
      </c>
      <c r="M83" s="195">
        <f t="shared" si="3"/>
        <v>1.7755652594278585E-2</v>
      </c>
      <c r="N83">
        <f>_xlfn.XLOOKUP(D83,'[6]API_NV.AGR.TOTL.ZS_DS2_en_csv_v'!$B$6:$B$271,'[6]API_NV.AGR.TOTL.ZS_DS2_en_csv_v'!$BL$6:$BL$271)</f>
        <v>9.4342141738807292</v>
      </c>
      <c r="O83" s="188">
        <f>_xlfn.XLOOKUP(D83,'[7]API_SP.RUR.TOTL_DS2_en_csv_v2_4'!$B$6:$B$271,'[7]API_SP.RUR.TOTL_DS2_en_csv_v2_4'!$BM$6:$BM$271)</f>
        <v>8119648</v>
      </c>
      <c r="P83" s="188">
        <f>_xlfn.XLOOKUP(D83,'[8]API_AG.PRD.FOOD.XD_DS2_en_csv_v'!$B$6:$B$271,'[8]API_AG.PRD.FOOD.XD_DS2_en_csv_v'!$BM$6:$BM$271)</f>
        <v>106.62</v>
      </c>
      <c r="Q83">
        <f>_xlfn.XLOOKUP(D83,'[9]API_NE.IMP.GNFS.ZS_DS2_en_csv_v'!$B$6:$B$271,'[9]API_NE.IMP.GNFS.ZS_DS2_en_csv_v'!$BK$6:$BK$271)</f>
        <v>28.889460626593301</v>
      </c>
      <c r="R83">
        <f>_xlfn.XLOOKUP(D83,'[10]API_NE.EXP.GNFS.ZS_DS2_en_csv_v'!$B$6:$B$271,'[10]API_NE.EXP.GNFS.ZS_DS2_en_csv_v'!$BL$6:$BL$271)</f>
        <v>17.649123759796002</v>
      </c>
      <c r="S83">
        <f>_xlfn.XLOOKUP(D83,'[11]API_EG.USE.ELEC.KH.PC_DS2_en_cs'!$B$6:$B$271,'[11]API_EG.USE.ELEC.KH.PC_DS2_en_cs'!$BG$6:$BG$271)</f>
        <v>601.18973108878697</v>
      </c>
      <c r="T83">
        <f>_xlfn.XLOOKUP(D83,'[12]API_EN.POP.DNST_DS2_en_csv_v2_4'!$B$6:$B$271,'[12]API_EN.POP.DNST_DS2_en_csv_v2_4'!$BM$6:$BM$271)</f>
        <v>157.31927025009301</v>
      </c>
    </row>
    <row r="84" spans="1:20" x14ac:dyDescent="0.2">
      <c r="A84" s="161" t="s">
        <v>154</v>
      </c>
      <c r="B84" s="161">
        <v>324</v>
      </c>
      <c r="C84" s="161" t="s">
        <v>831</v>
      </c>
      <c r="D84" t="str">
        <f>_xlfn.XLOOKUP(B84,'Country Code M49'!$B$2:$B$250,'Country Code M49'!$C$2:$C$250,,0)</f>
        <v>GIN</v>
      </c>
      <c r="E84" s="162">
        <v>102.69433227860404</v>
      </c>
      <c r="F84" s="162">
        <v>1311529.8563965079</v>
      </c>
      <c r="G84" s="160" t="s">
        <v>877</v>
      </c>
      <c r="H84" s="188">
        <f>_xlfn.XLOOKUP(D84,'[1]World Population'!$C$2:$C$267,'[1]World Population'!$BN$2:$BN$267)</f>
        <v>13132792</v>
      </c>
      <c r="I84" s="188">
        <v>99.699996948242202</v>
      </c>
      <c r="J84" s="194">
        <f>_xlfn.XLOOKUP(D84,'[2]GDP 2015 Constant'!$B$6:$B$271,'[2]GDP 2015 Constant'!$BM$6:$BM$271)</f>
        <v>12635273566</v>
      </c>
      <c r="K84" s="193">
        <f t="shared" si="2"/>
        <v>962.11632423630863</v>
      </c>
      <c r="L84" s="194">
        <f>_xlfn.XLOOKUP(D84,'[5]Tourism Receipts'!$B$6:$B$271,'[5]Tourism Receipts'!$BK$6:$BK$271)</f>
        <v>4699999.8090000004</v>
      </c>
      <c r="M84" s="195">
        <f t="shared" si="3"/>
        <v>3.7197451914671115E-4</v>
      </c>
      <c r="N84">
        <f>_xlfn.XLOOKUP(D84,'[6]API_NV.AGR.TOTL.ZS_DS2_en_csv_v'!$B$6:$B$271,'[6]API_NV.AGR.TOTL.ZS_DS2_en_csv_v'!$BL$6:$BL$271)</f>
        <v>26.427276700183299</v>
      </c>
      <c r="O84" s="188">
        <f>_xlfn.XLOOKUP(D84,'[7]API_SP.RUR.TOTL_DS2_en_csv_v2_4'!$B$6:$B$271,'[7]API_SP.RUR.TOTL_DS2_en_csv_v2_4'!$BM$6:$BM$271)</f>
        <v>8290075</v>
      </c>
      <c r="P84" s="188">
        <f>_xlfn.XLOOKUP(D84,'[8]API_AG.PRD.FOOD.XD_DS2_en_csv_v'!$B$6:$B$271,'[8]API_AG.PRD.FOOD.XD_DS2_en_csv_v'!$BM$6:$BM$271)</f>
        <v>135.81</v>
      </c>
      <c r="Q84">
        <f>_xlfn.XLOOKUP(D84,'[9]API_NE.IMP.GNFS.ZS_DS2_en_csv_v'!$B$6:$B$271,'[9]API_NE.IMP.GNFS.ZS_DS2_en_csv_v'!$BK$6:$BK$271)</f>
        <v>48.777016010834899</v>
      </c>
      <c r="R84">
        <f>_xlfn.XLOOKUP(D84,'[10]API_NE.EXP.GNFS.ZS_DS2_en_csv_v'!$B$6:$B$271,'[10]API_NE.EXP.GNFS.ZS_DS2_en_csv_v'!$BL$6:$BL$271)</f>
        <v>30.119030414687099</v>
      </c>
      <c r="S84">
        <f>_xlfn.XLOOKUP(D84,'[11]API_EG.USE.ELEC.KH.PC_DS2_en_cs'!$B$6:$B$271,'[11]API_EG.USE.ELEC.KH.PC_DS2_en_cs'!$BG$6:$BG$271)</f>
        <v>0</v>
      </c>
      <c r="T84">
        <f>_xlfn.XLOOKUP(D84,'[12]API_EN.POP.DNST_DS2_en_csv_v2_4'!$B$6:$B$271,'[12]API_EN.POP.DNST_DS2_en_csv_v2_4'!$BM$6:$BM$271)</f>
        <v>53.446166368223999</v>
      </c>
    </row>
    <row r="85" spans="1:20" x14ac:dyDescent="0.2">
      <c r="A85" s="161" t="s">
        <v>154</v>
      </c>
      <c r="B85" s="161">
        <v>624</v>
      </c>
      <c r="C85" s="161" t="s">
        <v>832</v>
      </c>
      <c r="D85" t="str">
        <f>_xlfn.XLOOKUP(B85,'Country Code M49'!$B$2:$B$250,'Country Code M49'!$C$2:$C$250,,0)</f>
        <v>GNB</v>
      </c>
      <c r="E85" s="162">
        <v>102.69433227860404</v>
      </c>
      <c r="F85" s="162">
        <v>197265.54287397049</v>
      </c>
      <c r="G85" s="160" t="s">
        <v>877</v>
      </c>
      <c r="H85" s="188">
        <f>_xlfn.XLOOKUP(D85,'[1]World Population'!$C$2:$C$267,'[1]World Population'!$BN$2:$BN$267)</f>
        <v>1967998</v>
      </c>
      <c r="I85" s="188">
        <v>100</v>
      </c>
      <c r="J85" s="194">
        <f>_xlfn.XLOOKUP(D85,'[2]GDP 2015 Constant'!$B$6:$B$271,'[2]GDP 2015 Constant'!$BM$6:$BM$271)</f>
        <v>1218759824</v>
      </c>
      <c r="K85" s="193">
        <f t="shared" si="2"/>
        <v>619.28915781418482</v>
      </c>
      <c r="L85" s="194">
        <f>_xlfn.XLOOKUP(D85,'[5]Tourism Receipts'!$B$6:$B$271,'[5]Tourism Receipts'!$BK$6:$BK$271)</f>
        <v>20000000</v>
      </c>
      <c r="M85" s="195">
        <f t="shared" si="3"/>
        <v>1.6410124132874272E-2</v>
      </c>
      <c r="N85">
        <f>_xlfn.XLOOKUP(D85,'[6]API_NV.AGR.TOTL.ZS_DS2_en_csv_v'!$B$6:$B$271,'[6]API_NV.AGR.TOTL.ZS_DS2_en_csv_v'!$BL$6:$BL$271)</f>
        <v>30.3965794546532</v>
      </c>
      <c r="O85" s="188">
        <f>_xlfn.XLOOKUP(D85,'[7]API_SP.RUR.TOTL_DS2_en_csv_v2_4'!$B$6:$B$271,'[7]API_SP.RUR.TOTL_DS2_en_csv_v2_4'!$BM$6:$BM$271)</f>
        <v>1098222</v>
      </c>
      <c r="P85" s="188">
        <f>_xlfn.XLOOKUP(D85,'[8]API_AG.PRD.FOOD.XD_DS2_en_csv_v'!$B$6:$B$271,'[8]API_AG.PRD.FOOD.XD_DS2_en_csv_v'!$BM$6:$BM$271)</f>
        <v>105.1</v>
      </c>
      <c r="Q85">
        <f>_xlfn.XLOOKUP(D85,'[9]API_NE.IMP.GNFS.ZS_DS2_en_csv_v'!$B$6:$B$271,'[9]API_NE.IMP.GNFS.ZS_DS2_en_csv_v'!$BK$6:$BK$271)</f>
        <v>30.7420205283575</v>
      </c>
      <c r="R85">
        <f>_xlfn.XLOOKUP(D85,'[10]API_NE.EXP.GNFS.ZS_DS2_en_csv_v'!$B$6:$B$271,'[10]API_NE.EXP.GNFS.ZS_DS2_en_csv_v'!$BL$6:$BL$271)</f>
        <v>20.287949662122099</v>
      </c>
      <c r="S85">
        <f>_xlfn.XLOOKUP(D85,'[11]API_EG.USE.ELEC.KH.PC_DS2_en_cs'!$B$6:$B$271,'[11]API_EG.USE.ELEC.KH.PC_DS2_en_cs'!$BG$6:$BG$271)</f>
        <v>0</v>
      </c>
      <c r="T85">
        <f>_xlfn.XLOOKUP(D85,'[12]API_EN.POP.DNST_DS2_en_csv_v2_4'!$B$6:$B$271,'[12]API_EN.POP.DNST_DS2_en_csv_v2_4'!$BM$6:$BM$271)</f>
        <v>69.985704125177804</v>
      </c>
    </row>
    <row r="86" spans="1:20" x14ac:dyDescent="0.2">
      <c r="A86" s="161" t="s">
        <v>150</v>
      </c>
      <c r="B86" s="161">
        <v>328</v>
      </c>
      <c r="C86" s="161" t="s">
        <v>729</v>
      </c>
      <c r="D86" t="str">
        <f>_xlfn.XLOOKUP(B86,'Country Code M49'!$B$2:$B$250,'Country Code M49'!$C$2:$C$250,,0)</f>
        <v>GUY</v>
      </c>
      <c r="E86" s="162">
        <v>72.432162730095172</v>
      </c>
      <c r="F86" s="162">
        <v>56699.896985118503</v>
      </c>
      <c r="G86" s="160" t="s">
        <v>872</v>
      </c>
      <c r="H86" s="188">
        <f>_xlfn.XLOOKUP(D86,'[1]World Population'!$C$2:$C$267,'[1]World Population'!$BN$2:$BN$267)</f>
        <v>786559</v>
      </c>
      <c r="I86" s="188">
        <v>69.707351684570298</v>
      </c>
      <c r="J86" s="194">
        <f>_xlfn.XLOOKUP(D86,'[2]GDP 2015 Constant'!$B$6:$B$271,'[2]GDP 2015 Constant'!$BM$6:$BM$271)</f>
        <v>7275908034</v>
      </c>
      <c r="K86" s="193">
        <f t="shared" si="2"/>
        <v>9250.3016734917528</v>
      </c>
      <c r="L86" s="194">
        <f>_xlfn.XLOOKUP(D86,'[5]Tourism Receipts'!$B$6:$B$271,'[5]Tourism Receipts'!$BK$6:$BK$271)</f>
        <v>0</v>
      </c>
      <c r="M86" s="195">
        <f t="shared" si="3"/>
        <v>0</v>
      </c>
      <c r="N86">
        <f>_xlfn.XLOOKUP(D86,'[6]API_NV.AGR.TOTL.ZS_DS2_en_csv_v'!$B$6:$B$271,'[6]API_NV.AGR.TOTL.ZS_DS2_en_csv_v'!$BL$6:$BL$271)</f>
        <v>17.595336734249301</v>
      </c>
      <c r="O86" s="188">
        <f>_xlfn.XLOOKUP(D86,'[7]API_SP.RUR.TOTL_DS2_en_csv_v2_4'!$B$6:$B$271,'[7]API_SP.RUR.TOTL_DS2_en_csv_v2_4'!$BM$6:$BM$271)</f>
        <v>575871</v>
      </c>
      <c r="P86" s="188">
        <f>_xlfn.XLOOKUP(D86,'[8]API_AG.PRD.FOOD.XD_DS2_en_csv_v'!$B$6:$B$271,'[8]API_AG.PRD.FOOD.XD_DS2_en_csv_v'!$BM$6:$BM$271)</f>
        <v>113.75</v>
      </c>
      <c r="Q86">
        <f>_xlfn.XLOOKUP(D86,'[9]API_NE.IMP.GNFS.ZS_DS2_en_csv_v'!$B$6:$B$271,'[9]API_NE.IMP.GNFS.ZS_DS2_en_csv_v'!$BK$6:$BK$271)</f>
        <v>0</v>
      </c>
      <c r="R86">
        <f>_xlfn.XLOOKUP(D86,'[10]API_NE.EXP.GNFS.ZS_DS2_en_csv_v'!$B$6:$B$271,'[10]API_NE.EXP.GNFS.ZS_DS2_en_csv_v'!$BL$6:$BL$271)</f>
        <v>0</v>
      </c>
      <c r="S86">
        <f>_xlfn.XLOOKUP(D86,'[11]API_EG.USE.ELEC.KH.PC_DS2_en_cs'!$B$6:$B$271,'[11]API_EG.USE.ELEC.KH.PC_DS2_en_cs'!$BG$6:$BG$271)</f>
        <v>0</v>
      </c>
      <c r="T86">
        <f>_xlfn.XLOOKUP(D86,'[12]API_EN.POP.DNST_DS2_en_csv_v2_4'!$B$6:$B$271,'[12]API_EN.POP.DNST_DS2_en_csv_v2_4'!$BM$6:$BM$271)</f>
        <v>3.9957277114554199</v>
      </c>
    </row>
    <row r="87" spans="1:20" x14ac:dyDescent="0.2">
      <c r="A87" s="161" t="s">
        <v>150</v>
      </c>
      <c r="B87" s="161">
        <v>332</v>
      </c>
      <c r="C87" s="161" t="s">
        <v>730</v>
      </c>
      <c r="D87" t="str">
        <f>_xlfn.XLOOKUP(B87,'Country Code M49'!$B$2:$B$250,'Country Code M49'!$C$2:$C$250,,0)</f>
        <v>HTI</v>
      </c>
      <c r="E87" s="162">
        <v>83.186728523648867</v>
      </c>
      <c r="F87" s="162">
        <v>936940.44203470962</v>
      </c>
      <c r="G87" s="160" t="s">
        <v>872</v>
      </c>
      <c r="H87" s="188">
        <f>_xlfn.XLOOKUP(D87,'[1]World Population'!$C$2:$C$267,'[1]World Population'!$BN$2:$BN$267)</f>
        <v>11402533</v>
      </c>
      <c r="I87" s="188">
        <v>88.907379150390597</v>
      </c>
      <c r="J87" s="194">
        <f>_xlfn.XLOOKUP(D87,'[2]GDP 2015 Constant'!$B$6:$B$271,'[2]GDP 2015 Constant'!$BM$6:$BM$271)</f>
        <v>14956795315</v>
      </c>
      <c r="K87" s="193">
        <f t="shared" si="2"/>
        <v>1311.7081366920841</v>
      </c>
      <c r="L87" s="194">
        <f>_xlfn.XLOOKUP(D87,'[5]Tourism Receipts'!$B$6:$B$271,'[5]Tourism Receipts'!$BK$6:$BK$271)</f>
        <v>620000000</v>
      </c>
      <c r="M87" s="195">
        <f t="shared" si="3"/>
        <v>4.1452730143215176E-2</v>
      </c>
      <c r="N87">
        <f>_xlfn.XLOOKUP(D87,'[6]API_NV.AGR.TOTL.ZS_DS2_en_csv_v'!$B$6:$B$271,'[6]API_NV.AGR.TOTL.ZS_DS2_en_csv_v'!$BL$6:$BL$271)</f>
        <v>19.4861983599491</v>
      </c>
      <c r="O87" s="188">
        <f>_xlfn.XLOOKUP(D87,'[7]API_SP.RUR.TOTL_DS2_en_csv_v2_4'!$B$6:$B$271,'[7]API_SP.RUR.TOTL_DS2_en_csv_v2_4'!$BM$6:$BM$271)</f>
        <v>4893055</v>
      </c>
      <c r="P87" s="188">
        <f>_xlfn.XLOOKUP(D87,'[8]API_AG.PRD.FOOD.XD_DS2_en_csv_v'!$B$6:$B$271,'[8]API_AG.PRD.FOOD.XD_DS2_en_csv_v'!$BM$6:$BM$271)</f>
        <v>78.2</v>
      </c>
      <c r="Q87">
        <f>_xlfn.XLOOKUP(D87,'[9]API_NE.IMP.GNFS.ZS_DS2_en_csv_v'!$B$6:$B$271,'[9]API_NE.IMP.GNFS.ZS_DS2_en_csv_v'!$BK$6:$BK$271)</f>
        <v>36.4481561015822</v>
      </c>
      <c r="R87">
        <f>_xlfn.XLOOKUP(D87,'[10]API_NE.EXP.GNFS.ZS_DS2_en_csv_v'!$B$6:$B$271,'[10]API_NE.EXP.GNFS.ZS_DS2_en_csv_v'!$BL$6:$BL$271)</f>
        <v>11.714118839635001</v>
      </c>
      <c r="S87">
        <f>_xlfn.XLOOKUP(D87,'[11]API_EG.USE.ELEC.KH.PC_DS2_en_cs'!$B$6:$B$271,'[11]API_EG.USE.ELEC.KH.PC_DS2_en_cs'!$BG$6:$BG$271)</f>
        <v>39.055808760009398</v>
      </c>
      <c r="T87">
        <f>_xlfn.XLOOKUP(D87,'[12]API_EN.POP.DNST_DS2_en_csv_v2_4'!$B$6:$B$271,'[12]API_EN.POP.DNST_DS2_en_csv_v2_4'!$BM$6:$BM$271)</f>
        <v>413.73486937590701</v>
      </c>
    </row>
    <row r="88" spans="1:20" x14ac:dyDescent="0.2">
      <c r="A88" s="161" t="s">
        <v>150</v>
      </c>
      <c r="B88" s="161">
        <v>340</v>
      </c>
      <c r="C88" s="161" t="s">
        <v>731</v>
      </c>
      <c r="D88" t="str">
        <f>_xlfn.XLOOKUP(B88,'Country Code M49'!$B$2:$B$250,'Country Code M49'!$C$2:$C$250,,0)</f>
        <v>HND</v>
      </c>
      <c r="E88" s="162">
        <v>80.08369293447646</v>
      </c>
      <c r="F88" s="162">
        <v>780503.67970870098</v>
      </c>
      <c r="G88" s="160" t="s">
        <v>872</v>
      </c>
      <c r="H88" s="188">
        <f>_xlfn.XLOOKUP(D88,'[1]World Population'!$C$2:$C$267,'[1]World Population'!$BN$2:$BN$267)</f>
        <v>9904608</v>
      </c>
      <c r="I88" s="188">
        <v>100</v>
      </c>
      <c r="J88" s="194">
        <f>_xlfn.XLOOKUP(D88,'[2]GDP 2015 Constant'!$B$6:$B$271,'[2]GDP 2015 Constant'!$BM$6:$BM$271)</f>
        <v>22176498034</v>
      </c>
      <c r="K88" s="193">
        <f t="shared" si="2"/>
        <v>2239.0081499439452</v>
      </c>
      <c r="L88" s="194">
        <f>_xlfn.XLOOKUP(D88,'[5]Tourism Receipts'!$B$6:$B$271,'[5]Tourism Receipts'!$BK$6:$BK$271)</f>
        <v>601000000</v>
      </c>
      <c r="M88" s="195">
        <f t="shared" si="3"/>
        <v>2.7100762215863574E-2</v>
      </c>
      <c r="N88">
        <f>_xlfn.XLOOKUP(D88,'[6]API_NV.AGR.TOTL.ZS_DS2_en_csv_v'!$B$6:$B$271,'[6]API_NV.AGR.TOTL.ZS_DS2_en_csv_v'!$BL$6:$BL$271)</f>
        <v>10.7536504478567</v>
      </c>
      <c r="O88" s="188">
        <f>_xlfn.XLOOKUP(D88,'[7]API_SP.RUR.TOTL_DS2_en_csv_v2_4'!$B$6:$B$271,'[7]API_SP.RUR.TOTL_DS2_en_csv_v2_4'!$BM$6:$BM$271)</f>
        <v>4124378</v>
      </c>
      <c r="P88" s="188">
        <f>_xlfn.XLOOKUP(D88,'[8]API_AG.PRD.FOOD.XD_DS2_en_csv_v'!$B$6:$B$271,'[8]API_AG.PRD.FOOD.XD_DS2_en_csv_v'!$BM$6:$BM$271)</f>
        <v>103.58</v>
      </c>
      <c r="Q88">
        <f>_xlfn.XLOOKUP(D88,'[9]API_NE.IMP.GNFS.ZS_DS2_en_csv_v'!$B$6:$B$271,'[9]API_NE.IMP.GNFS.ZS_DS2_en_csv_v'!$BK$6:$BK$271)</f>
        <v>62.096345654127198</v>
      </c>
      <c r="R88">
        <f>_xlfn.XLOOKUP(D88,'[10]API_NE.EXP.GNFS.ZS_DS2_en_csv_v'!$B$6:$B$271,'[10]API_NE.EXP.GNFS.ZS_DS2_en_csv_v'!$BL$6:$BL$271)</f>
        <v>39.918512672508903</v>
      </c>
      <c r="S88">
        <f>_xlfn.XLOOKUP(D88,'[11]API_EG.USE.ELEC.KH.PC_DS2_en_cs'!$B$6:$B$271,'[11]API_EG.USE.ELEC.KH.PC_DS2_en_cs'!$BG$6:$BG$271)</f>
        <v>619.83708702698095</v>
      </c>
      <c r="T88">
        <f>_xlfn.XLOOKUP(D88,'[12]API_EN.POP.DNST_DS2_en_csv_v2_4'!$B$6:$B$271,'[12]API_EN.POP.DNST_DS2_en_csv_v2_4'!$BM$6:$BM$271)</f>
        <v>88.520940209133997</v>
      </c>
    </row>
    <row r="89" spans="1:20" x14ac:dyDescent="0.2">
      <c r="A89" s="161" t="s">
        <v>156</v>
      </c>
      <c r="B89" s="161">
        <v>348</v>
      </c>
      <c r="C89" s="161" t="s">
        <v>110</v>
      </c>
      <c r="D89" t="str">
        <f>_xlfn.XLOOKUP(B89,'Country Code M49'!$B$2:$B$250,'Country Code M49'!$C$2:$C$250,,0)</f>
        <v>HUN</v>
      </c>
      <c r="E89" s="162">
        <v>93.825214899713458</v>
      </c>
      <c r="F89" s="162">
        <v>908669.05873925495</v>
      </c>
      <c r="G89" s="160" t="s">
        <v>873</v>
      </c>
      <c r="H89" s="188">
        <f>_xlfn.XLOOKUP(D89,'[1]World Population'!$C$2:$C$267,'[1]World Population'!$BN$2:$BN$267)</f>
        <v>9750149</v>
      </c>
      <c r="I89" s="188">
        <v>99.981048583984403</v>
      </c>
      <c r="J89" s="194">
        <f>_xlfn.XLOOKUP(D89,'[2]GDP 2015 Constant'!$B$6:$B$271,'[2]GDP 2015 Constant'!$BM$6:$BM$271)</f>
        <v>140409000000</v>
      </c>
      <c r="K89" s="193">
        <f t="shared" si="2"/>
        <v>14400.703004641262</v>
      </c>
      <c r="L89" s="194">
        <f>_xlfn.XLOOKUP(D89,'[5]Tourism Receipts'!$B$6:$B$271,'[5]Tourism Receipts'!$BK$6:$BK$271)</f>
        <v>9618000000</v>
      </c>
      <c r="M89" s="195">
        <f t="shared" si="3"/>
        <v>6.8499882486165412E-2</v>
      </c>
      <c r="N89">
        <f>_xlfn.XLOOKUP(D89,'[6]API_NV.AGR.TOTL.ZS_DS2_en_csv_v'!$B$6:$B$271,'[6]API_NV.AGR.TOTL.ZS_DS2_en_csv_v'!$BL$6:$BL$271)</f>
        <v>3.34248182381838</v>
      </c>
      <c r="O89" s="188">
        <f>_xlfn.XLOOKUP(D89,'[7]API_SP.RUR.TOTL_DS2_en_csv_v2_4'!$B$6:$B$271,'[7]API_SP.RUR.TOTL_DS2_en_csv_v2_4'!$BM$6:$BM$271)</f>
        <v>2735697</v>
      </c>
      <c r="P89" s="188">
        <f>_xlfn.XLOOKUP(D89,'[8]API_AG.PRD.FOOD.XD_DS2_en_csv_v'!$B$6:$B$271,'[8]API_AG.PRD.FOOD.XD_DS2_en_csv_v'!$BM$6:$BM$271)</f>
        <v>93.67</v>
      </c>
      <c r="Q89">
        <f>_xlfn.XLOOKUP(D89,'[9]API_NE.IMP.GNFS.ZS_DS2_en_csv_v'!$B$6:$B$271,'[9]API_NE.IMP.GNFS.ZS_DS2_en_csv_v'!$BK$6:$BK$271)</f>
        <v>79.494705021861407</v>
      </c>
      <c r="R89">
        <f>_xlfn.XLOOKUP(D89,'[10]API_NE.EXP.GNFS.ZS_DS2_en_csv_v'!$B$6:$B$271,'[10]API_NE.EXP.GNFS.ZS_DS2_en_csv_v'!$BL$6:$BL$271)</f>
        <v>81.775933445836301</v>
      </c>
      <c r="S89">
        <f>_xlfn.XLOOKUP(D89,'[11]API_EG.USE.ELEC.KH.PC_DS2_en_cs'!$B$6:$B$271,'[11]API_EG.USE.ELEC.KH.PC_DS2_en_cs'!$BG$6:$BG$271)</f>
        <v>3965.9582334833499</v>
      </c>
      <c r="T89">
        <f>_xlfn.XLOOKUP(D89,'[12]API_EN.POP.DNST_DS2_en_csv_v2_4'!$B$6:$B$271,'[12]API_EN.POP.DNST_DS2_en_csv_v2_4'!$BM$6:$BM$271)</f>
        <v>106.83923953539301</v>
      </c>
    </row>
    <row r="90" spans="1:20" x14ac:dyDescent="0.2">
      <c r="A90" s="161" t="s">
        <v>153</v>
      </c>
      <c r="B90" s="161">
        <v>352</v>
      </c>
      <c r="C90" s="161" t="s">
        <v>775</v>
      </c>
      <c r="D90" t="str">
        <f>_xlfn.XLOOKUP(B90,'Country Code M49'!$B$2:$B$250,'Country Code M49'!$C$2:$C$250,,0)</f>
        <v>ISL</v>
      </c>
      <c r="E90" s="162">
        <v>76.185479353763768</v>
      </c>
      <c r="F90" s="162">
        <v>25826.877500925919</v>
      </c>
      <c r="G90" s="160" t="s">
        <v>877</v>
      </c>
      <c r="H90" s="188">
        <f>_xlfn.XLOOKUP(D90,'[1]World Population'!$C$2:$C$267,'[1]World Population'!$BN$2:$BN$267)</f>
        <v>366463</v>
      </c>
      <c r="I90" s="188">
        <v>100</v>
      </c>
      <c r="J90" s="194">
        <f>_xlfn.XLOOKUP(D90,'[2]GDP 2015 Constant'!$B$6:$B$271,'[2]GDP 2015 Constant'!$BM$6:$BM$271)</f>
        <v>19491448632</v>
      </c>
      <c r="K90" s="193">
        <f t="shared" si="2"/>
        <v>53188.039807565838</v>
      </c>
      <c r="L90" s="194">
        <f>_xlfn.XLOOKUP(D90,'[5]Tourism Receipts'!$B$6:$B$271,'[5]Tourism Receipts'!$BK$6:$BK$271)</f>
        <v>0</v>
      </c>
      <c r="M90" s="195">
        <f t="shared" si="3"/>
        <v>0</v>
      </c>
      <c r="N90">
        <f>_xlfn.XLOOKUP(D90,'[6]API_NV.AGR.TOTL.ZS_DS2_en_csv_v'!$B$6:$B$271,'[6]API_NV.AGR.TOTL.ZS_DS2_en_csv_v'!$BL$6:$BL$271)</f>
        <v>4.3756563979129304</v>
      </c>
      <c r="O90" s="188">
        <f>_xlfn.XLOOKUP(D90,'[7]API_SP.RUR.TOTL_DS2_en_csv_v2_4'!$B$6:$B$271,'[7]API_SP.RUR.TOTL_DS2_en_csv_v2_4'!$BM$6:$BM$271)</f>
        <v>22362</v>
      </c>
      <c r="P90" s="188">
        <f>_xlfn.XLOOKUP(D90,'[8]API_AG.PRD.FOOD.XD_DS2_en_csv_v'!$B$6:$B$271,'[8]API_AG.PRD.FOOD.XD_DS2_en_csv_v'!$BM$6:$BM$271)</f>
        <v>103.44</v>
      </c>
      <c r="Q90">
        <f>_xlfn.XLOOKUP(D90,'[9]API_NE.IMP.GNFS.ZS_DS2_en_csv_v'!$B$6:$B$271,'[9]API_NE.IMP.GNFS.ZS_DS2_en_csv_v'!$BK$6:$BK$271)</f>
        <v>43.320661929267402</v>
      </c>
      <c r="R90">
        <f>_xlfn.XLOOKUP(D90,'[10]API_NE.EXP.GNFS.ZS_DS2_en_csv_v'!$B$6:$B$271,'[10]API_NE.EXP.GNFS.ZS_DS2_en_csv_v'!$BL$6:$BL$271)</f>
        <v>44.302569053129801</v>
      </c>
      <c r="S90">
        <f>_xlfn.XLOOKUP(D90,'[11]API_EG.USE.ELEC.KH.PC_DS2_en_cs'!$B$6:$B$271,'[11]API_EG.USE.ELEC.KH.PC_DS2_en_cs'!$BG$6:$BG$271)</f>
        <v>53832.479091958703</v>
      </c>
      <c r="T90">
        <f>_xlfn.XLOOKUP(D90,'[12]API_EN.POP.DNST_DS2_en_csv_v2_4'!$B$6:$B$271,'[12]API_EN.POP.DNST_DS2_en_csv_v2_4'!$BM$6:$BM$271)</f>
        <v>3.6344639492214599</v>
      </c>
    </row>
    <row r="91" spans="1:20" x14ac:dyDescent="0.2">
      <c r="A91" s="161" t="s">
        <v>149</v>
      </c>
      <c r="B91" s="161">
        <v>356</v>
      </c>
      <c r="C91" s="161" t="s">
        <v>111</v>
      </c>
      <c r="D91" t="str">
        <f>_xlfn.XLOOKUP(B91,'Country Code M49'!$B$2:$B$250,'Country Code M49'!$C$2:$C$250,,0)</f>
        <v>IND</v>
      </c>
      <c r="E91" s="162">
        <v>50.321478095238092</v>
      </c>
      <c r="F91" s="162">
        <v>68760163.39164342</v>
      </c>
      <c r="G91" s="160" t="s">
        <v>873</v>
      </c>
      <c r="H91" s="188">
        <f>_xlfn.XLOOKUP(D91,'[1]World Population'!$C$2:$C$267,'[1]World Population'!$BN$2:$BN$267)</f>
        <v>1380004385</v>
      </c>
      <c r="I91" s="188">
        <v>49.517101287841797</v>
      </c>
      <c r="J91" s="194">
        <f>_xlfn.XLOOKUP(D91,'[2]GDP 2015 Constant'!$B$6:$B$271,'[2]GDP 2015 Constant'!$BM$6:$BM$271)</f>
        <v>2508590000000</v>
      </c>
      <c r="K91" s="193">
        <f t="shared" si="2"/>
        <v>1817.8130644128353</v>
      </c>
      <c r="L91" s="194">
        <f>_xlfn.XLOOKUP(D91,'[5]Tourism Receipts'!$B$6:$B$271,'[5]Tourism Receipts'!$BK$6:$BK$271)</f>
        <v>29143000000</v>
      </c>
      <c r="M91" s="195">
        <f t="shared" si="3"/>
        <v>1.1617283015558541E-2</v>
      </c>
      <c r="N91">
        <f>_xlfn.XLOOKUP(D91,'[6]API_NV.AGR.TOTL.ZS_DS2_en_csv_v'!$B$6:$B$271,'[6]API_NV.AGR.TOTL.ZS_DS2_en_csv_v'!$BL$6:$BL$271)</f>
        <v>16.729204706558001</v>
      </c>
      <c r="O91" s="188">
        <f>_xlfn.XLOOKUP(D91,'[7]API_SP.RUR.TOTL_DS2_en_csv_v2_4'!$B$6:$B$271,'[7]API_SP.RUR.TOTL_DS2_en_csv_v2_4'!$BM$6:$BM$271)</f>
        <v>898024053</v>
      </c>
      <c r="P91" s="188">
        <f>_xlfn.XLOOKUP(D91,'[8]API_AG.PRD.FOOD.XD_DS2_en_csv_v'!$B$6:$B$271,'[8]API_AG.PRD.FOOD.XD_DS2_en_csv_v'!$BM$6:$BM$271)</f>
        <v>116.38</v>
      </c>
      <c r="Q91">
        <f>_xlfn.XLOOKUP(D91,'[9]API_NE.IMP.GNFS.ZS_DS2_en_csv_v'!$B$6:$B$271,'[9]API_NE.IMP.GNFS.ZS_DS2_en_csv_v'!$BK$6:$BK$271)</f>
        <v>23.6891407335327</v>
      </c>
      <c r="R91">
        <f>_xlfn.XLOOKUP(D91,'[10]API_NE.EXP.GNFS.ZS_DS2_en_csv_v'!$B$6:$B$271,'[10]API_NE.EXP.GNFS.ZS_DS2_en_csv_v'!$BL$6:$BL$271)</f>
        <v>18.690982707408899</v>
      </c>
      <c r="S91">
        <f>_xlfn.XLOOKUP(D91,'[11]API_EG.USE.ELEC.KH.PC_DS2_en_cs'!$B$6:$B$271,'[11]API_EG.USE.ELEC.KH.PC_DS2_en_cs'!$BG$6:$BG$271)</f>
        <v>804.51634928329997</v>
      </c>
      <c r="T91">
        <f>_xlfn.XLOOKUP(D91,'[12]API_EN.POP.DNST_DS2_en_csv_v2_4'!$B$6:$B$271,'[12]API_EN.POP.DNST_DS2_en_csv_v2_4'!$BM$6:$BM$271)</f>
        <v>464.14941022941701</v>
      </c>
    </row>
    <row r="92" spans="1:20" x14ac:dyDescent="0.2">
      <c r="A92" s="161" t="s">
        <v>157</v>
      </c>
      <c r="B92" s="161">
        <v>360</v>
      </c>
      <c r="C92" s="161" t="s">
        <v>112</v>
      </c>
      <c r="D92" t="str">
        <f>_xlfn.XLOOKUP(B92,'Country Code M49'!$B$2:$B$250,'Country Code M49'!$C$2:$C$250,,0)</f>
        <v>IDN</v>
      </c>
      <c r="E92" s="162">
        <v>77.369811750000011</v>
      </c>
      <c r="F92" s="162">
        <v>20938251.726730805</v>
      </c>
      <c r="G92" s="160" t="s">
        <v>873</v>
      </c>
      <c r="H92" s="188">
        <f>_xlfn.XLOOKUP(D92,'[1]World Population'!$C$2:$C$267,'[1]World Population'!$BN$2:$BN$267)</f>
        <v>273523621</v>
      </c>
      <c r="I92" s="188">
        <v>99.900001525878906</v>
      </c>
      <c r="J92" s="194">
        <f>_xlfn.XLOOKUP(D92,'[2]GDP 2015 Constant'!$B$6:$B$271,'[2]GDP 2015 Constant'!$BM$6:$BM$271)</f>
        <v>1027660000000</v>
      </c>
      <c r="K92" s="193">
        <f t="shared" si="2"/>
        <v>3757.1160993075623</v>
      </c>
      <c r="L92" s="194">
        <f>_xlfn.XLOOKUP(D92,'[5]Tourism Receipts'!$B$6:$B$271,'[5]Tourism Receipts'!$BK$6:$BK$271)</f>
        <v>17915000000</v>
      </c>
      <c r="M92" s="195">
        <f t="shared" si="3"/>
        <v>1.7432808516435395E-2</v>
      </c>
      <c r="N92">
        <f>_xlfn.XLOOKUP(D92,'[6]API_NV.AGR.TOTL.ZS_DS2_en_csv_v'!$B$6:$B$271,'[6]API_NV.AGR.TOTL.ZS_DS2_en_csv_v'!$BL$6:$BL$271)</f>
        <v>12.7126026577522</v>
      </c>
      <c r="O92" s="188">
        <f>_xlfn.XLOOKUP(D92,'[7]API_SP.RUR.TOTL_DS2_en_csv_v2_4'!$B$6:$B$271,'[7]API_SP.RUR.TOTL_DS2_en_csv_v2_4'!$BM$6:$BM$271)</f>
        <v>118597107</v>
      </c>
      <c r="P92" s="188">
        <f>_xlfn.XLOOKUP(D92,'[8]API_AG.PRD.FOOD.XD_DS2_en_csv_v'!$B$6:$B$271,'[8]API_AG.PRD.FOOD.XD_DS2_en_csv_v'!$BM$6:$BM$271)</f>
        <v>114.52</v>
      </c>
      <c r="Q92">
        <f>_xlfn.XLOOKUP(D92,'[9]API_NE.IMP.GNFS.ZS_DS2_en_csv_v'!$B$6:$B$271,'[9]API_NE.IMP.GNFS.ZS_DS2_en_csv_v'!$BK$6:$BK$271)</f>
        <v>22.071562457953998</v>
      </c>
      <c r="R92">
        <f>_xlfn.XLOOKUP(D92,'[10]API_NE.EXP.GNFS.ZS_DS2_en_csv_v'!$B$6:$B$271,'[10]API_NE.EXP.GNFS.ZS_DS2_en_csv_v'!$BL$6:$BL$271)</f>
        <v>18.5915277970883</v>
      </c>
      <c r="S92">
        <f>_xlfn.XLOOKUP(D92,'[11]API_EG.USE.ELEC.KH.PC_DS2_en_cs'!$B$6:$B$271,'[11]API_EG.USE.ELEC.KH.PC_DS2_en_cs'!$BG$6:$BG$271)</f>
        <v>811.90985816864804</v>
      </c>
      <c r="T92">
        <f>_xlfn.XLOOKUP(D92,'[12]API_EN.POP.DNST_DS2_en_csv_v2_4'!$B$6:$B$271,'[12]API_EN.POP.DNST_DS2_en_csv_v2_4'!$BM$6:$BM$271)</f>
        <v>145.68354354869399</v>
      </c>
    </row>
    <row r="93" spans="1:20" x14ac:dyDescent="0.2">
      <c r="A93" s="161" t="s">
        <v>149</v>
      </c>
      <c r="B93" s="161">
        <v>364</v>
      </c>
      <c r="C93" s="190" t="s">
        <v>799</v>
      </c>
      <c r="D93" t="str">
        <f>_xlfn.XLOOKUP(B93,'Country Code M49'!$B$2:$B$250,'Country Code M49'!$C$2:$C$250,,0)</f>
        <v>IRN</v>
      </c>
      <c r="E93" s="162">
        <v>70.975338444364013</v>
      </c>
      <c r="F93" s="162">
        <v>5884842.1142421532</v>
      </c>
      <c r="G93" s="160" t="s">
        <v>872</v>
      </c>
      <c r="H93" s="188">
        <f>_xlfn.XLOOKUP(D93,'[1]World Population'!$C$2:$C$267,'[1]World Population'!$BN$2:$BN$267)</f>
        <v>83992953</v>
      </c>
      <c r="I93" s="188">
        <v>100</v>
      </c>
      <c r="J93" s="194">
        <f>_xlfn.XLOOKUP(D93,'[2]GDP 2015 Constant'!$B$6:$B$271,'[2]GDP 2015 Constant'!$BM$6:$BM$271)</f>
        <v>447938000000</v>
      </c>
      <c r="K93" s="193">
        <f t="shared" si="2"/>
        <v>5333.0426422797636</v>
      </c>
      <c r="L93" s="194">
        <f>_xlfn.XLOOKUP(D93,'[5]Tourism Receipts'!$B$6:$B$271,'[5]Tourism Receipts'!$BK$6:$BK$271)</f>
        <v>5252000000</v>
      </c>
      <c r="M93" s="195">
        <f t="shared" si="3"/>
        <v>1.1724836919395095E-2</v>
      </c>
      <c r="N93">
        <f>_xlfn.XLOOKUP(D93,'[6]API_NV.AGR.TOTL.ZS_DS2_en_csv_v'!$B$6:$B$271,'[6]API_NV.AGR.TOTL.ZS_DS2_en_csv_v'!$BL$6:$BL$271)</f>
        <v>13.871221407557901</v>
      </c>
      <c r="O93" s="188">
        <f>_xlfn.XLOOKUP(D93,'[7]API_SP.RUR.TOTL_DS2_en_csv_v2_4'!$B$6:$B$271,'[7]API_SP.RUR.TOTL_DS2_en_csv_v2_4'!$BM$6:$BM$271)</f>
        <v>20264140</v>
      </c>
      <c r="P93" s="188">
        <f>_xlfn.XLOOKUP(D93,'[8]API_AG.PRD.FOOD.XD_DS2_en_csv_v'!$B$6:$B$271,'[8]API_AG.PRD.FOOD.XD_DS2_en_csv_v'!$BM$6:$BM$271)</f>
        <v>99.41</v>
      </c>
      <c r="Q93">
        <f>_xlfn.XLOOKUP(D93,'[9]API_NE.IMP.GNFS.ZS_DS2_en_csv_v'!$B$6:$B$271,'[9]API_NE.IMP.GNFS.ZS_DS2_en_csv_v'!$BK$6:$BK$271)</f>
        <v>28.167148640330499</v>
      </c>
      <c r="R93">
        <f>_xlfn.XLOOKUP(D93,'[10]API_NE.EXP.GNFS.ZS_DS2_en_csv_v'!$B$6:$B$271,'[10]API_NE.EXP.GNFS.ZS_DS2_en_csv_v'!$BL$6:$BL$271)</f>
        <v>22.709737583718201</v>
      </c>
      <c r="S93">
        <f>_xlfn.XLOOKUP(D93,'[11]API_EG.USE.ELEC.KH.PC_DS2_en_cs'!$B$6:$B$271,'[11]API_EG.USE.ELEC.KH.PC_DS2_en_cs'!$BG$6:$BG$271)</f>
        <v>3022.1219387882202</v>
      </c>
      <c r="T93">
        <f>_xlfn.XLOOKUP(D93,'[12]API_EN.POP.DNST_DS2_en_csv_v2_4'!$B$6:$B$271,'[12]API_EN.POP.DNST_DS2_en_csv_v2_4'!$BM$6:$BM$271)</f>
        <v>51.767613559322001</v>
      </c>
    </row>
    <row r="94" spans="1:20" x14ac:dyDescent="0.2">
      <c r="A94" s="161" t="s">
        <v>148</v>
      </c>
      <c r="B94" s="161">
        <v>368</v>
      </c>
      <c r="C94" s="161" t="s">
        <v>113</v>
      </c>
      <c r="D94" t="str">
        <f>_xlfn.XLOOKUP(B94,'Country Code M49'!$B$2:$B$250,'Country Code M49'!$C$2:$C$250,,0)</f>
        <v>IRQ</v>
      </c>
      <c r="E94" s="162">
        <v>120.43903491883626</v>
      </c>
      <c r="F94" s="162">
        <v>4734434.3748524692</v>
      </c>
      <c r="G94" s="160" t="s">
        <v>873</v>
      </c>
      <c r="H94" s="188">
        <f>_xlfn.XLOOKUP(D94,'[1]World Population'!$C$2:$C$267,'[1]World Population'!$BN$2:$BN$267)</f>
        <v>40222503</v>
      </c>
      <c r="I94" s="188">
        <v>27.534709930419901</v>
      </c>
      <c r="J94" s="194">
        <f>_xlfn.XLOOKUP(D94,'[2]GDP 2015 Constant'!$B$6:$B$271,'[2]GDP 2015 Constant'!$BM$6:$BM$271)</f>
        <v>178917000000</v>
      </c>
      <c r="K94" s="193">
        <f t="shared" si="2"/>
        <v>4448.1816559252911</v>
      </c>
      <c r="L94" s="194">
        <f>_xlfn.XLOOKUP(D94,'[5]Tourism Receipts'!$B$6:$B$271,'[5]Tourism Receipts'!$BK$6:$BK$271)</f>
        <v>1986000000</v>
      </c>
      <c r="M94" s="195">
        <f t="shared" si="3"/>
        <v>1.1100119049615186E-2</v>
      </c>
      <c r="N94">
        <f>_xlfn.XLOOKUP(D94,'[6]API_NV.AGR.TOTL.ZS_DS2_en_csv_v'!$B$6:$B$271,'[6]API_NV.AGR.TOTL.ZS_DS2_en_csv_v'!$BL$6:$BL$271)</f>
        <v>3.7700082530619898</v>
      </c>
      <c r="O94" s="188">
        <f>_xlfn.XLOOKUP(D94,'[7]API_SP.RUR.TOTL_DS2_en_csv_v2_4'!$B$6:$B$271,'[7]API_SP.RUR.TOTL_DS2_en_csv_v2_4'!$BM$6:$BM$271)</f>
        <v>11707564</v>
      </c>
      <c r="P94" s="188">
        <f>_xlfn.XLOOKUP(D94,'[8]API_AG.PRD.FOOD.XD_DS2_en_csv_v'!$B$6:$B$271,'[8]API_AG.PRD.FOOD.XD_DS2_en_csv_v'!$BM$6:$BM$271)</f>
        <v>149.4</v>
      </c>
      <c r="Q94">
        <f>_xlfn.XLOOKUP(D94,'[9]API_NE.IMP.GNFS.ZS_DS2_en_csv_v'!$B$6:$B$271,'[9]API_NE.IMP.GNFS.ZS_DS2_en_csv_v'!$BK$6:$BK$271)</f>
        <v>24.999149743576599</v>
      </c>
      <c r="R94">
        <f>_xlfn.XLOOKUP(D94,'[10]API_NE.EXP.GNFS.ZS_DS2_en_csv_v'!$B$6:$B$271,'[10]API_NE.EXP.GNFS.ZS_DS2_en_csv_v'!$BL$6:$BL$271)</f>
        <v>38.051868198883803</v>
      </c>
      <c r="S94">
        <f>_xlfn.XLOOKUP(D94,'[11]API_EG.USE.ELEC.KH.PC_DS2_en_cs'!$B$6:$B$271,'[11]API_EG.USE.ELEC.KH.PC_DS2_en_cs'!$BG$6:$BG$271)</f>
        <v>1328.23049342541</v>
      </c>
      <c r="T94">
        <f>_xlfn.XLOOKUP(D94,'[12]API_EN.POP.DNST_DS2_en_csv_v2_4'!$B$6:$B$271,'[12]API_EN.POP.DNST_DS2_en_csv_v2_4'!$BM$6:$BM$271)</f>
        <v>92.651252625953603</v>
      </c>
    </row>
    <row r="95" spans="1:20" x14ac:dyDescent="0.2">
      <c r="A95" s="161" t="s">
        <v>153</v>
      </c>
      <c r="B95" s="161">
        <v>372</v>
      </c>
      <c r="C95" s="161" t="s">
        <v>114</v>
      </c>
      <c r="D95" t="str">
        <f>_xlfn.XLOOKUP(B95,'Country Code M49'!$B$2:$B$250,'Country Code M49'!$C$2:$C$250,,0)</f>
        <v>IRL</v>
      </c>
      <c r="E95" s="162">
        <v>54.7</v>
      </c>
      <c r="F95" s="162">
        <v>267072.75</v>
      </c>
      <c r="G95" s="160" t="s">
        <v>873</v>
      </c>
      <c r="H95" s="188">
        <f>_xlfn.XLOOKUP(D95,'[1]World Population'!$C$2:$C$267,'[1]World Population'!$BN$2:$BN$267)</f>
        <v>4985674</v>
      </c>
      <c r="I95" s="188">
        <v>15.465084075927701</v>
      </c>
      <c r="J95" s="194">
        <f>_xlfn.XLOOKUP(D95,'[2]GDP 2015 Constant'!$B$6:$B$271,'[2]GDP 2015 Constant'!$BM$6:$BM$271)</f>
        <v>392535000000</v>
      </c>
      <c r="K95" s="193">
        <f t="shared" si="2"/>
        <v>78732.584601399925</v>
      </c>
      <c r="L95" s="194">
        <f>_xlfn.XLOOKUP(D95,'[5]Tourism Receipts'!$B$6:$B$271,'[5]Tourism Receipts'!$BK$6:$BK$271)</f>
        <v>15276000000</v>
      </c>
      <c r="M95" s="195">
        <f t="shared" si="3"/>
        <v>3.8916274981848756E-2</v>
      </c>
      <c r="N95">
        <f>_xlfn.XLOOKUP(D95,'[6]API_NV.AGR.TOTL.ZS_DS2_en_csv_v'!$B$6:$B$271,'[6]API_NV.AGR.TOTL.ZS_DS2_en_csv_v'!$BL$6:$BL$271)</f>
        <v>0.90289814077455499</v>
      </c>
      <c r="O95" s="188">
        <f>_xlfn.XLOOKUP(D95,'[7]API_SP.RUR.TOTL_DS2_en_csv_v2_4'!$B$6:$B$271,'[7]API_SP.RUR.TOTL_DS2_en_csv_v2_4'!$BM$6:$BM$271)</f>
        <v>1812143</v>
      </c>
      <c r="P95" s="188">
        <f>_xlfn.XLOOKUP(D95,'[8]API_AG.PRD.FOOD.XD_DS2_en_csv_v'!$B$6:$B$271,'[8]API_AG.PRD.FOOD.XD_DS2_en_csv_v'!$BM$6:$BM$271)</f>
        <v>115.91</v>
      </c>
      <c r="Q95">
        <f>_xlfn.XLOOKUP(D95,'[9]API_NE.IMP.GNFS.ZS_DS2_en_csv_v'!$B$6:$B$271,'[9]API_NE.IMP.GNFS.ZS_DS2_en_csv_v'!$BK$6:$BK$271)</f>
        <v>94.434845312653806</v>
      </c>
      <c r="R95">
        <f>_xlfn.XLOOKUP(D95,'[10]API_NE.EXP.GNFS.ZS_DS2_en_csv_v'!$B$6:$B$271,'[10]API_NE.EXP.GNFS.ZS_DS2_en_csv_v'!$BL$6:$BL$271)</f>
        <v>127.927930234974</v>
      </c>
      <c r="S95">
        <f>_xlfn.XLOOKUP(D95,'[11]API_EG.USE.ELEC.KH.PC_DS2_en_cs'!$B$6:$B$271,'[11]API_EG.USE.ELEC.KH.PC_DS2_en_cs'!$BG$6:$BG$271)</f>
        <v>5672.0641341079599</v>
      </c>
      <c r="T95">
        <f>_xlfn.XLOOKUP(D95,'[12]API_EN.POP.DNST_DS2_en_csv_v2_4'!$B$6:$B$271,'[12]API_EN.POP.DNST_DS2_en_csv_v2_4'!$BM$6:$BM$271)</f>
        <v>72.371519814196503</v>
      </c>
    </row>
    <row r="96" spans="1:20" x14ac:dyDescent="0.2">
      <c r="A96" s="161" t="s">
        <v>153</v>
      </c>
      <c r="B96" s="161">
        <v>833</v>
      </c>
      <c r="C96" s="161" t="s">
        <v>776</v>
      </c>
      <c r="D96" t="str">
        <f>_xlfn.XLOOKUP(B96,'Country Code M49'!$B$2:$B$250,'Country Code M49'!$C$2:$C$250,,0)</f>
        <v>IMN</v>
      </c>
      <c r="E96" s="162">
        <v>76.185479353763768</v>
      </c>
      <c r="F96" s="162">
        <v>6445.291553328414</v>
      </c>
      <c r="G96" s="160" t="s">
        <v>877</v>
      </c>
      <c r="H96" s="188">
        <f>_xlfn.XLOOKUP(D96,'[1]World Population'!$C$2:$C$267,'[1]World Population'!$BN$2:$BN$267)</f>
        <v>85032</v>
      </c>
      <c r="I96" s="188">
        <v>47.348419189453097</v>
      </c>
      <c r="J96" s="194" t="e">
        <f>_xlfn.XLOOKUP(D96,'[2]GDP 2015 Constant'!$B$6:$B$271,'[2]GDP 2015 Constant'!$BM$6:$BM$271)</f>
        <v>#REF!</v>
      </c>
      <c r="K96" s="193" t="e">
        <f t="shared" si="2"/>
        <v>#REF!</v>
      </c>
      <c r="L96" s="194">
        <f>_xlfn.XLOOKUP(D96,'[5]Tourism Receipts'!$B$6:$B$271,'[5]Tourism Receipts'!$BK$6:$BK$271)</f>
        <v>0</v>
      </c>
      <c r="M96" s="195" t="e">
        <f t="shared" si="3"/>
        <v>#REF!</v>
      </c>
      <c r="N96">
        <f>_xlfn.XLOOKUP(D96,'[6]API_NV.AGR.TOTL.ZS_DS2_en_csv_v'!$B$6:$B$271,'[6]API_NV.AGR.TOTL.ZS_DS2_en_csv_v'!$BL$6:$BL$271)</f>
        <v>0.31667066547429501</v>
      </c>
      <c r="O96" s="188">
        <f>_xlfn.XLOOKUP(D96,'[7]API_SP.RUR.TOTL_DS2_en_csv_v2_4'!$B$6:$B$271,'[7]API_SP.RUR.TOTL_DS2_en_csv_v2_4'!$BM$6:$BM$271)</f>
        <v>40052</v>
      </c>
      <c r="P96" s="188">
        <f>_xlfn.XLOOKUP(D96,'[8]API_AG.PRD.FOOD.XD_DS2_en_csv_v'!$B$6:$B$271,'[8]API_AG.PRD.FOOD.XD_DS2_en_csv_v'!$BM$6:$BM$271)</f>
        <v>0</v>
      </c>
      <c r="Q96">
        <f>_xlfn.XLOOKUP(D96,'[9]API_NE.IMP.GNFS.ZS_DS2_en_csv_v'!$B$6:$B$271,'[9]API_NE.IMP.GNFS.ZS_DS2_en_csv_v'!$BK$6:$BK$271)</f>
        <v>0</v>
      </c>
      <c r="R96">
        <f>_xlfn.XLOOKUP(D96,'[10]API_NE.EXP.GNFS.ZS_DS2_en_csv_v'!$B$6:$B$271,'[10]API_NE.EXP.GNFS.ZS_DS2_en_csv_v'!$BL$6:$BL$271)</f>
        <v>0</v>
      </c>
      <c r="S96">
        <f>_xlfn.XLOOKUP(D96,'[11]API_EG.USE.ELEC.KH.PC_DS2_en_cs'!$B$6:$B$271,'[11]API_EG.USE.ELEC.KH.PC_DS2_en_cs'!$BG$6:$BG$271)</f>
        <v>0</v>
      </c>
      <c r="T96">
        <f>_xlfn.XLOOKUP(D96,'[12]API_EN.POP.DNST_DS2_en_csv_v2_4'!$B$6:$B$271,'[12]API_EN.POP.DNST_DS2_en_csv_v2_4'!$BM$6:$BM$271)</f>
        <v>149.17894736842101</v>
      </c>
    </row>
    <row r="97" spans="1:20" x14ac:dyDescent="0.2">
      <c r="A97" s="161" t="s">
        <v>148</v>
      </c>
      <c r="B97" s="161">
        <v>376</v>
      </c>
      <c r="C97" s="161" t="s">
        <v>115</v>
      </c>
      <c r="D97" t="str">
        <f>_xlfn.XLOOKUP(B97,'Country Code M49'!$B$2:$B$250,'Country Code M49'!$C$2:$C$250,,0)</f>
        <v>ISR</v>
      </c>
      <c r="E97" s="162">
        <v>99.583919436026534</v>
      </c>
      <c r="F97" s="162">
        <v>848395.24324328441</v>
      </c>
      <c r="G97" s="160" t="s">
        <v>873</v>
      </c>
      <c r="H97" s="188">
        <f>_xlfn.XLOOKUP(D97,'[1]World Population'!$C$2:$C$267,'[1]World Population'!$BN$2:$BN$267)</f>
        <v>9215100</v>
      </c>
      <c r="I97" s="188">
        <v>100</v>
      </c>
      <c r="J97" s="194">
        <f>_xlfn.XLOOKUP(D97,'[2]GDP 2015 Constant'!$B$6:$B$271,'[2]GDP 2015 Constant'!$BM$6:$BM$271)</f>
        <v>345460000000</v>
      </c>
      <c r="K97" s="193">
        <f t="shared" si="2"/>
        <v>37488.470011177305</v>
      </c>
      <c r="L97" s="194">
        <f>_xlfn.XLOOKUP(D97,'[5]Tourism Receipts'!$B$6:$B$271,'[5]Tourism Receipts'!$BK$6:$BK$271)</f>
        <v>8048000000</v>
      </c>
      <c r="M97" s="195">
        <f t="shared" si="3"/>
        <v>2.3296474266195796E-2</v>
      </c>
      <c r="N97">
        <f>_xlfn.XLOOKUP(D97,'[6]API_NV.AGR.TOTL.ZS_DS2_en_csv_v'!$B$6:$B$271,'[6]API_NV.AGR.TOTL.ZS_DS2_en_csv_v'!$BL$6:$BL$271)</f>
        <v>1.1323306510742901</v>
      </c>
      <c r="O97" s="188">
        <f>_xlfn.XLOOKUP(D97,'[7]API_SP.RUR.TOTL_DS2_en_csv_v2_4'!$B$6:$B$271,'[7]API_SP.RUR.TOTL_DS2_en_csv_v2_4'!$BM$6:$BM$271)</f>
        <v>683115</v>
      </c>
      <c r="P97" s="188">
        <f>_xlfn.XLOOKUP(D97,'[8]API_AG.PRD.FOOD.XD_DS2_en_csv_v'!$B$6:$B$271,'[8]API_AG.PRD.FOOD.XD_DS2_en_csv_v'!$BM$6:$BM$271)</f>
        <v>101.87</v>
      </c>
      <c r="Q97">
        <f>_xlfn.XLOOKUP(D97,'[9]API_NE.IMP.GNFS.ZS_DS2_en_csv_v'!$B$6:$B$271,'[9]API_NE.IMP.GNFS.ZS_DS2_en_csv_v'!$BK$6:$BK$271)</f>
        <v>29.1640430822093</v>
      </c>
      <c r="R97">
        <f>_xlfn.XLOOKUP(D97,'[10]API_NE.EXP.GNFS.ZS_DS2_en_csv_v'!$B$6:$B$271,'[10]API_NE.EXP.GNFS.ZS_DS2_en_csv_v'!$BL$6:$BL$271)</f>
        <v>29.513438473867801</v>
      </c>
      <c r="S97">
        <f>_xlfn.XLOOKUP(D97,'[11]API_EG.USE.ELEC.KH.PC_DS2_en_cs'!$B$6:$B$271,'[11]API_EG.USE.ELEC.KH.PC_DS2_en_cs'!$BG$6:$BG$271)</f>
        <v>6600.8982801222</v>
      </c>
      <c r="T97">
        <f>_xlfn.XLOOKUP(D97,'[12]API_EN.POP.DNST_DS2_en_csv_v2_4'!$B$6:$B$271,'[12]API_EN.POP.DNST_DS2_en_csv_v2_4'!$BM$6:$BM$271)</f>
        <v>425.836414048059</v>
      </c>
    </row>
    <row r="98" spans="1:20" x14ac:dyDescent="0.2">
      <c r="A98" s="161" t="s">
        <v>155</v>
      </c>
      <c r="B98" s="161">
        <v>380</v>
      </c>
      <c r="C98" s="161" t="s">
        <v>116</v>
      </c>
      <c r="D98" t="str">
        <f>_xlfn.XLOOKUP(B98,'Country Code M49'!$B$2:$B$250,'Country Code M49'!$C$2:$C$250,,0)</f>
        <v>ITA</v>
      </c>
      <c r="E98" s="162">
        <v>67.048710601719208</v>
      </c>
      <c r="F98" s="162">
        <v>4059806.1318051582</v>
      </c>
      <c r="G98" s="160" t="s">
        <v>873</v>
      </c>
      <c r="H98" s="188">
        <f>_xlfn.XLOOKUP(D98,'[1]World Population'!$C$2:$C$267,'[1]World Population'!$BN$2:$BN$267)</f>
        <v>59449527</v>
      </c>
      <c r="I98" s="188">
        <v>100</v>
      </c>
      <c r="J98" s="194">
        <f>_xlfn.XLOOKUP(D98,'[2]GDP 2015 Constant'!$B$6:$B$271,'[2]GDP 2015 Constant'!$BM$6:$BM$271)</f>
        <v>1745330000000</v>
      </c>
      <c r="K98" s="193">
        <f t="shared" si="2"/>
        <v>29358.181436834646</v>
      </c>
      <c r="L98" s="194">
        <f>_xlfn.XLOOKUP(D98,'[5]Tourism Receipts'!$B$6:$B$271,'[5]Tourism Receipts'!$BK$6:$BK$271)</f>
        <v>51602000000</v>
      </c>
      <c r="M98" s="195">
        <f t="shared" si="3"/>
        <v>2.9565755473176993E-2</v>
      </c>
      <c r="N98">
        <f>_xlfn.XLOOKUP(D98,'[6]API_NV.AGR.TOTL.ZS_DS2_en_csv_v'!$B$6:$B$271,'[6]API_NV.AGR.TOTL.ZS_DS2_en_csv_v'!$BL$6:$BL$271)</f>
        <v>1.90731132855232</v>
      </c>
      <c r="O98" s="188">
        <f>_xlfn.XLOOKUP(D98,'[7]API_SP.RUR.TOTL_DS2_en_csv_v2_4'!$B$6:$B$271,'[7]API_SP.RUR.TOTL_DS2_en_csv_v2_4'!$BM$6:$BM$271)</f>
        <v>17217178</v>
      </c>
      <c r="P98" s="188">
        <f>_xlfn.XLOOKUP(D98,'[8]API_AG.PRD.FOOD.XD_DS2_en_csv_v'!$B$6:$B$271,'[8]API_AG.PRD.FOOD.XD_DS2_en_csv_v'!$BM$6:$BM$271)</f>
        <v>99.93</v>
      </c>
      <c r="Q98">
        <f>_xlfn.XLOOKUP(D98,'[9]API_NE.IMP.GNFS.ZS_DS2_en_csv_v'!$B$6:$B$271,'[9]API_NE.IMP.GNFS.ZS_DS2_en_csv_v'!$BK$6:$BK$271)</f>
        <v>28.9499970418731</v>
      </c>
      <c r="R98">
        <f>_xlfn.XLOOKUP(D98,'[10]API_NE.EXP.GNFS.ZS_DS2_en_csv_v'!$B$6:$B$271,'[10]API_NE.EXP.GNFS.ZS_DS2_en_csv_v'!$BL$6:$BL$271)</f>
        <v>31.602678297602999</v>
      </c>
      <c r="S98">
        <f>_xlfn.XLOOKUP(D98,'[11]API_EG.USE.ELEC.KH.PC_DS2_en_cs'!$B$6:$B$271,'[11]API_EG.USE.ELEC.KH.PC_DS2_en_cs'!$BG$6:$BG$271)</f>
        <v>5002.4066798773601</v>
      </c>
      <c r="T98">
        <f>_xlfn.XLOOKUP(D98,'[12]API_EN.POP.DNST_DS2_en_csv_v2_4'!$B$6:$B$271,'[12]API_EN.POP.DNST_DS2_en_csv_v2_4'!$BM$6:$BM$271)</f>
        <v>201.03520257543499</v>
      </c>
    </row>
    <row r="99" spans="1:20" x14ac:dyDescent="0.2">
      <c r="A99" s="161" t="s">
        <v>150</v>
      </c>
      <c r="B99" s="161">
        <v>388</v>
      </c>
      <c r="C99" s="161" t="s">
        <v>732</v>
      </c>
      <c r="D99" t="str">
        <f>_xlfn.XLOOKUP(B99,'Country Code M49'!$B$2:$B$250,'Country Code M49'!$C$2:$C$250,,0)</f>
        <v>JAM</v>
      </c>
      <c r="E99" s="162">
        <v>72.432162730095172</v>
      </c>
      <c r="F99" s="162">
        <v>213551.7453771396</v>
      </c>
      <c r="G99" s="160" t="s">
        <v>872</v>
      </c>
      <c r="H99" s="188">
        <f>_xlfn.XLOOKUP(D99,'[1]World Population'!$C$2:$C$267,'[1]World Population'!$BN$2:$BN$267)</f>
        <v>2961161</v>
      </c>
      <c r="I99" s="188">
        <v>52.171096801757798</v>
      </c>
      <c r="J99" s="194">
        <f>_xlfn.XLOOKUP(D99,'[2]GDP 2015 Constant'!$B$6:$B$271,'[2]GDP 2015 Constant'!$BM$6:$BM$271)</f>
        <v>13440715454</v>
      </c>
      <c r="K99" s="193">
        <f t="shared" si="2"/>
        <v>4539.0019164780297</v>
      </c>
      <c r="L99" s="194">
        <f>_xlfn.XLOOKUP(D99,'[5]Tourism Receipts'!$B$6:$B$271,'[5]Tourism Receipts'!$BK$6:$BK$271)</f>
        <v>0</v>
      </c>
      <c r="M99" s="195">
        <f t="shared" si="3"/>
        <v>0</v>
      </c>
      <c r="N99">
        <f>_xlfn.XLOOKUP(D99,'[6]API_NV.AGR.TOTL.ZS_DS2_en_csv_v'!$B$6:$B$271,'[6]API_NV.AGR.TOTL.ZS_DS2_en_csv_v'!$BL$6:$BL$271)</f>
        <v>7.0196021385184899</v>
      </c>
      <c r="O99" s="188">
        <f>_xlfn.XLOOKUP(D99,'[7]API_SP.RUR.TOTL_DS2_en_csv_v2_4'!$B$6:$B$271,'[7]API_SP.RUR.TOTL_DS2_en_csv_v2_4'!$BM$6:$BM$271)</f>
        <v>1293702</v>
      </c>
      <c r="P99" s="188">
        <f>_xlfn.XLOOKUP(D99,'[8]API_AG.PRD.FOOD.XD_DS2_en_csv_v'!$B$6:$B$271,'[8]API_AG.PRD.FOOD.XD_DS2_en_csv_v'!$BM$6:$BM$271)</f>
        <v>100.81</v>
      </c>
      <c r="Q99">
        <f>_xlfn.XLOOKUP(D99,'[9]API_NE.IMP.GNFS.ZS_DS2_en_csv_v'!$B$6:$B$271,'[9]API_NE.IMP.GNFS.ZS_DS2_en_csv_v'!$BK$6:$BK$271)</f>
        <v>51.414057756044997</v>
      </c>
      <c r="R99">
        <f>_xlfn.XLOOKUP(D99,'[10]API_NE.EXP.GNFS.ZS_DS2_en_csv_v'!$B$6:$B$271,'[10]API_NE.EXP.GNFS.ZS_DS2_en_csv_v'!$BL$6:$BL$271)</f>
        <v>38.036080747410601</v>
      </c>
      <c r="S99">
        <f>_xlfn.XLOOKUP(D99,'[11]API_EG.USE.ELEC.KH.PC_DS2_en_cs'!$B$6:$B$271,'[11]API_EG.USE.ELEC.KH.PC_DS2_en_cs'!$BG$6:$BG$271)</f>
        <v>1050.73253900597</v>
      </c>
      <c r="T99">
        <f>_xlfn.XLOOKUP(D99,'[12]API_EN.POP.DNST_DS2_en_csv_v2_4'!$B$6:$B$271,'[12]API_EN.POP.DNST_DS2_en_csv_v2_4'!$BM$6:$BM$271)</f>
        <v>273.42206832871699</v>
      </c>
    </row>
    <row r="100" spans="1:20" x14ac:dyDescent="0.2">
      <c r="A100" s="161" t="s">
        <v>152</v>
      </c>
      <c r="B100" s="161">
        <v>392</v>
      </c>
      <c r="C100" s="161" t="s">
        <v>117</v>
      </c>
      <c r="D100" t="str">
        <f>_xlfn.XLOOKUP(B100,'Country Code M49'!$B$2:$B$250,'Country Code M49'!$C$2:$C$250,,0)</f>
        <v>JPN</v>
      </c>
      <c r="E100" s="162">
        <v>64.321865991417496</v>
      </c>
      <c r="F100" s="162">
        <v>8159891.2162310211</v>
      </c>
      <c r="G100" s="160" t="s">
        <v>873</v>
      </c>
      <c r="H100" s="188">
        <f>_xlfn.XLOOKUP(D100,'[1]World Population'!$C$2:$C$267,'[1]World Population'!$BN$2:$BN$267)</f>
        <v>126261000</v>
      </c>
      <c r="I100" s="188">
        <v>100</v>
      </c>
      <c r="J100" s="194">
        <f>_xlfn.XLOOKUP(D100,'[2]GDP 2015 Constant'!$B$6:$B$271,'[2]GDP 2015 Constant'!$BM$6:$BM$271)</f>
        <v>4363130000000</v>
      </c>
      <c r="K100" s="193">
        <f t="shared" si="2"/>
        <v>34556.434686878769</v>
      </c>
      <c r="L100" s="194">
        <f>_xlfn.XLOOKUP(D100,'[5]Tourism Receipts'!$B$6:$B$271,'[5]Tourism Receipts'!$BK$6:$BK$271)</f>
        <v>45276000000</v>
      </c>
      <c r="M100" s="195">
        <f t="shared" si="3"/>
        <v>1.037695415905554E-2</v>
      </c>
      <c r="N100">
        <f>_xlfn.XLOOKUP(D100,'[6]API_NV.AGR.TOTL.ZS_DS2_en_csv_v'!$B$6:$B$271,'[6]API_NV.AGR.TOTL.ZS_DS2_en_csv_v'!$BL$6:$BL$271)</f>
        <v>1.0329079491315201</v>
      </c>
      <c r="O100" s="188">
        <f>_xlfn.XLOOKUP(D100,'[7]API_SP.RUR.TOTL_DS2_en_csv_v2_4'!$B$6:$B$271,'[7]API_SP.RUR.TOTL_DS2_en_csv_v2_4'!$BM$6:$BM$271)</f>
        <v>10376129</v>
      </c>
      <c r="P100" s="188">
        <f>_xlfn.XLOOKUP(D100,'[8]API_AG.PRD.FOOD.XD_DS2_en_csv_v'!$B$6:$B$271,'[8]API_AG.PRD.FOOD.XD_DS2_en_csv_v'!$BM$6:$BM$271)</f>
        <v>99.22</v>
      </c>
      <c r="Q100">
        <f>_xlfn.XLOOKUP(D100,'[9]API_NE.IMP.GNFS.ZS_DS2_en_csv_v'!$B$6:$B$271,'[9]API_NE.IMP.GNFS.ZS_DS2_en_csv_v'!$BK$6:$BK$271)</f>
        <v>18.306046193576101</v>
      </c>
      <c r="R100">
        <f>_xlfn.XLOOKUP(D100,'[10]API_NE.EXP.GNFS.ZS_DS2_en_csv_v'!$B$6:$B$271,'[10]API_NE.EXP.GNFS.ZS_DS2_en_csv_v'!$BL$6:$BL$271)</f>
        <v>17.445377832273799</v>
      </c>
      <c r="S100">
        <f>_xlfn.XLOOKUP(D100,'[11]API_EG.USE.ELEC.KH.PC_DS2_en_cs'!$B$6:$B$271,'[11]API_EG.USE.ELEC.KH.PC_DS2_en_cs'!$BG$6:$BG$271)</f>
        <v>7819.7146359093604</v>
      </c>
      <c r="T100">
        <f>_xlfn.XLOOKUP(D100,'[12]API_EN.POP.DNST_DS2_en_csv_v2_4'!$B$6:$B$271,'[12]API_EN.POP.DNST_DS2_en_csv_v2_4'!$BM$6:$BM$271)</f>
        <v>346.39506172839498</v>
      </c>
    </row>
    <row r="101" spans="1:20" x14ac:dyDescent="0.2">
      <c r="A101" s="161" t="s">
        <v>148</v>
      </c>
      <c r="B101" s="161">
        <v>400</v>
      </c>
      <c r="C101" s="161" t="s">
        <v>859</v>
      </c>
      <c r="D101" t="str">
        <f>_xlfn.XLOOKUP(B101,'Country Code M49'!$B$2:$B$250,'Country Code M49'!$C$2:$C$250,,0)</f>
        <v>JOR</v>
      </c>
      <c r="E101" s="162">
        <v>93.043415809981326</v>
      </c>
      <c r="F101" s="162">
        <v>939896.6734876883</v>
      </c>
      <c r="G101" s="160" t="s">
        <v>877</v>
      </c>
      <c r="H101" s="188">
        <f>_xlfn.XLOOKUP(D101,'[1]World Population'!$C$2:$C$267,'[1]World Population'!$BN$2:$BN$267)</f>
        <v>10203140</v>
      </c>
      <c r="I101" s="188">
        <v>98.099998474121094</v>
      </c>
      <c r="J101" s="194">
        <f>_xlfn.XLOOKUP(D101,'[2]GDP 2015 Constant'!$B$6:$B$271,'[2]GDP 2015 Constant'!$BM$6:$BM$271)</f>
        <v>41108073617</v>
      </c>
      <c r="K101" s="193">
        <f t="shared" si="2"/>
        <v>4028.9630071723018</v>
      </c>
      <c r="L101" s="194">
        <f>_xlfn.XLOOKUP(D101,'[5]Tourism Receipts'!$B$6:$B$271,'[5]Tourism Receipts'!$BK$6:$BK$271)</f>
        <v>6221000000</v>
      </c>
      <c r="M101" s="195">
        <f t="shared" si="3"/>
        <v>0.15133280284453277</v>
      </c>
      <c r="N101">
        <f>_xlfn.XLOOKUP(D101,'[6]API_NV.AGR.TOTL.ZS_DS2_en_csv_v'!$B$6:$B$271,'[6]API_NV.AGR.TOTL.ZS_DS2_en_csv_v'!$BL$6:$BL$271)</f>
        <v>4.9126437446810103</v>
      </c>
      <c r="O101" s="188">
        <f>_xlfn.XLOOKUP(D101,'[7]API_SP.RUR.TOTL_DS2_en_csv_v2_4'!$B$6:$B$271,'[7]API_SP.RUR.TOTL_DS2_en_csv_v2_4'!$BM$6:$BM$271)</f>
        <v>875633</v>
      </c>
      <c r="P101" s="188">
        <f>_xlfn.XLOOKUP(D101,'[8]API_AG.PRD.FOOD.XD_DS2_en_csv_v'!$B$6:$B$271,'[8]API_AG.PRD.FOOD.XD_DS2_en_csv_v'!$BM$6:$BM$271)</f>
        <v>99.04</v>
      </c>
      <c r="Q101">
        <f>_xlfn.XLOOKUP(D101,'[9]API_NE.IMP.GNFS.ZS_DS2_en_csv_v'!$B$6:$B$271,'[9]API_NE.IMP.GNFS.ZS_DS2_en_csv_v'!$BK$6:$BK$271)</f>
        <v>53.376769088439701</v>
      </c>
      <c r="R101">
        <f>_xlfn.XLOOKUP(D101,'[10]API_NE.EXP.GNFS.ZS_DS2_en_csv_v'!$B$6:$B$271,'[10]API_NE.EXP.GNFS.ZS_DS2_en_csv_v'!$BL$6:$BL$271)</f>
        <v>36.335030591663298</v>
      </c>
      <c r="S101">
        <f>_xlfn.XLOOKUP(D101,'[11]API_EG.USE.ELEC.KH.PC_DS2_en_cs'!$B$6:$B$271,'[11]API_EG.USE.ELEC.KH.PC_DS2_en_cs'!$BG$6:$BG$271)</f>
        <v>1864.9323868107199</v>
      </c>
      <c r="T101">
        <f>_xlfn.XLOOKUP(D101,'[12]API_EN.POP.DNST_DS2_en_csv_v2_4'!$B$6:$B$271,'[12]API_EN.POP.DNST_DS2_en_csv_v2_4'!$BM$6:$BM$271)</f>
        <v>114.90798927855499</v>
      </c>
    </row>
    <row r="102" spans="1:20" x14ac:dyDescent="0.2">
      <c r="A102" s="161" t="s">
        <v>871</v>
      </c>
      <c r="B102" s="161">
        <v>398</v>
      </c>
      <c r="C102" s="161" t="s">
        <v>690</v>
      </c>
      <c r="D102" t="str">
        <f>_xlfn.XLOOKUP(B102,'Country Code M49'!$B$2:$B$250,'Country Code M49'!$C$2:$C$250,,0)</f>
        <v>KAZ</v>
      </c>
      <c r="E102" s="162">
        <v>75.713119146168523</v>
      </c>
      <c r="F102" s="162">
        <v>1404584.3585282306</v>
      </c>
      <c r="G102" s="160" t="s">
        <v>872</v>
      </c>
      <c r="H102" s="188">
        <f>_xlfn.XLOOKUP(D102,'[1]World Population'!$C$2:$C$267,'[1]World Population'!$BN$2:$BN$267)</f>
        <v>18755666</v>
      </c>
      <c r="I102" s="188">
        <v>100</v>
      </c>
      <c r="J102" s="194">
        <f>_xlfn.XLOOKUP(D102,'[2]GDP 2015 Constant'!$B$6:$B$271,'[2]GDP 2015 Constant'!$BM$6:$BM$271)</f>
        <v>205829000000</v>
      </c>
      <c r="K102" s="193">
        <f t="shared" si="2"/>
        <v>10974.230400562688</v>
      </c>
      <c r="L102" s="194">
        <f>_xlfn.XLOOKUP(D102,'[5]Tourism Receipts'!$B$6:$B$271,'[5]Tourism Receipts'!$BK$6:$BK$271)</f>
        <v>2651000000</v>
      </c>
      <c r="M102" s="195">
        <f t="shared" si="3"/>
        <v>1.2879623376686473E-2</v>
      </c>
      <c r="N102">
        <f>_xlfn.XLOOKUP(D102,'[6]API_NV.AGR.TOTL.ZS_DS2_en_csv_v'!$B$6:$B$271,'[6]API_NV.AGR.TOTL.ZS_DS2_en_csv_v'!$BL$6:$BL$271)</f>
        <v>4.4663359581275097</v>
      </c>
      <c r="O102" s="188">
        <f>_xlfn.XLOOKUP(D102,'[7]API_SP.RUR.TOTL_DS2_en_csv_v2_4'!$B$6:$B$271,'[7]API_SP.RUR.TOTL_DS2_en_csv_v2_4'!$BM$6:$BM$271)</f>
        <v>7939086</v>
      </c>
      <c r="P102" s="188">
        <f>_xlfn.XLOOKUP(D102,'[8]API_AG.PRD.FOOD.XD_DS2_en_csv_v'!$B$6:$B$271,'[8]API_AG.PRD.FOOD.XD_DS2_en_csv_v'!$BM$6:$BM$271)</f>
        <v>116.77</v>
      </c>
      <c r="Q102">
        <f>_xlfn.XLOOKUP(D102,'[9]API_NE.IMP.GNFS.ZS_DS2_en_csv_v'!$B$6:$B$271,'[9]API_NE.IMP.GNFS.ZS_DS2_en_csv_v'!$BK$6:$BK$271)</f>
        <v>25.9027380865315</v>
      </c>
      <c r="R102">
        <f>_xlfn.XLOOKUP(D102,'[10]API_NE.EXP.GNFS.ZS_DS2_en_csv_v'!$B$6:$B$271,'[10]API_NE.EXP.GNFS.ZS_DS2_en_csv_v'!$BL$6:$BL$271)</f>
        <v>36.4389870990994</v>
      </c>
      <c r="S102">
        <f>_xlfn.XLOOKUP(D102,'[11]API_EG.USE.ELEC.KH.PC_DS2_en_cs'!$B$6:$B$271,'[11]API_EG.USE.ELEC.KH.PC_DS2_en_cs'!$BG$6:$BG$271)</f>
        <v>5600.2084648650798</v>
      </c>
      <c r="T102">
        <f>_xlfn.XLOOKUP(D102,'[12]API_EN.POP.DNST_DS2_en_csv_v2_4'!$B$6:$B$271,'[12]API_EN.POP.DNST_DS2_en_csv_v2_4'!$BM$6:$BM$271)</f>
        <v>6.9473148868392798</v>
      </c>
    </row>
    <row r="103" spans="1:20" x14ac:dyDescent="0.2">
      <c r="A103" s="161" t="s">
        <v>154</v>
      </c>
      <c r="B103" s="161">
        <v>404</v>
      </c>
      <c r="C103" s="161" t="s">
        <v>118</v>
      </c>
      <c r="D103" t="str">
        <f>_xlfn.XLOOKUP(B103,'Country Code M49'!$B$2:$B$250,'Country Code M49'!$C$2:$C$250,,0)</f>
        <v>KEN</v>
      </c>
      <c r="E103" s="162">
        <v>99.238536991573298</v>
      </c>
      <c r="F103" s="162">
        <v>5217366.8437949745</v>
      </c>
      <c r="G103" s="160" t="s">
        <v>873</v>
      </c>
      <c r="H103" s="188">
        <f>_xlfn.XLOOKUP(D103,'[1]World Population'!$C$2:$C$267,'[1]World Population'!$BN$2:$BN$267)</f>
        <v>53771300</v>
      </c>
      <c r="I103" s="188">
        <v>100</v>
      </c>
      <c r="J103" s="194">
        <f>_xlfn.XLOOKUP(D103,'[2]GDP 2015 Constant'!$B$6:$B$271,'[2]GDP 2015 Constant'!$BM$6:$BM$271)</f>
        <v>84054150946</v>
      </c>
      <c r="K103" s="193">
        <f t="shared" si="2"/>
        <v>1563.1787021329221</v>
      </c>
      <c r="L103" s="194">
        <f>_xlfn.XLOOKUP(D103,'[5]Tourism Receipts'!$B$6:$B$271,'[5]Tourism Receipts'!$BK$6:$BK$271)</f>
        <v>1784000000</v>
      </c>
      <c r="M103" s="195">
        <f t="shared" si="3"/>
        <v>2.1224412832938116E-2</v>
      </c>
      <c r="N103">
        <f>_xlfn.XLOOKUP(D103,'[6]API_NV.AGR.TOTL.ZS_DS2_en_csv_v'!$B$6:$B$271,'[6]API_NV.AGR.TOTL.ZS_DS2_en_csv_v'!$BL$6:$BL$271)</f>
        <v>20.8611638110686</v>
      </c>
      <c r="O103" s="188">
        <f>_xlfn.XLOOKUP(D103,'[7]API_SP.RUR.TOTL_DS2_en_csv_v2_4'!$B$6:$B$271,'[7]API_SP.RUR.TOTL_DS2_en_csv_v2_4'!$BM$6:$BM$271)</f>
        <v>38718025</v>
      </c>
      <c r="P103" s="188">
        <f>_xlfn.XLOOKUP(D103,'[8]API_AG.PRD.FOOD.XD_DS2_en_csv_v'!$B$6:$B$271,'[8]API_AG.PRD.FOOD.XD_DS2_en_csv_v'!$BM$6:$BM$271)</f>
        <v>108.87</v>
      </c>
      <c r="Q103">
        <f>_xlfn.XLOOKUP(D103,'[9]API_NE.IMP.GNFS.ZS_DS2_en_csv_v'!$B$6:$B$271,'[9]API_NE.IMP.GNFS.ZS_DS2_en_csv_v'!$BK$6:$BK$271)</f>
        <v>21.872777843383499</v>
      </c>
      <c r="R103">
        <f>_xlfn.XLOOKUP(D103,'[10]API_NE.EXP.GNFS.ZS_DS2_en_csv_v'!$B$6:$B$271,'[10]API_NE.EXP.GNFS.ZS_DS2_en_csv_v'!$BL$6:$BL$271)</f>
        <v>11.4279966637126</v>
      </c>
      <c r="S103">
        <f>_xlfn.XLOOKUP(D103,'[11]API_EG.USE.ELEC.KH.PC_DS2_en_cs'!$B$6:$B$271,'[11]API_EG.USE.ELEC.KH.PC_DS2_en_cs'!$BG$6:$BG$271)</f>
        <v>164.32526011795699</v>
      </c>
      <c r="T103">
        <f>_xlfn.XLOOKUP(D103,'[12]API_EN.POP.DNST_DS2_en_csv_v2_4'!$B$6:$B$271,'[12]API_EN.POP.DNST_DS2_en_csv_v2_4'!$BM$6:$BM$271)</f>
        <v>94.478160030923803</v>
      </c>
    </row>
    <row r="104" spans="1:20" x14ac:dyDescent="0.2">
      <c r="A104" s="161" t="s">
        <v>875</v>
      </c>
      <c r="B104" s="161">
        <v>296</v>
      </c>
      <c r="C104" s="161" t="s">
        <v>758</v>
      </c>
      <c r="D104" t="str">
        <f>_xlfn.XLOOKUP(B104,'Country Code M49'!$B$2:$B$250,'Country Code M49'!$C$2:$C$250,,0)</f>
        <v>KIR</v>
      </c>
      <c r="E104" s="162">
        <v>91.016179554931128</v>
      </c>
      <c r="F104" s="162">
        <v>10703.502715659901</v>
      </c>
      <c r="G104" s="160" t="s">
        <v>872</v>
      </c>
      <c r="H104" s="188">
        <f>_xlfn.XLOOKUP(D104,'[1]World Population'!$C$2:$C$267,'[1]World Population'!$BN$2:$BN$267)</f>
        <v>119446</v>
      </c>
      <c r="I104" s="188">
        <v>100</v>
      </c>
      <c r="J104" s="194">
        <f>_xlfn.XLOOKUP(D104,'[2]GDP 2015 Constant'!$B$6:$B$271,'[2]GDP 2015 Constant'!$BM$6:$BM$271)</f>
        <v>176050030.09999999</v>
      </c>
      <c r="K104" s="193">
        <f t="shared" si="2"/>
        <v>1473.8880339232792</v>
      </c>
      <c r="L104" s="194">
        <f>_xlfn.XLOOKUP(D104,'[5]Tourism Receipts'!$B$6:$B$271,'[5]Tourism Receipts'!$BK$6:$BK$271)</f>
        <v>0</v>
      </c>
      <c r="M104" s="195">
        <f t="shared" si="3"/>
        <v>0</v>
      </c>
      <c r="N104">
        <f>_xlfn.XLOOKUP(D104,'[6]API_NV.AGR.TOTL.ZS_DS2_en_csv_v'!$B$6:$B$271,'[6]API_NV.AGR.TOTL.ZS_DS2_en_csv_v'!$BL$6:$BL$271)</f>
        <v>31.166940146898</v>
      </c>
      <c r="O104" s="188">
        <f>_xlfn.XLOOKUP(D104,'[7]API_SP.RUR.TOTL_DS2_en_csv_v2_4'!$B$6:$B$271,'[7]API_SP.RUR.TOTL_DS2_en_csv_v2_4'!$BM$6:$BM$271)</f>
        <v>53041</v>
      </c>
      <c r="P104" s="188">
        <f>_xlfn.XLOOKUP(D104,'[8]API_AG.PRD.FOOD.XD_DS2_en_csv_v'!$B$6:$B$271,'[8]API_AG.PRD.FOOD.XD_DS2_en_csv_v'!$BM$6:$BM$271)</f>
        <v>94.42</v>
      </c>
      <c r="Q104">
        <f>_xlfn.XLOOKUP(D104,'[9]API_NE.IMP.GNFS.ZS_DS2_en_csv_v'!$B$6:$B$271,'[9]API_NE.IMP.GNFS.ZS_DS2_en_csv_v'!$BK$6:$BK$271)</f>
        <v>88.991566242123099</v>
      </c>
      <c r="R104">
        <f>_xlfn.XLOOKUP(D104,'[10]API_NE.EXP.GNFS.ZS_DS2_en_csv_v'!$B$6:$B$271,'[10]API_NE.EXP.GNFS.ZS_DS2_en_csv_v'!$BL$6:$BL$271)</f>
        <v>0</v>
      </c>
      <c r="S104">
        <f>_xlfn.XLOOKUP(D104,'[11]API_EG.USE.ELEC.KH.PC_DS2_en_cs'!$B$6:$B$271,'[11]API_EG.USE.ELEC.KH.PC_DS2_en_cs'!$BG$6:$BG$271)</f>
        <v>0</v>
      </c>
      <c r="T104">
        <f>_xlfn.XLOOKUP(D104,'[12]API_EN.POP.DNST_DS2_en_csv_v2_4'!$B$6:$B$271,'[12]API_EN.POP.DNST_DS2_en_csv_v2_4'!$BM$6:$BM$271)</f>
        <v>147.464197530864</v>
      </c>
    </row>
    <row r="105" spans="1:20" x14ac:dyDescent="0.2">
      <c r="A105" s="161" t="s">
        <v>148</v>
      </c>
      <c r="B105" s="161">
        <v>414</v>
      </c>
      <c r="C105" s="161" t="s">
        <v>860</v>
      </c>
      <c r="D105" t="str">
        <f>_xlfn.XLOOKUP(B105,'Country Code M49'!$B$2:$B$250,'Country Code M49'!$C$2:$C$250,,0)</f>
        <v>KWT</v>
      </c>
      <c r="E105" s="162">
        <v>94.532022754949935</v>
      </c>
      <c r="F105" s="162">
        <v>397705.67293234984</v>
      </c>
      <c r="G105" s="160" t="s">
        <v>877</v>
      </c>
      <c r="H105" s="188">
        <f>_xlfn.XLOOKUP(D105,'[1]World Population'!$C$2:$C$267,'[1]World Population'!$BN$2:$BN$267)</f>
        <v>4270563</v>
      </c>
      <c r="I105" s="188">
        <v>56.258693695068402</v>
      </c>
      <c r="J105" s="194">
        <f>_xlfn.XLOOKUP(D105,'[2]GDP 2015 Constant'!$B$6:$B$271,'[2]GDP 2015 Constant'!$BM$6:$BM$271)</f>
        <v>104327000000</v>
      </c>
      <c r="K105" s="193">
        <f t="shared" si="2"/>
        <v>24429.331682965454</v>
      </c>
      <c r="L105" s="194">
        <f>_xlfn.XLOOKUP(D105,'[5]Tourism Receipts'!$B$6:$B$271,'[5]Tourism Receipts'!$BK$6:$BK$271)</f>
        <v>919000000</v>
      </c>
      <c r="M105" s="195">
        <f t="shared" si="3"/>
        <v>8.8088414312689906E-3</v>
      </c>
      <c r="N105">
        <f>_xlfn.XLOOKUP(D105,'[6]API_NV.AGR.TOTL.ZS_DS2_en_csv_v'!$B$6:$B$271,'[6]API_NV.AGR.TOTL.ZS_DS2_en_csv_v'!$BL$6:$BL$271)</f>
        <v>0.38457981162383698</v>
      </c>
      <c r="O105" s="188">
        <f>_xlfn.XLOOKUP(D105,'[7]API_SP.RUR.TOTL_DS2_en_csv_v2_4'!$B$6:$B$271,'[7]API_SP.RUR.TOTL_DS2_en_csv_v2_4'!$BM$6:$BM$271)</f>
        <v>0</v>
      </c>
      <c r="P105" s="188">
        <f>_xlfn.XLOOKUP(D105,'[8]API_AG.PRD.FOOD.XD_DS2_en_csv_v'!$B$6:$B$271,'[8]API_AG.PRD.FOOD.XD_DS2_en_csv_v'!$BM$6:$BM$271)</f>
        <v>118.39</v>
      </c>
      <c r="Q105">
        <f>_xlfn.XLOOKUP(D105,'[9]API_NE.IMP.GNFS.ZS_DS2_en_csv_v'!$B$6:$B$271,'[9]API_NE.IMP.GNFS.ZS_DS2_en_csv_v'!$BK$6:$BK$271)</f>
        <v>45.619963447481801</v>
      </c>
      <c r="R105">
        <f>_xlfn.XLOOKUP(D105,'[10]API_NE.EXP.GNFS.ZS_DS2_en_csv_v'!$B$6:$B$271,'[10]API_NE.EXP.GNFS.ZS_DS2_en_csv_v'!$BL$6:$BL$271)</f>
        <v>53.293432793340202</v>
      </c>
      <c r="S105">
        <f>_xlfn.XLOOKUP(D105,'[11]API_EG.USE.ELEC.KH.PC_DS2_en_cs'!$B$6:$B$271,'[11]API_EG.USE.ELEC.KH.PC_DS2_en_cs'!$BG$6:$BG$271)</f>
        <v>15590.612578533501</v>
      </c>
      <c r="T105">
        <f>_xlfn.XLOOKUP(D105,'[12]API_EN.POP.DNST_DS2_en_csv_v2_4'!$B$6:$B$271,'[12]API_EN.POP.DNST_DS2_en_csv_v2_4'!$BM$6:$BM$271)</f>
        <v>239.65</v>
      </c>
    </row>
    <row r="106" spans="1:20" x14ac:dyDescent="0.2">
      <c r="A106" s="161" t="s">
        <v>871</v>
      </c>
      <c r="B106" s="161">
        <v>417</v>
      </c>
      <c r="C106" s="190" t="s">
        <v>691</v>
      </c>
      <c r="D106" t="str">
        <f>_xlfn.XLOOKUP(B106,'Country Code M49'!$B$2:$B$250,'Country Code M49'!$C$2:$C$250,,0)</f>
        <v>KGZ</v>
      </c>
      <c r="E106" s="162">
        <v>91.016179554931128</v>
      </c>
      <c r="F106" s="162">
        <v>583950.70640648261</v>
      </c>
      <c r="G106" s="160" t="s">
        <v>872</v>
      </c>
      <c r="H106" s="188">
        <f>_xlfn.XLOOKUP(D106,'[1]World Population'!$C$2:$C$267,'[1]World Population'!$BN$2:$BN$267)</f>
        <v>6579900</v>
      </c>
      <c r="I106" s="188">
        <v>62.273067474365199</v>
      </c>
      <c r="J106" s="194">
        <f>_xlfn.XLOOKUP(D106,'[2]GDP 2015 Constant'!$B$6:$B$271,'[2]GDP 2015 Constant'!$BM$6:$BM$271)</f>
        <v>7255421236</v>
      </c>
      <c r="K106" s="193">
        <f t="shared" si="2"/>
        <v>1102.6643620723719</v>
      </c>
      <c r="L106" s="194">
        <f>_xlfn.XLOOKUP(D106,'[5]Tourism Receipts'!$B$6:$B$271,'[5]Tourism Receipts'!$BK$6:$BK$271)</f>
        <v>518000000</v>
      </c>
      <c r="M106" s="195">
        <f t="shared" si="3"/>
        <v>7.1394889855572269E-2</v>
      </c>
      <c r="N106">
        <f>_xlfn.XLOOKUP(D106,'[6]API_NV.AGR.TOTL.ZS_DS2_en_csv_v'!$B$6:$B$271,'[6]API_NV.AGR.TOTL.ZS_DS2_en_csv_v'!$BL$6:$BL$271)</f>
        <v>11.665108228408601</v>
      </c>
      <c r="O106" s="188">
        <f>_xlfn.XLOOKUP(D106,'[7]API_SP.RUR.TOTL_DS2_en_csv_v2_4'!$B$6:$B$271,'[7]API_SP.RUR.TOTL_DS2_en_csv_v2_4'!$BM$6:$BM$271)</f>
        <v>4154812</v>
      </c>
      <c r="P106" s="188">
        <f>_xlfn.XLOOKUP(D106,'[8]API_AG.PRD.FOOD.XD_DS2_en_csv_v'!$B$6:$B$271,'[8]API_AG.PRD.FOOD.XD_DS2_en_csv_v'!$BM$6:$BM$271)</f>
        <v>110.21</v>
      </c>
      <c r="Q106">
        <f>_xlfn.XLOOKUP(D106,'[9]API_NE.IMP.GNFS.ZS_DS2_en_csv_v'!$B$6:$B$271,'[9]API_NE.IMP.GNFS.ZS_DS2_en_csv_v'!$BK$6:$BK$271)</f>
        <v>67.273829896646504</v>
      </c>
      <c r="R106">
        <f>_xlfn.XLOOKUP(D106,'[10]API_NE.EXP.GNFS.ZS_DS2_en_csv_v'!$B$6:$B$271,'[10]API_NE.EXP.GNFS.ZS_DS2_en_csv_v'!$BL$6:$BL$271)</f>
        <v>35.2341542041409</v>
      </c>
      <c r="S106">
        <f>_xlfn.XLOOKUP(D106,'[11]API_EG.USE.ELEC.KH.PC_DS2_en_cs'!$B$6:$B$271,'[11]API_EG.USE.ELEC.KH.PC_DS2_en_cs'!$BG$6:$BG$271)</f>
        <v>1941.22183189101</v>
      </c>
      <c r="T106">
        <f>_xlfn.XLOOKUP(D106,'[12]API_EN.POP.DNST_DS2_en_csv_v2_4'!$B$6:$B$271,'[12]API_EN.POP.DNST_DS2_en_csv_v2_4'!$BM$6:$BM$271)</f>
        <v>34.306047966631901</v>
      </c>
    </row>
    <row r="107" spans="1:20" x14ac:dyDescent="0.2">
      <c r="A107" s="161" t="s">
        <v>157</v>
      </c>
      <c r="B107" s="161">
        <v>418</v>
      </c>
      <c r="C107" s="161" t="s">
        <v>791</v>
      </c>
      <c r="D107" t="str">
        <f>_xlfn.XLOOKUP(B107,'Country Code M49'!$B$2:$B$250,'Country Code M49'!$C$2:$C$250,,0)</f>
        <v>LAO</v>
      </c>
      <c r="E107" s="162">
        <v>86.337126699430399</v>
      </c>
      <c r="F107" s="162">
        <v>618994.02987156634</v>
      </c>
      <c r="G107" s="160" t="s">
        <v>872</v>
      </c>
      <c r="H107" s="188">
        <f>_xlfn.XLOOKUP(D107,'[1]World Population'!$C$2:$C$267,'[1]World Population'!$BN$2:$BN$267)</f>
        <v>7275556</v>
      </c>
      <c r="I107" s="188">
        <v>71.994758605957003</v>
      </c>
      <c r="J107" s="194">
        <f>_xlfn.XLOOKUP(D107,'[2]GDP 2015 Constant'!$B$6:$B$271,'[2]GDP 2015 Constant'!$BM$6:$BM$271)</f>
        <v>18584865506</v>
      </c>
      <c r="K107" s="193">
        <f t="shared" si="2"/>
        <v>2554.4254632910529</v>
      </c>
      <c r="L107" s="194">
        <f>_xlfn.XLOOKUP(D107,'[5]Tourism Receipts'!$B$6:$B$271,'[5]Tourism Receipts'!$BK$6:$BK$271)</f>
        <v>833000000</v>
      </c>
      <c r="M107" s="195">
        <f t="shared" si="3"/>
        <v>4.4821416637697564E-2</v>
      </c>
      <c r="N107">
        <f>_xlfn.XLOOKUP(D107,'[6]API_NV.AGR.TOTL.ZS_DS2_en_csv_v'!$B$6:$B$271,'[6]API_NV.AGR.TOTL.ZS_DS2_en_csv_v'!$BL$6:$BL$271)</f>
        <v>16.050339057034101</v>
      </c>
      <c r="O107" s="188">
        <f>_xlfn.XLOOKUP(D107,'[7]API_SP.RUR.TOTL_DS2_en_csv_v2_4'!$B$6:$B$271,'[7]API_SP.RUR.TOTL_DS2_en_csv_v2_4'!$BM$6:$BM$271)</f>
        <v>4635257</v>
      </c>
      <c r="P107" s="188">
        <f>_xlfn.XLOOKUP(D107,'[8]API_AG.PRD.FOOD.XD_DS2_en_csv_v'!$B$6:$B$271,'[8]API_AG.PRD.FOOD.XD_DS2_en_csv_v'!$BM$6:$BM$271)</f>
        <v>103.85</v>
      </c>
      <c r="Q107">
        <f>_xlfn.XLOOKUP(D107,'[9]API_NE.IMP.GNFS.ZS_DS2_en_csv_v'!$B$6:$B$271,'[9]API_NE.IMP.GNFS.ZS_DS2_en_csv_v'!$BK$6:$BK$271)</f>
        <v>0</v>
      </c>
      <c r="R107">
        <f>_xlfn.XLOOKUP(D107,'[10]API_NE.EXP.GNFS.ZS_DS2_en_csv_v'!$B$6:$B$271,'[10]API_NE.EXP.GNFS.ZS_DS2_en_csv_v'!$BL$6:$BL$271)</f>
        <v>0</v>
      </c>
      <c r="S107">
        <f>_xlfn.XLOOKUP(D107,'[11]API_EG.USE.ELEC.KH.PC_DS2_en_cs'!$B$6:$B$271,'[11]API_EG.USE.ELEC.KH.PC_DS2_en_cs'!$BG$6:$BG$271)</f>
        <v>0</v>
      </c>
      <c r="T107">
        <f>_xlfn.XLOOKUP(D107,'[12]API_EN.POP.DNST_DS2_en_csv_v2_4'!$B$6:$B$271,'[12]API_EN.POP.DNST_DS2_en_csv_v2_4'!$BM$6:$BM$271)</f>
        <v>31.5232062391681</v>
      </c>
    </row>
    <row r="108" spans="1:20" x14ac:dyDescent="0.2">
      <c r="A108" s="161" t="s">
        <v>153</v>
      </c>
      <c r="B108" s="161">
        <v>428</v>
      </c>
      <c r="C108" s="161" t="s">
        <v>777</v>
      </c>
      <c r="D108" t="str">
        <f>_xlfn.XLOOKUP(B108,'Country Code M49'!$B$2:$B$250,'Country Code M49'!$C$2:$C$250,,0)</f>
        <v>LVA</v>
      </c>
      <c r="E108" s="162">
        <v>76.185479353763768</v>
      </c>
      <c r="F108" s="162">
        <v>145262.85348382135</v>
      </c>
      <c r="G108" s="160" t="s">
        <v>877</v>
      </c>
      <c r="H108" s="188">
        <f>_xlfn.XLOOKUP(D108,'[1]World Population'!$C$2:$C$267,'[1]World Population'!$BN$2:$BN$267)</f>
        <v>1900449</v>
      </c>
      <c r="I108" s="188">
        <v>91.571563720703097</v>
      </c>
      <c r="J108" s="194">
        <f>_xlfn.XLOOKUP(D108,'[2]GDP 2015 Constant'!$B$6:$B$271,'[2]GDP 2015 Constant'!$BM$6:$BM$271)</f>
        <v>29570216090</v>
      </c>
      <c r="K108" s="193">
        <f t="shared" si="2"/>
        <v>15559.594648422557</v>
      </c>
      <c r="L108" s="194">
        <f>_xlfn.XLOOKUP(D108,'[5]Tourism Receipts'!$B$6:$B$271,'[5]Tourism Receipts'!$BK$6:$BK$271)</f>
        <v>0</v>
      </c>
      <c r="M108" s="195">
        <f t="shared" si="3"/>
        <v>0</v>
      </c>
      <c r="N108">
        <f>_xlfn.XLOOKUP(D108,'[6]API_NV.AGR.TOTL.ZS_DS2_en_csv_v'!$B$6:$B$271,'[6]API_NV.AGR.TOTL.ZS_DS2_en_csv_v'!$BL$6:$BL$271)</f>
        <v>3.9951679796622299</v>
      </c>
      <c r="O108" s="188">
        <f>_xlfn.XLOOKUP(D108,'[7]API_SP.RUR.TOTL_DS2_en_csv_v2_4'!$B$6:$B$271,'[7]API_SP.RUR.TOTL_DS2_en_csv_v2_4'!$BM$6:$BM$271)</f>
        <v>602157</v>
      </c>
      <c r="P108" s="188">
        <f>_xlfn.XLOOKUP(D108,'[8]API_AG.PRD.FOOD.XD_DS2_en_csv_v'!$B$6:$B$271,'[8]API_AG.PRD.FOOD.XD_DS2_en_csv_v'!$BM$6:$BM$271)</f>
        <v>110.98</v>
      </c>
      <c r="Q108">
        <f>_xlfn.XLOOKUP(D108,'[9]API_NE.IMP.GNFS.ZS_DS2_en_csv_v'!$B$6:$B$271,'[9]API_NE.IMP.GNFS.ZS_DS2_en_csv_v'!$BK$6:$BK$271)</f>
        <v>62.1773858393124</v>
      </c>
      <c r="R108">
        <f>_xlfn.XLOOKUP(D108,'[10]API_NE.EXP.GNFS.ZS_DS2_en_csv_v'!$B$6:$B$271,'[10]API_NE.EXP.GNFS.ZS_DS2_en_csv_v'!$BL$6:$BL$271)</f>
        <v>59.836973152085399</v>
      </c>
      <c r="S108">
        <f>_xlfn.XLOOKUP(D108,'[11]API_EG.USE.ELEC.KH.PC_DS2_en_cs'!$B$6:$B$271,'[11]API_EG.USE.ELEC.KH.PC_DS2_en_cs'!$BG$6:$BG$271)</f>
        <v>3507.4045206547198</v>
      </c>
      <c r="T108">
        <f>_xlfn.XLOOKUP(D108,'[12]API_EN.POP.DNST_DS2_en_csv_v2_4'!$B$6:$B$271,'[12]API_EN.POP.DNST_DS2_en_csv_v2_4'!$BM$6:$BM$271)</f>
        <v>30.5391129680219</v>
      </c>
    </row>
    <row r="109" spans="1:20" x14ac:dyDescent="0.2">
      <c r="A109" s="161" t="s">
        <v>148</v>
      </c>
      <c r="B109" s="161">
        <v>422</v>
      </c>
      <c r="C109" s="161" t="s">
        <v>119</v>
      </c>
      <c r="D109" t="str">
        <f>_xlfn.XLOOKUP(B109,'Country Code M49'!$B$2:$B$250,'Country Code M49'!$C$2:$C$250,,0)</f>
        <v>LBN</v>
      </c>
      <c r="E109" s="162">
        <v>104.65616045845272</v>
      </c>
      <c r="F109" s="162">
        <v>717491.23925501434</v>
      </c>
      <c r="G109" s="160" t="s">
        <v>873</v>
      </c>
      <c r="H109" s="188">
        <f>_xlfn.XLOOKUP(D109,'[1]World Population'!$C$2:$C$267,'[1]World Population'!$BN$2:$BN$267)</f>
        <v>6825442</v>
      </c>
      <c r="I109" s="188">
        <v>47.352737426757798</v>
      </c>
      <c r="J109" s="194">
        <f>_xlfn.XLOOKUP(D109,'[2]GDP 2015 Constant'!$B$6:$B$271,'[2]GDP 2015 Constant'!$BM$6:$BM$271)</f>
        <v>34621752540</v>
      </c>
      <c r="K109" s="193">
        <f t="shared" si="2"/>
        <v>5072.4557530486672</v>
      </c>
      <c r="L109" s="194">
        <f>_xlfn.XLOOKUP(D109,'[5]Tourism Receipts'!$B$6:$B$271,'[5]Tourism Receipts'!$BK$6:$BK$271)</f>
        <v>8694000000</v>
      </c>
      <c r="M109" s="195">
        <f t="shared" si="3"/>
        <v>0.25111380453532639</v>
      </c>
      <c r="N109">
        <f>_xlfn.XLOOKUP(D109,'[6]API_NV.AGR.TOTL.ZS_DS2_en_csv_v'!$B$6:$B$271,'[6]API_NV.AGR.TOTL.ZS_DS2_en_csv_v'!$BL$6:$BL$271)</f>
        <v>3.1690998514984998</v>
      </c>
      <c r="O109" s="188">
        <f>_xlfn.XLOOKUP(D109,'[7]API_SP.RUR.TOTL_DS2_en_csv_v2_4'!$B$6:$B$271,'[7]API_SP.RUR.TOTL_DS2_en_csv_v2_4'!$BM$6:$BM$271)</f>
        <v>755918</v>
      </c>
      <c r="P109" s="188">
        <f>_xlfn.XLOOKUP(D109,'[8]API_AG.PRD.FOOD.XD_DS2_en_csv_v'!$B$6:$B$271,'[8]API_AG.PRD.FOOD.XD_DS2_en_csv_v'!$BM$6:$BM$271)</f>
        <v>100.2</v>
      </c>
      <c r="Q109">
        <f>_xlfn.XLOOKUP(D109,'[9]API_NE.IMP.GNFS.ZS_DS2_en_csv_v'!$B$6:$B$271,'[9]API_NE.IMP.GNFS.ZS_DS2_en_csv_v'!$BK$6:$BK$271)</f>
        <v>47.502786145557799</v>
      </c>
      <c r="R109">
        <f>_xlfn.XLOOKUP(D109,'[10]API_NE.EXP.GNFS.ZS_DS2_en_csv_v'!$B$6:$B$271,'[10]API_NE.EXP.GNFS.ZS_DS2_en_csv_v'!$BL$6:$BL$271)</f>
        <v>20.6977589568566</v>
      </c>
      <c r="S109">
        <f>_xlfn.XLOOKUP(D109,'[11]API_EG.USE.ELEC.KH.PC_DS2_en_cs'!$B$6:$B$271,'[11]API_EG.USE.ELEC.KH.PC_DS2_en_cs'!$BG$6:$BG$271)</f>
        <v>2588.8645443588798</v>
      </c>
      <c r="T109">
        <f>_xlfn.XLOOKUP(D109,'[12]API_EN.POP.DNST_DS2_en_csv_v2_4'!$B$6:$B$271,'[12]API_EN.POP.DNST_DS2_en_csv_v2_4'!$BM$6:$BM$271)</f>
        <v>667.19863147605099</v>
      </c>
    </row>
    <row r="110" spans="1:20" x14ac:dyDescent="0.2">
      <c r="A110" s="161" t="s">
        <v>154</v>
      </c>
      <c r="B110" s="161">
        <v>426</v>
      </c>
      <c r="C110" s="161" t="s">
        <v>833</v>
      </c>
      <c r="D110" t="str">
        <f>_xlfn.XLOOKUP(B110,'Country Code M49'!$B$2:$B$250,'Country Code M49'!$C$2:$C$250,,0)</f>
        <v>LSO</v>
      </c>
      <c r="E110" s="162">
        <v>99.59129668943163</v>
      </c>
      <c r="F110" s="162">
        <v>211661.38285404906</v>
      </c>
      <c r="G110" s="160" t="s">
        <v>877</v>
      </c>
      <c r="H110" s="188">
        <f>_xlfn.XLOOKUP(D110,'[1]World Population'!$C$2:$C$267,'[1]World Population'!$BN$2:$BN$267)</f>
        <v>2142252</v>
      </c>
      <c r="I110" s="188">
        <v>100</v>
      </c>
      <c r="J110" s="194">
        <f>_xlfn.XLOOKUP(D110,'[2]GDP 2015 Constant'!$B$6:$B$271,'[2]GDP 2015 Constant'!$BM$6:$BM$271)</f>
        <v>2213872052</v>
      </c>
      <c r="K110" s="193">
        <f t="shared" si="2"/>
        <v>1033.4321321674574</v>
      </c>
      <c r="L110" s="194">
        <f>_xlfn.XLOOKUP(D110,'[5]Tourism Receipts'!$B$6:$B$271,'[5]Tourism Receipts'!$BK$6:$BK$271)</f>
        <v>0</v>
      </c>
      <c r="M110" s="195">
        <f t="shared" si="3"/>
        <v>0</v>
      </c>
      <c r="N110">
        <f>_xlfn.XLOOKUP(D110,'[6]API_NV.AGR.TOTL.ZS_DS2_en_csv_v'!$B$6:$B$271,'[6]API_NV.AGR.TOTL.ZS_DS2_en_csv_v'!$BL$6:$BL$271)</f>
        <v>4.3386561443384801</v>
      </c>
      <c r="O110" s="188">
        <f>_xlfn.XLOOKUP(D110,'[7]API_SP.RUR.TOTL_DS2_en_csv_v2_4'!$B$6:$B$271,'[7]API_SP.RUR.TOTL_DS2_en_csv_v2_4'!$BM$6:$BM$271)</f>
        <v>1520399</v>
      </c>
      <c r="P110" s="188">
        <f>_xlfn.XLOOKUP(D110,'[8]API_AG.PRD.FOOD.XD_DS2_en_csv_v'!$B$6:$B$271,'[8]API_AG.PRD.FOOD.XD_DS2_en_csv_v'!$BM$6:$BM$271)</f>
        <v>98.58</v>
      </c>
      <c r="Q110">
        <f>_xlfn.XLOOKUP(D110,'[9]API_NE.IMP.GNFS.ZS_DS2_en_csv_v'!$B$6:$B$271,'[9]API_NE.IMP.GNFS.ZS_DS2_en_csv_v'!$BK$6:$BK$271)</f>
        <v>94.440733195572705</v>
      </c>
      <c r="R110">
        <f>_xlfn.XLOOKUP(D110,'[10]API_NE.EXP.GNFS.ZS_DS2_en_csv_v'!$B$6:$B$271,'[10]API_NE.EXP.GNFS.ZS_DS2_en_csv_v'!$BL$6:$BL$271)</f>
        <v>45.878177980757698</v>
      </c>
      <c r="S110">
        <f>_xlfn.XLOOKUP(D110,'[11]API_EG.USE.ELEC.KH.PC_DS2_en_cs'!$B$6:$B$271,'[11]API_EG.USE.ELEC.KH.PC_DS2_en_cs'!$BG$6:$BG$271)</f>
        <v>0</v>
      </c>
      <c r="T110">
        <f>_xlfn.XLOOKUP(D110,'[12]API_EN.POP.DNST_DS2_en_csv_v2_4'!$B$6:$B$271,'[12]API_EN.POP.DNST_DS2_en_csv_v2_4'!$BM$6:$BM$271)</f>
        <v>70.561660079051407</v>
      </c>
    </row>
    <row r="111" spans="1:20" x14ac:dyDescent="0.2">
      <c r="A111" s="161" t="s">
        <v>154</v>
      </c>
      <c r="B111" s="161">
        <v>430</v>
      </c>
      <c r="C111" s="161" t="s">
        <v>834</v>
      </c>
      <c r="D111" t="str">
        <f>_xlfn.XLOOKUP(B111,'Country Code M49'!$B$2:$B$250,'Country Code M49'!$C$2:$C$250,,0)</f>
        <v>LBR</v>
      </c>
      <c r="E111" s="162">
        <v>102.69433227860404</v>
      </c>
      <c r="F111" s="162">
        <v>507042.99619237962</v>
      </c>
      <c r="G111" s="160" t="s">
        <v>877</v>
      </c>
      <c r="H111" s="188">
        <f>_xlfn.XLOOKUP(D111,'[1]World Population'!$C$2:$C$267,'[1]World Population'!$BN$2:$BN$267)</f>
        <v>5057677</v>
      </c>
      <c r="I111" s="188">
        <v>33.3354682922363</v>
      </c>
      <c r="J111" s="194">
        <f>_xlfn.XLOOKUP(D111,'[2]GDP 2015 Constant'!$B$6:$B$271,'[2]GDP 2015 Constant'!$BM$6:$BM$271)</f>
        <v>3115556272</v>
      </c>
      <c r="K111" s="193">
        <f t="shared" si="2"/>
        <v>616.00538587181427</v>
      </c>
      <c r="L111" s="194">
        <f>_xlfn.XLOOKUP(D111,'[5]Tourism Receipts'!$B$6:$B$271,'[5]Tourism Receipts'!$BK$6:$BK$271)</f>
        <v>0</v>
      </c>
      <c r="M111" s="195">
        <f t="shared" si="3"/>
        <v>0</v>
      </c>
      <c r="N111">
        <f>_xlfn.XLOOKUP(D111,'[6]API_NV.AGR.TOTL.ZS_DS2_en_csv_v'!$B$6:$B$271,'[6]API_NV.AGR.TOTL.ZS_DS2_en_csv_v'!$BL$6:$BL$271)</f>
        <v>36.437151322457403</v>
      </c>
      <c r="O111" s="188">
        <f>_xlfn.XLOOKUP(D111,'[7]API_SP.RUR.TOTL_DS2_en_csv_v2_4'!$B$6:$B$271,'[7]API_SP.RUR.TOTL_DS2_en_csv_v2_4'!$BM$6:$BM$271)</f>
        <v>2423184</v>
      </c>
      <c r="P111" s="188">
        <f>_xlfn.XLOOKUP(D111,'[8]API_AG.PRD.FOOD.XD_DS2_en_csv_v'!$B$6:$B$271,'[8]API_AG.PRD.FOOD.XD_DS2_en_csv_v'!$BM$6:$BM$271)</f>
        <v>100.62</v>
      </c>
      <c r="Q111">
        <f>_xlfn.XLOOKUP(D111,'[9]API_NE.IMP.GNFS.ZS_DS2_en_csv_v'!$B$6:$B$271,'[9]API_NE.IMP.GNFS.ZS_DS2_en_csv_v'!$BK$6:$BK$271)</f>
        <v>0</v>
      </c>
      <c r="R111">
        <f>_xlfn.XLOOKUP(D111,'[10]API_NE.EXP.GNFS.ZS_DS2_en_csv_v'!$B$6:$B$271,'[10]API_NE.EXP.GNFS.ZS_DS2_en_csv_v'!$BL$6:$BL$271)</f>
        <v>0</v>
      </c>
      <c r="S111">
        <f>_xlfn.XLOOKUP(D111,'[11]API_EG.USE.ELEC.KH.PC_DS2_en_cs'!$B$6:$B$271,'[11]API_EG.USE.ELEC.KH.PC_DS2_en_cs'!$BG$6:$BG$271)</f>
        <v>0</v>
      </c>
      <c r="T111">
        <f>_xlfn.XLOOKUP(D111,'[12]API_EN.POP.DNST_DS2_en_csv_v2_4'!$B$6:$B$271,'[12]API_EN.POP.DNST_DS2_en_csv_v2_4'!$BM$6:$BM$271)</f>
        <v>52.509105066445201</v>
      </c>
    </row>
    <row r="112" spans="1:20" x14ac:dyDescent="0.2">
      <c r="A112" s="161" t="s">
        <v>876</v>
      </c>
      <c r="B112" s="161">
        <v>434</v>
      </c>
      <c r="C112" s="161" t="s">
        <v>766</v>
      </c>
      <c r="D112" t="str">
        <f>_xlfn.XLOOKUP(B112,'Country Code M49'!$B$2:$B$250,'Country Code M49'!$C$2:$C$250,,0)</f>
        <v>LBY</v>
      </c>
      <c r="E112" s="162">
        <v>75.713119146168523</v>
      </c>
      <c r="F112" s="162">
        <v>513145.66501315718</v>
      </c>
      <c r="G112" s="160" t="s">
        <v>872</v>
      </c>
      <c r="H112" s="188">
        <f>_xlfn.XLOOKUP(D112,'[1]World Population'!$C$2:$C$267,'[1]World Population'!$BN$2:$BN$267)</f>
        <v>6871287</v>
      </c>
      <c r="I112" s="188">
        <v>66.747726440429702</v>
      </c>
      <c r="J112" s="194">
        <f>_xlfn.XLOOKUP(D112,'[2]GDP 2015 Constant'!$B$6:$B$271,'[2]GDP 2015 Constant'!$BM$6:$BM$271)</f>
        <v>46364963765</v>
      </c>
      <c r="K112" s="193">
        <f t="shared" si="2"/>
        <v>6747.638945222343</v>
      </c>
      <c r="L112" s="194">
        <f>_xlfn.XLOOKUP(D112,'[5]Tourism Receipts'!$B$6:$B$271,'[5]Tourism Receipts'!$BK$6:$BK$271)</f>
        <v>0</v>
      </c>
      <c r="M112" s="195">
        <f t="shared" si="3"/>
        <v>0</v>
      </c>
      <c r="N112">
        <f>_xlfn.XLOOKUP(D112,'[6]API_NV.AGR.TOTL.ZS_DS2_en_csv_v'!$B$6:$B$271,'[6]API_NV.AGR.TOTL.ZS_DS2_en_csv_v'!$BL$6:$BL$271)</f>
        <v>4.0887897516922997</v>
      </c>
      <c r="O112" s="188">
        <f>_xlfn.XLOOKUP(D112,'[7]API_SP.RUR.TOTL_DS2_en_csv_v2_4'!$B$6:$B$271,'[7]API_SP.RUR.TOTL_DS2_en_csv_v2_4'!$BM$6:$BM$271)</f>
        <v>1326777</v>
      </c>
      <c r="P112" s="188">
        <f>_xlfn.XLOOKUP(D112,'[8]API_AG.PRD.FOOD.XD_DS2_en_csv_v'!$B$6:$B$271,'[8]API_AG.PRD.FOOD.XD_DS2_en_csv_v'!$BM$6:$BM$271)</f>
        <v>104.59</v>
      </c>
      <c r="Q112">
        <f>_xlfn.XLOOKUP(D112,'[9]API_NE.IMP.GNFS.ZS_DS2_en_csv_v'!$B$6:$B$271,'[9]API_NE.IMP.GNFS.ZS_DS2_en_csv_v'!$BK$6:$BK$271)</f>
        <v>24.167629179766902</v>
      </c>
      <c r="R112">
        <f>_xlfn.XLOOKUP(D112,'[10]API_NE.EXP.GNFS.ZS_DS2_en_csv_v'!$B$6:$B$271,'[10]API_NE.EXP.GNFS.ZS_DS2_en_csv_v'!$BL$6:$BL$271)</f>
        <v>42.835117286532302</v>
      </c>
      <c r="S112">
        <f>_xlfn.XLOOKUP(D112,'[11]API_EG.USE.ELEC.KH.PC_DS2_en_cs'!$B$6:$B$271,'[11]API_EG.USE.ELEC.KH.PC_DS2_en_cs'!$BG$6:$BG$271)</f>
        <v>1811.05460057695</v>
      </c>
      <c r="T112">
        <f>_xlfn.XLOOKUP(D112,'[12]API_EN.POP.DNST_DS2_en_csv_v2_4'!$B$6:$B$271,'[12]API_EN.POP.DNST_DS2_en_csv_v2_4'!$BM$6:$BM$271)</f>
        <v>3.9051610079907202</v>
      </c>
    </row>
    <row r="113" spans="1:20" x14ac:dyDescent="0.2">
      <c r="A113" s="161" t="s">
        <v>147</v>
      </c>
      <c r="B113" s="161">
        <v>438</v>
      </c>
      <c r="C113" s="161" t="s">
        <v>868</v>
      </c>
      <c r="D113" t="str">
        <f>_xlfn.XLOOKUP(B113,'Country Code M49'!$B$2:$B$250,'Country Code M49'!$C$2:$C$250,,0)</f>
        <v>LIE</v>
      </c>
      <c r="E113" s="162">
        <v>71.675140154584682</v>
      </c>
      <c r="F113" s="162">
        <v>2723.6553258742179</v>
      </c>
      <c r="G113" s="160" t="s">
        <v>877</v>
      </c>
      <c r="H113" s="188">
        <f>_xlfn.XLOOKUP(D113,'[1]World Population'!$C$2:$C$267,'[1]World Population'!$BN$2:$BN$267)</f>
        <v>38137</v>
      </c>
      <c r="I113" s="188">
        <v>96.123313903808594</v>
      </c>
      <c r="J113" s="194" t="e">
        <f>_xlfn.XLOOKUP(D113,'[2]GDP 2015 Constant'!$B$6:$B$271,'[2]GDP 2015 Constant'!$BM$6:$BM$271)</f>
        <v>#REF!</v>
      </c>
      <c r="K113" s="193" t="e">
        <f t="shared" si="2"/>
        <v>#REF!</v>
      </c>
      <c r="L113" s="194">
        <f>_xlfn.XLOOKUP(D113,'[5]Tourism Receipts'!$B$6:$B$271,'[5]Tourism Receipts'!$BK$6:$BK$271)</f>
        <v>0</v>
      </c>
      <c r="M113" s="195" t="e">
        <f t="shared" si="3"/>
        <v>#REF!</v>
      </c>
      <c r="N113">
        <f>_xlfn.XLOOKUP(D113,'[6]API_NV.AGR.TOTL.ZS_DS2_en_csv_v'!$B$6:$B$271,'[6]API_NV.AGR.TOTL.ZS_DS2_en_csv_v'!$BL$6:$BL$271)</f>
        <v>0.13933681936312101</v>
      </c>
      <c r="O113" s="188">
        <f>_xlfn.XLOOKUP(D113,'[7]API_SP.RUR.TOTL_DS2_en_csv_v2_4'!$B$6:$B$271,'[7]API_SP.RUR.TOTL_DS2_en_csv_v2_4'!$BM$6:$BM$271)</f>
        <v>32639</v>
      </c>
      <c r="P113" s="188">
        <f>_xlfn.XLOOKUP(D113,'[8]API_AG.PRD.FOOD.XD_DS2_en_csv_v'!$B$6:$B$271,'[8]API_AG.PRD.FOOD.XD_DS2_en_csv_v'!$BM$6:$BM$271)</f>
        <v>0</v>
      </c>
      <c r="Q113">
        <f>_xlfn.XLOOKUP(D113,'[9]API_NE.IMP.GNFS.ZS_DS2_en_csv_v'!$B$6:$B$271,'[9]API_NE.IMP.GNFS.ZS_DS2_en_csv_v'!$BK$6:$BK$271)</f>
        <v>0</v>
      </c>
      <c r="R113">
        <f>_xlfn.XLOOKUP(D113,'[10]API_NE.EXP.GNFS.ZS_DS2_en_csv_v'!$B$6:$B$271,'[10]API_NE.EXP.GNFS.ZS_DS2_en_csv_v'!$BL$6:$BL$271)</f>
        <v>0</v>
      </c>
      <c r="S113">
        <f>_xlfn.XLOOKUP(D113,'[11]API_EG.USE.ELEC.KH.PC_DS2_en_cs'!$B$6:$B$271,'[11]API_EG.USE.ELEC.KH.PC_DS2_en_cs'!$BG$6:$BG$271)</f>
        <v>0</v>
      </c>
      <c r="T113">
        <f>_xlfn.XLOOKUP(D113,'[12]API_EN.POP.DNST_DS2_en_csv_v2_4'!$B$6:$B$271,'[12]API_EN.POP.DNST_DS2_en_csv_v2_4'!$BM$6:$BM$271)</f>
        <v>238.35624999999999</v>
      </c>
    </row>
    <row r="114" spans="1:20" x14ac:dyDescent="0.2">
      <c r="A114" s="161" t="s">
        <v>153</v>
      </c>
      <c r="B114" s="161">
        <v>440</v>
      </c>
      <c r="C114" s="161" t="s">
        <v>778</v>
      </c>
      <c r="D114" t="str">
        <f>_xlfn.XLOOKUP(B114,'Country Code M49'!$B$2:$B$250,'Country Code M49'!$C$2:$C$250,,0)</f>
        <v>LTU</v>
      </c>
      <c r="E114" s="162">
        <v>76.185479353763768</v>
      </c>
      <c r="F114" s="162">
        <v>210241.4488246465</v>
      </c>
      <c r="G114" s="160" t="s">
        <v>877</v>
      </c>
      <c r="H114" s="188">
        <f>_xlfn.XLOOKUP(D114,'[1]World Population'!$C$2:$C$267,'[1]World Population'!$BN$2:$BN$267)</f>
        <v>2794885</v>
      </c>
      <c r="I114" s="188">
        <v>79.730499267578097</v>
      </c>
      <c r="J114" s="194">
        <f>_xlfn.XLOOKUP(D114,'[2]GDP 2015 Constant'!$B$6:$B$271,'[2]GDP 2015 Constant'!$BM$6:$BM$271)</f>
        <v>48110631393</v>
      </c>
      <c r="K114" s="193">
        <f t="shared" si="2"/>
        <v>17213.814304703057</v>
      </c>
      <c r="L114" s="194">
        <f>_xlfn.XLOOKUP(D114,'[5]Tourism Receipts'!$B$6:$B$271,'[5]Tourism Receipts'!$BK$6:$BK$271)</f>
        <v>0</v>
      </c>
      <c r="M114" s="195">
        <f t="shared" si="3"/>
        <v>0</v>
      </c>
      <c r="N114">
        <f>_xlfn.XLOOKUP(D114,'[6]API_NV.AGR.TOTL.ZS_DS2_en_csv_v'!$B$6:$B$271,'[6]API_NV.AGR.TOTL.ZS_DS2_en_csv_v'!$BL$6:$BL$271)</f>
        <v>3.1064859566756899</v>
      </c>
      <c r="O114" s="188">
        <f>_xlfn.XLOOKUP(D114,'[7]API_SP.RUR.TOTL_DS2_en_csv_v2_4'!$B$6:$B$271,'[7]API_SP.RUR.TOTL_DS2_en_csv_v2_4'!$BM$6:$BM$271)</f>
        <v>893078</v>
      </c>
      <c r="P114" s="188">
        <f>_xlfn.XLOOKUP(D114,'[8]API_AG.PRD.FOOD.XD_DS2_en_csv_v'!$B$6:$B$271,'[8]API_AG.PRD.FOOD.XD_DS2_en_csv_v'!$BM$6:$BM$271)</f>
        <v>107.56</v>
      </c>
      <c r="Q114">
        <f>_xlfn.XLOOKUP(D114,'[9]API_NE.IMP.GNFS.ZS_DS2_en_csv_v'!$B$6:$B$271,'[9]API_NE.IMP.GNFS.ZS_DS2_en_csv_v'!$BK$6:$BK$271)</f>
        <v>73.385992684621797</v>
      </c>
      <c r="R114">
        <f>_xlfn.XLOOKUP(D114,'[10]API_NE.EXP.GNFS.ZS_DS2_en_csv_v'!$B$6:$B$271,'[10]API_NE.EXP.GNFS.ZS_DS2_en_csv_v'!$BL$6:$BL$271)</f>
        <v>77.314777955815302</v>
      </c>
      <c r="S114">
        <f>_xlfn.XLOOKUP(D114,'[11]API_EG.USE.ELEC.KH.PC_DS2_en_cs'!$B$6:$B$271,'[11]API_EG.USE.ELEC.KH.PC_DS2_en_cs'!$BG$6:$BG$271)</f>
        <v>3821.1451704373999</v>
      </c>
      <c r="T114">
        <f>_xlfn.XLOOKUP(D114,'[12]API_EN.POP.DNST_DS2_en_csv_v2_4'!$B$6:$B$271,'[12]API_EN.POP.DNST_DS2_en_csv_v2_4'!$BM$6:$BM$271)</f>
        <v>44.632465665921401</v>
      </c>
    </row>
    <row r="115" spans="1:20" x14ac:dyDescent="0.2">
      <c r="A115" s="161" t="s">
        <v>147</v>
      </c>
      <c r="B115" s="161">
        <v>442</v>
      </c>
      <c r="C115" s="161" t="s">
        <v>120</v>
      </c>
      <c r="D115" t="str">
        <f>_xlfn.XLOOKUP(B115,'Country Code M49'!$B$2:$B$250,'Country Code M49'!$C$2:$C$250,,0)</f>
        <v>LUX</v>
      </c>
      <c r="E115" s="162">
        <v>89.25</v>
      </c>
      <c r="F115" s="162">
        <v>54951.224999999999</v>
      </c>
      <c r="G115" s="160" t="s">
        <v>873</v>
      </c>
      <c r="H115" s="188">
        <f>_xlfn.XLOOKUP(D115,'[1]World Population'!$C$2:$C$267,'[1]World Population'!$BN$2:$BN$267)</f>
        <v>630419</v>
      </c>
      <c r="I115" s="188">
        <v>61.767082214355497</v>
      </c>
      <c r="J115" s="194">
        <f>_xlfn.XLOOKUP(D115,'[2]GDP 2015 Constant'!$B$6:$B$271,'[2]GDP 2015 Constant'!$BM$6:$BM$271)</f>
        <v>66117875823</v>
      </c>
      <c r="K115" s="193">
        <f t="shared" si="2"/>
        <v>104879.25621372453</v>
      </c>
      <c r="L115" s="194">
        <f>_xlfn.XLOOKUP(D115,'[5]Tourism Receipts'!$B$6:$B$271,'[5]Tourism Receipts'!$BK$6:$BK$271)</f>
        <v>5642000000</v>
      </c>
      <c r="M115" s="195">
        <f t="shared" si="3"/>
        <v>8.5332444966983556E-2</v>
      </c>
      <c r="N115">
        <f>_xlfn.XLOOKUP(D115,'[6]API_NV.AGR.TOTL.ZS_DS2_en_csv_v'!$B$6:$B$271,'[6]API_NV.AGR.TOTL.ZS_DS2_en_csv_v'!$BL$6:$BL$271)</f>
        <v>0.21874304173027401</v>
      </c>
      <c r="O115" s="188">
        <f>_xlfn.XLOOKUP(D115,'[7]API_SP.RUR.TOTL_DS2_en_csv_v2_4'!$B$6:$B$271,'[7]API_SP.RUR.TOTL_DS2_en_csv_v2_4'!$BM$6:$BM$271)</f>
        <v>53882</v>
      </c>
      <c r="P115" s="188">
        <f>_xlfn.XLOOKUP(D115,'[8]API_AG.PRD.FOOD.XD_DS2_en_csv_v'!$B$6:$B$271,'[8]API_AG.PRD.FOOD.XD_DS2_en_csv_v'!$BM$6:$BM$271)</f>
        <v>113.78</v>
      </c>
      <c r="Q115">
        <f>_xlfn.XLOOKUP(D115,'[9]API_NE.IMP.GNFS.ZS_DS2_en_csv_v'!$B$6:$B$271,'[9]API_NE.IMP.GNFS.ZS_DS2_en_csv_v'!$BK$6:$BK$271)</f>
        <v>163.71243456542999</v>
      </c>
      <c r="R115">
        <f>_xlfn.XLOOKUP(D115,'[10]API_NE.EXP.GNFS.ZS_DS2_en_csv_v'!$B$6:$B$271,'[10]API_NE.EXP.GNFS.ZS_DS2_en_csv_v'!$BL$6:$BL$271)</f>
        <v>205.48207753851599</v>
      </c>
      <c r="S115">
        <f>_xlfn.XLOOKUP(D115,'[11]API_EG.USE.ELEC.KH.PC_DS2_en_cs'!$B$6:$B$271,'[11]API_EG.USE.ELEC.KH.PC_DS2_en_cs'!$BG$6:$BG$271)</f>
        <v>13914.6784488756</v>
      </c>
      <c r="T115">
        <f>_xlfn.XLOOKUP(D115,'[12]API_EN.POP.DNST_DS2_en_csv_v2_4'!$B$6:$B$271,'[12]API_EN.POP.DNST_DS2_en_csv_v2_4'!$BM$6:$BM$271)</f>
        <v>244.87426489438599</v>
      </c>
    </row>
    <row r="116" spans="1:20" x14ac:dyDescent="0.2">
      <c r="A116" s="161" t="s">
        <v>154</v>
      </c>
      <c r="B116" s="161">
        <v>450</v>
      </c>
      <c r="C116" s="161" t="s">
        <v>835</v>
      </c>
      <c r="D116" t="str">
        <f>_xlfn.XLOOKUP(B116,'Country Code M49'!$B$2:$B$250,'Country Code M49'!$C$2:$C$250,,0)</f>
        <v>MDG</v>
      </c>
      <c r="E116" s="162">
        <v>102.69433227860404</v>
      </c>
      <c r="F116" s="162">
        <v>2769594.2555213557</v>
      </c>
      <c r="G116" s="160" t="s">
        <v>877</v>
      </c>
      <c r="H116" s="188">
        <f>_xlfn.XLOOKUP(D116,'[1]World Population'!$C$2:$C$267,'[1]World Population'!$BN$2:$BN$267)</f>
        <v>27691019</v>
      </c>
      <c r="I116" s="188">
        <v>100</v>
      </c>
      <c r="J116" s="194">
        <f>_xlfn.XLOOKUP(D116,'[2]GDP 2015 Constant'!$B$6:$B$271,'[2]GDP 2015 Constant'!$BM$6:$BM$271)</f>
        <v>12244127641</v>
      </c>
      <c r="K116" s="193">
        <f t="shared" si="2"/>
        <v>442.16963055783538</v>
      </c>
      <c r="L116" s="194">
        <f>_xlfn.XLOOKUP(D116,'[5]Tourism Receipts'!$B$6:$B$271,'[5]Tourism Receipts'!$BK$6:$BK$271)</f>
        <v>879000000</v>
      </c>
      <c r="M116" s="195">
        <f t="shared" si="3"/>
        <v>7.1789516229529476E-2</v>
      </c>
      <c r="N116">
        <f>_xlfn.XLOOKUP(D116,'[6]API_NV.AGR.TOTL.ZS_DS2_en_csv_v'!$B$6:$B$271,'[6]API_NV.AGR.TOTL.ZS_DS2_en_csv_v'!$BL$6:$BL$271)</f>
        <v>22.815124858235201</v>
      </c>
      <c r="O116" s="188">
        <f>_xlfn.XLOOKUP(D116,'[7]API_SP.RUR.TOTL_DS2_en_csv_v2_4'!$B$6:$B$271,'[7]API_SP.RUR.TOTL_DS2_en_csv_v2_4'!$BM$6:$BM$271)</f>
        <v>17020562</v>
      </c>
      <c r="P116" s="188">
        <f>_xlfn.XLOOKUP(D116,'[8]API_AG.PRD.FOOD.XD_DS2_en_csv_v'!$B$6:$B$271,'[8]API_AG.PRD.FOOD.XD_DS2_en_csv_v'!$BM$6:$BM$271)</f>
        <v>102.41</v>
      </c>
      <c r="Q116">
        <f>_xlfn.XLOOKUP(D116,'[9]API_NE.IMP.GNFS.ZS_DS2_en_csv_v'!$B$6:$B$271,'[9]API_NE.IMP.GNFS.ZS_DS2_en_csv_v'!$BK$6:$BK$271)</f>
        <v>36.693806456154199</v>
      </c>
      <c r="R116">
        <f>_xlfn.XLOOKUP(D116,'[10]API_NE.EXP.GNFS.ZS_DS2_en_csv_v'!$B$6:$B$271,'[10]API_NE.EXP.GNFS.ZS_DS2_en_csv_v'!$BL$6:$BL$271)</f>
        <v>28.249657179942801</v>
      </c>
      <c r="S116">
        <f>_xlfn.XLOOKUP(D116,'[11]API_EG.USE.ELEC.KH.PC_DS2_en_cs'!$B$6:$B$271,'[11]API_EG.USE.ELEC.KH.PC_DS2_en_cs'!$BG$6:$BG$271)</f>
        <v>0</v>
      </c>
      <c r="T116">
        <f>_xlfn.XLOOKUP(D116,'[12]API_EN.POP.DNST_DS2_en_csv_v2_4'!$B$6:$B$271,'[12]API_EN.POP.DNST_DS2_en_csv_v2_4'!$BM$6:$BM$271)</f>
        <v>47.595426263320697</v>
      </c>
    </row>
    <row r="117" spans="1:20" x14ac:dyDescent="0.2">
      <c r="A117" s="161" t="s">
        <v>154</v>
      </c>
      <c r="B117" s="161">
        <v>454</v>
      </c>
      <c r="C117" s="161" t="s">
        <v>836</v>
      </c>
      <c r="D117" t="str">
        <f>_xlfn.XLOOKUP(B117,'Country Code M49'!$B$2:$B$250,'Country Code M49'!$C$2:$C$250,,0)</f>
        <v>MWI</v>
      </c>
      <c r="E117" s="162">
        <v>102.69433227860404</v>
      </c>
      <c r="F117" s="162">
        <v>1913061.907718431</v>
      </c>
      <c r="G117" s="160" t="s">
        <v>877</v>
      </c>
      <c r="H117" s="188">
        <f>_xlfn.XLOOKUP(D117,'[1]World Population'!$C$2:$C$267,'[1]World Population'!$BN$2:$BN$267)</f>
        <v>19129955</v>
      </c>
      <c r="I117" s="188">
        <v>86.737136840820298</v>
      </c>
      <c r="J117" s="194">
        <f>_xlfn.XLOOKUP(D117,'[2]GDP 2015 Constant'!$B$6:$B$271,'[2]GDP 2015 Constant'!$BM$6:$BM$271)</f>
        <v>7537262760</v>
      </c>
      <c r="K117" s="193">
        <f t="shared" si="2"/>
        <v>394.00316205657566</v>
      </c>
      <c r="L117" s="194">
        <f>_xlfn.XLOOKUP(D117,'[5]Tourism Receipts'!$B$6:$B$271,'[5]Tourism Receipts'!$BK$6:$BK$271)</f>
        <v>55000000</v>
      </c>
      <c r="M117" s="195">
        <f t="shared" si="3"/>
        <v>7.2970787607250674E-3</v>
      </c>
      <c r="N117">
        <f>_xlfn.XLOOKUP(D117,'[6]API_NV.AGR.TOTL.ZS_DS2_en_csv_v'!$B$6:$B$271,'[6]API_NV.AGR.TOTL.ZS_DS2_en_csv_v'!$BL$6:$BL$271)</f>
        <v>23.002540313068899</v>
      </c>
      <c r="O117" s="188">
        <f>_xlfn.XLOOKUP(D117,'[7]API_SP.RUR.TOTL_DS2_en_csv_v2_4'!$B$6:$B$271,'[7]API_SP.RUR.TOTL_DS2_en_csv_v2_4'!$BM$6:$BM$271)</f>
        <v>15796178</v>
      </c>
      <c r="P117" s="188">
        <f>_xlfn.XLOOKUP(D117,'[8]API_AG.PRD.FOOD.XD_DS2_en_csv_v'!$B$6:$B$271,'[8]API_AG.PRD.FOOD.XD_DS2_en_csv_v'!$BM$6:$BM$271)</f>
        <v>132.97</v>
      </c>
      <c r="Q117">
        <f>_xlfn.XLOOKUP(D117,'[9]API_NE.IMP.GNFS.ZS_DS2_en_csv_v'!$B$6:$B$271,'[9]API_NE.IMP.GNFS.ZS_DS2_en_csv_v'!$BK$6:$BK$271)</f>
        <v>0</v>
      </c>
      <c r="R117">
        <f>_xlfn.XLOOKUP(D117,'[10]API_NE.EXP.GNFS.ZS_DS2_en_csv_v'!$B$6:$B$271,'[10]API_NE.EXP.GNFS.ZS_DS2_en_csv_v'!$BL$6:$BL$271)</f>
        <v>0</v>
      </c>
      <c r="S117">
        <f>_xlfn.XLOOKUP(D117,'[11]API_EG.USE.ELEC.KH.PC_DS2_en_cs'!$B$6:$B$271,'[11]API_EG.USE.ELEC.KH.PC_DS2_en_cs'!$BG$6:$BG$271)</f>
        <v>0</v>
      </c>
      <c r="T117">
        <f>_xlfn.XLOOKUP(D117,'[12]API_EN.POP.DNST_DS2_en_csv_v2_4'!$B$6:$B$271,'[12]API_EN.POP.DNST_DS2_en_csv_v2_4'!$BM$6:$BM$271)</f>
        <v>202.905759439966</v>
      </c>
    </row>
    <row r="118" spans="1:20" x14ac:dyDescent="0.2">
      <c r="A118" s="161" t="s">
        <v>157</v>
      </c>
      <c r="B118" s="161">
        <v>458</v>
      </c>
      <c r="C118" s="161" t="s">
        <v>121</v>
      </c>
      <c r="D118" t="str">
        <f>_xlfn.XLOOKUP(B118,'Country Code M49'!$B$2:$B$250,'Country Code M49'!$C$2:$C$250,,0)</f>
        <v>MYS</v>
      </c>
      <c r="E118" s="162">
        <v>91.442717194288974</v>
      </c>
      <c r="F118" s="162">
        <v>2921576.5258140941</v>
      </c>
      <c r="G118" s="160" t="s">
        <v>873</v>
      </c>
      <c r="H118" s="188">
        <f>_xlfn.XLOOKUP(D118,'[1]World Population'!$C$2:$C$267,'[1]World Population'!$BN$2:$BN$267)</f>
        <v>32365998</v>
      </c>
      <c r="I118" s="188">
        <v>92.540542602539105</v>
      </c>
      <c r="J118" s="194">
        <f>_xlfn.XLOOKUP(D118,'[2]GDP 2015 Constant'!$B$6:$B$271,'[2]GDP 2015 Constant'!$BM$6:$BM$271)</f>
        <v>344099000000</v>
      </c>
      <c r="K118" s="193">
        <f t="shared" si="2"/>
        <v>10631.496671290655</v>
      </c>
      <c r="L118" s="194">
        <f>_xlfn.XLOOKUP(D118,'[5]Tourism Receipts'!$B$6:$B$271,'[5]Tourism Receipts'!$BK$6:$BK$271)</f>
        <v>21775000000</v>
      </c>
      <c r="M118" s="195">
        <f t="shared" si="3"/>
        <v>6.3281206861978676E-2</v>
      </c>
      <c r="N118">
        <f>_xlfn.XLOOKUP(D118,'[6]API_NV.AGR.TOTL.ZS_DS2_en_csv_v'!$B$6:$B$271,'[6]API_NV.AGR.TOTL.ZS_DS2_en_csv_v'!$BL$6:$BL$271)</f>
        <v>7.2397623575184404</v>
      </c>
      <c r="O118" s="188">
        <f>_xlfn.XLOOKUP(D118,'[7]API_SP.RUR.TOTL_DS2_en_csv_v2_4'!$B$6:$B$271,'[7]API_SP.RUR.TOTL_DS2_en_csv_v2_4'!$BM$6:$BM$271)</f>
        <v>7392394</v>
      </c>
      <c r="P118" s="188">
        <f>_xlfn.XLOOKUP(D118,'[8]API_AG.PRD.FOOD.XD_DS2_en_csv_v'!$B$6:$B$271,'[8]API_AG.PRD.FOOD.XD_DS2_en_csv_v'!$BM$6:$BM$271)</f>
        <v>97.57</v>
      </c>
      <c r="Q118">
        <f>_xlfn.XLOOKUP(D118,'[9]API_NE.IMP.GNFS.ZS_DS2_en_csv_v'!$B$6:$B$271,'[9]API_NE.IMP.GNFS.ZS_DS2_en_csv_v'!$BK$6:$BK$271)</f>
        <v>61.8476540824403</v>
      </c>
      <c r="R118">
        <f>_xlfn.XLOOKUP(D118,'[10]API_NE.EXP.GNFS.ZS_DS2_en_csv_v'!$B$6:$B$271,'[10]API_NE.EXP.GNFS.ZS_DS2_en_csv_v'!$BL$6:$BL$271)</f>
        <v>65.259663184729305</v>
      </c>
      <c r="S118">
        <f>_xlfn.XLOOKUP(D118,'[11]API_EG.USE.ELEC.KH.PC_DS2_en_cs'!$B$6:$B$271,'[11]API_EG.USE.ELEC.KH.PC_DS2_en_cs'!$BG$6:$BG$271)</f>
        <v>4651.9514135620202</v>
      </c>
      <c r="T118">
        <f>_xlfn.XLOOKUP(D118,'[12]API_EN.POP.DNST_DS2_en_csv_v2_4'!$B$6:$B$271,'[12]API_EN.POP.DNST_DS2_en_csv_v2_4'!$BM$6:$BM$271)</f>
        <v>98.511635976259299</v>
      </c>
    </row>
    <row r="119" spans="1:20" x14ac:dyDescent="0.2">
      <c r="A119" s="161" t="s">
        <v>149</v>
      </c>
      <c r="B119" s="161">
        <v>462</v>
      </c>
      <c r="C119" s="161" t="s">
        <v>800</v>
      </c>
      <c r="D119" t="str">
        <f>_xlfn.XLOOKUP(B119,'Country Code M49'!$B$2:$B$250,'Country Code M49'!$C$2:$C$250,,0)</f>
        <v>MDV</v>
      </c>
      <c r="E119" s="162">
        <v>70.975338444364013</v>
      </c>
      <c r="F119" s="162">
        <v>37687.904713957287</v>
      </c>
      <c r="G119" s="160" t="s">
        <v>872</v>
      </c>
      <c r="H119" s="188">
        <f>_xlfn.XLOOKUP(D119,'[1]World Population'!$C$2:$C$267,'[1]World Population'!$BN$2:$BN$267)</f>
        <v>540542</v>
      </c>
      <c r="I119" s="188">
        <v>100</v>
      </c>
      <c r="J119" s="194">
        <f>_xlfn.XLOOKUP(D119,'[2]GDP 2015 Constant'!$B$6:$B$271,'[2]GDP 2015 Constant'!$BM$6:$BM$271)</f>
        <v>3600460153</v>
      </c>
      <c r="K119" s="193">
        <f t="shared" si="2"/>
        <v>6660.833298800093</v>
      </c>
      <c r="L119" s="194">
        <f>_xlfn.XLOOKUP(D119,'[5]Tourism Receipts'!$B$6:$B$271,'[5]Tourism Receipts'!$BK$6:$BK$271)</f>
        <v>3054000000</v>
      </c>
      <c r="M119" s="195">
        <f t="shared" si="3"/>
        <v>0.848224912989337</v>
      </c>
      <c r="N119">
        <f>_xlfn.XLOOKUP(D119,'[6]API_NV.AGR.TOTL.ZS_DS2_en_csv_v'!$B$6:$B$271,'[6]API_NV.AGR.TOTL.ZS_DS2_en_csv_v'!$BL$6:$BL$271)</f>
        <v>4.60699986258878</v>
      </c>
      <c r="O119" s="188">
        <f>_xlfn.XLOOKUP(D119,'[7]API_SP.RUR.TOTL_DS2_en_csv_v2_4'!$B$6:$B$271,'[7]API_SP.RUR.TOTL_DS2_en_csv_v2_4'!$BM$6:$BM$271)</f>
        <v>320709</v>
      </c>
      <c r="P119" s="188">
        <f>_xlfn.XLOOKUP(D119,'[8]API_AG.PRD.FOOD.XD_DS2_en_csv_v'!$B$6:$B$271,'[8]API_AG.PRD.FOOD.XD_DS2_en_csv_v'!$BM$6:$BM$271)</f>
        <v>105.49</v>
      </c>
      <c r="Q119">
        <f>_xlfn.XLOOKUP(D119,'[9]API_NE.IMP.GNFS.ZS_DS2_en_csv_v'!$B$6:$B$271,'[9]API_NE.IMP.GNFS.ZS_DS2_en_csv_v'!$BK$6:$BK$271)</f>
        <v>83.719369050368897</v>
      </c>
      <c r="R119">
        <f>_xlfn.XLOOKUP(D119,'[10]API_NE.EXP.GNFS.ZS_DS2_en_csv_v'!$B$6:$B$271,'[10]API_NE.EXP.GNFS.ZS_DS2_en_csv_v'!$BL$6:$BL$271)</f>
        <v>69.446830850487899</v>
      </c>
      <c r="S119">
        <f>_xlfn.XLOOKUP(D119,'[11]API_EG.USE.ELEC.KH.PC_DS2_en_cs'!$B$6:$B$271,'[11]API_EG.USE.ELEC.KH.PC_DS2_en_cs'!$BG$6:$BG$271)</f>
        <v>0</v>
      </c>
      <c r="T119">
        <f>_xlfn.XLOOKUP(D119,'[12]API_EN.POP.DNST_DS2_en_csv_v2_4'!$B$6:$B$271,'[12]API_EN.POP.DNST_DS2_en_csv_v2_4'!$BM$6:$BM$271)</f>
        <v>1801.80666666667</v>
      </c>
    </row>
    <row r="120" spans="1:20" x14ac:dyDescent="0.2">
      <c r="A120" s="161" t="s">
        <v>154</v>
      </c>
      <c r="B120" s="161">
        <v>466</v>
      </c>
      <c r="C120" s="161" t="s">
        <v>837</v>
      </c>
      <c r="D120" t="str">
        <f>_xlfn.XLOOKUP(B120,'Country Code M49'!$B$2:$B$250,'Country Code M49'!$C$2:$C$250,,0)</f>
        <v>MLI</v>
      </c>
      <c r="E120" s="162">
        <v>102.69433227860404</v>
      </c>
      <c r="F120" s="162">
        <v>2018765.1839327982</v>
      </c>
      <c r="G120" s="160" t="s">
        <v>877</v>
      </c>
      <c r="H120" s="188">
        <f>_xlfn.XLOOKUP(D120,'[1]World Population'!$C$2:$C$267,'[1]World Population'!$BN$2:$BN$267)</f>
        <v>20250834</v>
      </c>
      <c r="I120" s="188">
        <v>73.346481323242202</v>
      </c>
      <c r="J120" s="194">
        <f>_xlfn.XLOOKUP(D120,'[2]GDP 2015 Constant'!$B$6:$B$271,'[2]GDP 2015 Constant'!$BM$6:$BM$271)</f>
        <v>15830713977</v>
      </c>
      <c r="K120" s="193">
        <f t="shared" si="2"/>
        <v>781.73145743034581</v>
      </c>
      <c r="L120" s="194">
        <f>_xlfn.XLOOKUP(D120,'[5]Tourism Receipts'!$B$6:$B$271,'[5]Tourism Receipts'!$BK$6:$BK$271)</f>
        <v>231000000</v>
      </c>
      <c r="M120" s="195">
        <f t="shared" si="3"/>
        <v>1.4591887664423311E-2</v>
      </c>
      <c r="N120">
        <f>_xlfn.XLOOKUP(D120,'[6]API_NV.AGR.TOTL.ZS_DS2_en_csv_v'!$B$6:$B$271,'[6]API_NV.AGR.TOTL.ZS_DS2_en_csv_v'!$BL$6:$BL$271)</f>
        <v>37.307797318090799</v>
      </c>
      <c r="O120" s="188">
        <f>_xlfn.XLOOKUP(D120,'[7]API_SP.RUR.TOTL_DS2_en_csv_v2_4'!$B$6:$B$271,'[7]API_SP.RUR.TOTL_DS2_en_csv_v2_4'!$BM$6:$BM$271)</f>
        <v>11358895</v>
      </c>
      <c r="P120" s="188">
        <f>_xlfn.XLOOKUP(D120,'[8]API_AG.PRD.FOOD.XD_DS2_en_csv_v'!$B$6:$B$271,'[8]API_AG.PRD.FOOD.XD_DS2_en_csv_v'!$BM$6:$BM$271)</f>
        <v>134.57</v>
      </c>
      <c r="Q120">
        <f>_xlfn.XLOOKUP(D120,'[9]API_NE.IMP.GNFS.ZS_DS2_en_csv_v'!$B$6:$B$271,'[9]API_NE.IMP.GNFS.ZS_DS2_en_csv_v'!$BK$6:$BK$271)</f>
        <v>35.622408402120698</v>
      </c>
      <c r="R120">
        <f>_xlfn.XLOOKUP(D120,'[10]API_NE.EXP.GNFS.ZS_DS2_en_csv_v'!$B$6:$B$271,'[10]API_NE.EXP.GNFS.ZS_DS2_en_csv_v'!$BL$6:$BL$271)</f>
        <v>25.705291132007002</v>
      </c>
      <c r="S120">
        <f>_xlfn.XLOOKUP(D120,'[11]API_EG.USE.ELEC.KH.PC_DS2_en_cs'!$B$6:$B$271,'[11]API_EG.USE.ELEC.KH.PC_DS2_en_cs'!$BG$6:$BG$271)</f>
        <v>0</v>
      </c>
      <c r="T120">
        <f>_xlfn.XLOOKUP(D120,'[12]API_EN.POP.DNST_DS2_en_csv_v2_4'!$B$6:$B$271,'[12]API_EN.POP.DNST_DS2_en_csv_v2_4'!$BM$6:$BM$271)</f>
        <v>16.5964595677722</v>
      </c>
    </row>
    <row r="121" spans="1:20" x14ac:dyDescent="0.2">
      <c r="A121" s="161" t="s">
        <v>155</v>
      </c>
      <c r="B121" s="161">
        <v>470</v>
      </c>
      <c r="C121" s="161" t="s">
        <v>122</v>
      </c>
      <c r="D121" t="str">
        <f>_xlfn.XLOOKUP(B121,'Country Code M49'!$B$2:$B$250,'Country Code M49'!$C$2:$C$250,,0)</f>
        <v>MLT</v>
      </c>
      <c r="E121" s="162">
        <v>129</v>
      </c>
      <c r="F121" s="162">
        <v>56811.6</v>
      </c>
      <c r="G121" s="160" t="s">
        <v>870</v>
      </c>
      <c r="H121" s="188">
        <f>_xlfn.XLOOKUP(D121,'[1]World Population'!$C$2:$C$267,'[1]World Population'!$BN$2:$BN$267)</f>
        <v>515332</v>
      </c>
      <c r="I121" s="188">
        <v>100</v>
      </c>
      <c r="J121" s="194">
        <f>_xlfn.XLOOKUP(D121,'[2]GDP 2015 Constant'!$B$6:$B$271,'[2]GDP 2015 Constant'!$BM$6:$BM$271)</f>
        <v>13103388907</v>
      </c>
      <c r="K121" s="193">
        <f t="shared" si="2"/>
        <v>25427.081778348715</v>
      </c>
      <c r="L121" s="194">
        <f>_xlfn.XLOOKUP(D121,'[5]Tourism Receipts'!$B$6:$B$271,'[5]Tourism Receipts'!$BK$6:$BK$271)</f>
        <v>0</v>
      </c>
      <c r="M121" s="195">
        <f t="shared" si="3"/>
        <v>0</v>
      </c>
      <c r="N121">
        <f>_xlfn.XLOOKUP(D121,'[6]API_NV.AGR.TOTL.ZS_DS2_en_csv_v'!$B$6:$B$271,'[6]API_NV.AGR.TOTL.ZS_DS2_en_csv_v'!$BL$6:$BL$271)</f>
        <v>0.47568325233029801</v>
      </c>
      <c r="O121" s="188">
        <f>_xlfn.XLOOKUP(D121,'[7]API_SP.RUR.TOTL_DS2_en_csv_v2_4'!$B$6:$B$271,'[7]API_SP.RUR.TOTL_DS2_en_csv_v2_4'!$BM$6:$BM$271)</f>
        <v>27086</v>
      </c>
      <c r="P121" s="188">
        <f>_xlfn.XLOOKUP(D121,'[8]API_AG.PRD.FOOD.XD_DS2_en_csv_v'!$B$6:$B$271,'[8]API_AG.PRD.FOOD.XD_DS2_en_csv_v'!$BM$6:$BM$271)</f>
        <v>74.27</v>
      </c>
      <c r="Q121">
        <f>_xlfn.XLOOKUP(D121,'[9]API_NE.IMP.GNFS.ZS_DS2_en_csv_v'!$B$6:$B$271,'[9]API_NE.IMP.GNFS.ZS_DS2_en_csv_v'!$BK$6:$BK$271)</f>
        <v>127.757221921013</v>
      </c>
      <c r="R121">
        <f>_xlfn.XLOOKUP(D121,'[10]API_NE.EXP.GNFS.ZS_DS2_en_csv_v'!$B$6:$B$271,'[10]API_NE.EXP.GNFS.ZS_DS2_en_csv_v'!$BL$6:$BL$271)</f>
        <v>146.079187783961</v>
      </c>
      <c r="S121">
        <f>_xlfn.XLOOKUP(D121,'[11]API_EG.USE.ELEC.KH.PC_DS2_en_cs'!$B$6:$B$271,'[11]API_EG.USE.ELEC.KH.PC_DS2_en_cs'!$BG$6:$BG$271)</f>
        <v>4924.54401944044</v>
      </c>
      <c r="T121">
        <f>_xlfn.XLOOKUP(D121,'[12]API_EN.POP.DNST_DS2_en_csv_v2_4'!$B$6:$B$271,'[12]API_EN.POP.DNST_DS2_en_csv_v2_4'!$BM$6:$BM$271)</f>
        <v>1610.4124999999999</v>
      </c>
    </row>
    <row r="122" spans="1:20" x14ac:dyDescent="0.2">
      <c r="A122" s="161" t="s">
        <v>875</v>
      </c>
      <c r="B122" s="161">
        <v>584</v>
      </c>
      <c r="C122" s="161" t="s">
        <v>759</v>
      </c>
      <c r="D122" t="str">
        <f>_xlfn.XLOOKUP(B122,'Country Code M49'!$B$2:$B$250,'Country Code M49'!$C$2:$C$250,,0)</f>
        <v>MHL</v>
      </c>
      <c r="E122" s="162">
        <v>75.713119146168523</v>
      </c>
      <c r="F122" s="162">
        <v>4451.9314057947086</v>
      </c>
      <c r="G122" s="160" t="s">
        <v>872</v>
      </c>
      <c r="H122" s="188">
        <f>_xlfn.XLOOKUP(D122,'[1]World Population'!$C$2:$C$267,'[1]World Population'!$BN$2:$BN$267)</f>
        <v>59194</v>
      </c>
      <c r="I122" s="188">
        <v>98.204772949218807</v>
      </c>
      <c r="J122" s="194">
        <f>_xlfn.XLOOKUP(D122,'[2]GDP 2015 Constant'!$B$6:$B$271,'[2]GDP 2015 Constant'!$BM$6:$BM$271)</f>
        <v>207699800</v>
      </c>
      <c r="K122" s="193">
        <f t="shared" si="2"/>
        <v>3508.7981890056426</v>
      </c>
      <c r="L122" s="194">
        <f>_xlfn.XLOOKUP(D122,'[5]Tourism Receipts'!$B$6:$B$271,'[5]Tourism Receipts'!$BK$6:$BK$271)</f>
        <v>20100000.379999999</v>
      </c>
      <c r="M122" s="195">
        <f t="shared" si="3"/>
        <v>9.6774288564553265E-2</v>
      </c>
      <c r="N122">
        <f>_xlfn.XLOOKUP(D122,'[6]API_NV.AGR.TOTL.ZS_DS2_en_csv_v'!$B$6:$B$271,'[6]API_NV.AGR.TOTL.ZS_DS2_en_csv_v'!$BL$6:$BL$271)</f>
        <v>20.150779538482499</v>
      </c>
      <c r="O122" s="188">
        <f>_xlfn.XLOOKUP(D122,'[7]API_SP.RUR.TOTL_DS2_en_csv_v2_4'!$B$6:$B$271,'[7]API_SP.RUR.TOTL_DS2_en_csv_v2_4'!$BM$6:$BM$271)</f>
        <v>13145</v>
      </c>
      <c r="P122" s="188">
        <f>_xlfn.XLOOKUP(D122,'[8]API_AG.PRD.FOOD.XD_DS2_en_csv_v'!$B$6:$B$271,'[8]API_AG.PRD.FOOD.XD_DS2_en_csv_v'!$BM$6:$BM$271)</f>
        <v>96.09</v>
      </c>
      <c r="Q122">
        <f>_xlfn.XLOOKUP(D122,'[9]API_NE.IMP.GNFS.ZS_DS2_en_csv_v'!$B$6:$B$271,'[9]API_NE.IMP.GNFS.ZS_DS2_en_csv_v'!$BK$6:$BK$271)</f>
        <v>85.884626892412001</v>
      </c>
      <c r="R122">
        <f>_xlfn.XLOOKUP(D122,'[10]API_NE.EXP.GNFS.ZS_DS2_en_csv_v'!$B$6:$B$271,'[10]API_NE.EXP.GNFS.ZS_DS2_en_csv_v'!$BL$6:$BL$271)</f>
        <v>37.872741501581501</v>
      </c>
      <c r="S122">
        <f>_xlfn.XLOOKUP(D122,'[11]API_EG.USE.ELEC.KH.PC_DS2_en_cs'!$B$6:$B$271,'[11]API_EG.USE.ELEC.KH.PC_DS2_en_cs'!$BG$6:$BG$271)</f>
        <v>0</v>
      </c>
      <c r="T122">
        <f>_xlfn.XLOOKUP(D122,'[12]API_EN.POP.DNST_DS2_en_csv_v2_4'!$B$6:$B$271,'[12]API_EN.POP.DNST_DS2_en_csv_v2_4'!$BM$6:$BM$271)</f>
        <v>328.85555555555601</v>
      </c>
    </row>
    <row r="123" spans="1:20" x14ac:dyDescent="0.2">
      <c r="A123" s="161" t="s">
        <v>154</v>
      </c>
      <c r="B123" s="161">
        <v>478</v>
      </c>
      <c r="C123" s="161" t="s">
        <v>838</v>
      </c>
      <c r="D123" t="str">
        <f>_xlfn.XLOOKUP(B123,'Country Code M49'!$B$2:$B$250,'Country Code M49'!$C$2:$C$250,,0)</f>
        <v>MRT</v>
      </c>
      <c r="E123" s="162">
        <v>99.59129668943163</v>
      </c>
      <c r="F123" s="162">
        <v>450720.33142736071</v>
      </c>
      <c r="G123" s="160" t="s">
        <v>877</v>
      </c>
      <c r="H123" s="188">
        <f>_xlfn.XLOOKUP(D123,'[1]World Population'!$C$2:$C$267,'[1]World Population'!$BN$2:$BN$267)</f>
        <v>4649660</v>
      </c>
      <c r="I123" s="188">
        <v>94.1617431640625</v>
      </c>
      <c r="J123" s="194">
        <f>_xlfn.XLOOKUP(D123,'[2]GDP 2015 Constant'!$B$6:$B$271,'[2]GDP 2015 Constant'!$BM$6:$BM$271)</f>
        <v>7206781562</v>
      </c>
      <c r="K123" s="193">
        <f t="shared" si="2"/>
        <v>1549.958827527174</v>
      </c>
      <c r="L123" s="194">
        <f>_xlfn.XLOOKUP(D123,'[5]Tourism Receipts'!$B$6:$B$271,'[5]Tourism Receipts'!$BK$6:$BK$271)</f>
        <v>6000000</v>
      </c>
      <c r="M123" s="195">
        <f t="shared" si="3"/>
        <v>8.3254916891568745E-4</v>
      </c>
      <c r="N123">
        <f>_xlfn.XLOOKUP(D123,'[6]API_NV.AGR.TOTL.ZS_DS2_en_csv_v'!$B$6:$B$271,'[6]API_NV.AGR.TOTL.ZS_DS2_en_csv_v'!$BL$6:$BL$271)</f>
        <v>21.6769475143352</v>
      </c>
      <c r="O123" s="188">
        <f>_xlfn.XLOOKUP(D123,'[7]API_SP.RUR.TOTL_DS2_en_csv_v2_4'!$B$6:$B$271,'[7]API_SP.RUR.TOTL_DS2_en_csv_v2_4'!$BM$6:$BM$271)</f>
        <v>2077143</v>
      </c>
      <c r="P123" s="188">
        <f>_xlfn.XLOOKUP(D123,'[8]API_AG.PRD.FOOD.XD_DS2_en_csv_v'!$B$6:$B$271,'[8]API_AG.PRD.FOOD.XD_DS2_en_csv_v'!$BM$6:$BM$271)</f>
        <v>110.49</v>
      </c>
      <c r="Q123">
        <f>_xlfn.XLOOKUP(D123,'[9]API_NE.IMP.GNFS.ZS_DS2_en_csv_v'!$B$6:$B$271,'[9]API_NE.IMP.GNFS.ZS_DS2_en_csv_v'!$BK$6:$BK$271)</f>
        <v>47.925066808759802</v>
      </c>
      <c r="R123">
        <f>_xlfn.XLOOKUP(D123,'[10]API_NE.EXP.GNFS.ZS_DS2_en_csv_v'!$B$6:$B$271,'[10]API_NE.EXP.GNFS.ZS_DS2_en_csv_v'!$BL$6:$BL$271)</f>
        <v>39.184759906082697</v>
      </c>
      <c r="S123">
        <f>_xlfn.XLOOKUP(D123,'[11]API_EG.USE.ELEC.KH.PC_DS2_en_cs'!$B$6:$B$271,'[11]API_EG.USE.ELEC.KH.PC_DS2_en_cs'!$BG$6:$BG$271)</f>
        <v>0</v>
      </c>
      <c r="T123">
        <f>_xlfn.XLOOKUP(D123,'[12]API_EN.POP.DNST_DS2_en_csv_v2_4'!$B$6:$B$271,'[12]API_EN.POP.DNST_DS2_en_csv_v2_4'!$BM$6:$BM$271)</f>
        <v>4.5111671679441203</v>
      </c>
    </row>
    <row r="124" spans="1:20" x14ac:dyDescent="0.2">
      <c r="A124" s="161" t="s">
        <v>154</v>
      </c>
      <c r="B124" s="161">
        <v>480</v>
      </c>
      <c r="C124" s="161" t="s">
        <v>839</v>
      </c>
      <c r="D124" t="str">
        <f>_xlfn.XLOOKUP(B124,'Country Code M49'!$B$2:$B$250,'Country Code M49'!$C$2:$C$250,,0)</f>
        <v>MUS</v>
      </c>
      <c r="E124" s="162">
        <v>93.428373430018951</v>
      </c>
      <c r="F124" s="162">
        <v>118626.00574409506</v>
      </c>
      <c r="G124" s="160" t="s">
        <v>877</v>
      </c>
      <c r="H124" s="188">
        <f>_xlfn.XLOOKUP(D124,'[1]World Population'!$C$2:$C$267,'[1]World Population'!$BN$2:$BN$267)</f>
        <v>1265740</v>
      </c>
      <c r="I124" s="188">
        <v>100</v>
      </c>
      <c r="J124" s="194">
        <f>_xlfn.XLOOKUP(D124,'[2]GDP 2015 Constant'!$B$6:$B$271,'[2]GDP 2015 Constant'!$BM$6:$BM$271)</f>
        <v>11465336643</v>
      </c>
      <c r="K124" s="193">
        <f t="shared" si="2"/>
        <v>9058.208354796403</v>
      </c>
      <c r="L124" s="194">
        <f>_xlfn.XLOOKUP(D124,'[5]Tourism Receipts'!$B$6:$B$271,'[5]Tourism Receipts'!$BK$6:$BK$271)</f>
        <v>2161000000</v>
      </c>
      <c r="M124" s="195">
        <f t="shared" si="3"/>
        <v>0.18848116433801951</v>
      </c>
      <c r="N124">
        <f>_xlfn.XLOOKUP(D124,'[6]API_NV.AGR.TOTL.ZS_DS2_en_csv_v'!$B$6:$B$271,'[6]API_NV.AGR.TOTL.ZS_DS2_en_csv_v'!$BL$6:$BL$271)</f>
        <v>2.8979195350162801</v>
      </c>
      <c r="O124" s="188">
        <f>_xlfn.XLOOKUP(D124,'[7]API_SP.RUR.TOTL_DS2_en_csv_v2_4'!$B$6:$B$271,'[7]API_SP.RUR.TOTL_DS2_en_csv_v2_4'!$BM$6:$BM$271)</f>
        <v>749824</v>
      </c>
      <c r="P124" s="188">
        <f>_xlfn.XLOOKUP(D124,'[8]API_AG.PRD.FOOD.XD_DS2_en_csv_v'!$B$6:$B$271,'[8]API_AG.PRD.FOOD.XD_DS2_en_csv_v'!$BM$6:$BM$271)</f>
        <v>80.78</v>
      </c>
      <c r="Q124">
        <f>_xlfn.XLOOKUP(D124,'[9]API_NE.IMP.GNFS.ZS_DS2_en_csv_v'!$B$6:$B$271,'[9]API_NE.IMP.GNFS.ZS_DS2_en_csv_v'!$BK$6:$BK$271)</f>
        <v>54.020729092208697</v>
      </c>
      <c r="R124">
        <f>_xlfn.XLOOKUP(D124,'[10]API_NE.EXP.GNFS.ZS_DS2_en_csv_v'!$B$6:$B$271,'[10]API_NE.EXP.GNFS.ZS_DS2_en_csv_v'!$BL$6:$BL$271)</f>
        <v>38.470338421768801</v>
      </c>
      <c r="S124">
        <f>_xlfn.XLOOKUP(D124,'[11]API_EG.USE.ELEC.KH.PC_DS2_en_cs'!$B$6:$B$271,'[11]API_EG.USE.ELEC.KH.PC_DS2_en_cs'!$BG$6:$BG$271)</f>
        <v>2182.5091559114098</v>
      </c>
      <c r="T124">
        <f>_xlfn.XLOOKUP(D124,'[12]API_EN.POP.DNST_DS2_en_csv_v2_4'!$B$6:$B$271,'[12]API_EN.POP.DNST_DS2_en_csv_v2_4'!$BM$6:$BM$271)</f>
        <v>623.51724137931001</v>
      </c>
    </row>
    <row r="125" spans="1:20" x14ac:dyDescent="0.2">
      <c r="A125" s="161" t="s">
        <v>150</v>
      </c>
      <c r="B125" s="161">
        <v>484</v>
      </c>
      <c r="C125" s="161" t="s">
        <v>123</v>
      </c>
      <c r="D125" t="str">
        <f>_xlfn.XLOOKUP(B125,'Country Code M49'!$B$2:$B$250,'Country Code M49'!$C$2:$C$250,,0)</f>
        <v>MEX</v>
      </c>
      <c r="E125" s="162">
        <v>93.900194580714896</v>
      </c>
      <c r="F125" s="162">
        <v>11979364.273731994</v>
      </c>
      <c r="G125" s="160" t="s">
        <v>873</v>
      </c>
      <c r="H125" s="188">
        <f>_xlfn.XLOOKUP(D125,'[1]World Population'!$C$2:$C$267,'[1]World Population'!$BN$2:$BN$267)</f>
        <v>128932753</v>
      </c>
      <c r="I125" s="188">
        <v>97.113334655761705</v>
      </c>
      <c r="J125" s="194">
        <f>_xlfn.XLOOKUP(D125,'[2]GDP 2015 Constant'!$B$6:$B$271,'[2]GDP 2015 Constant'!$BM$6:$BM$271)</f>
        <v>1150420000000</v>
      </c>
      <c r="K125" s="193">
        <f t="shared" si="2"/>
        <v>8922.6358177584243</v>
      </c>
      <c r="L125" s="194">
        <f>_xlfn.XLOOKUP(D125,'[5]Tourism Receipts'!$B$6:$B$271,'[5]Tourism Receipts'!$BK$6:$BK$271)</f>
        <v>23802000000</v>
      </c>
      <c r="M125" s="195">
        <f t="shared" si="3"/>
        <v>2.0689835016776483E-2</v>
      </c>
      <c r="N125">
        <f>_xlfn.XLOOKUP(D125,'[6]API_NV.AGR.TOTL.ZS_DS2_en_csv_v'!$B$6:$B$271,'[6]API_NV.AGR.TOTL.ZS_DS2_en_csv_v'!$BL$6:$BL$271)</f>
        <v>3.3943129765772801</v>
      </c>
      <c r="O125" s="188">
        <f>_xlfn.XLOOKUP(D125,'[7]API_SP.RUR.TOTL_DS2_en_csv_v2_4'!$B$6:$B$271,'[7]API_SP.RUR.TOTL_DS2_en_csv_v2_4'!$BM$6:$BM$271)</f>
        <v>24844052</v>
      </c>
      <c r="P125" s="188">
        <f>_xlfn.XLOOKUP(D125,'[8]API_AG.PRD.FOOD.XD_DS2_en_csv_v'!$B$6:$B$271,'[8]API_AG.PRD.FOOD.XD_DS2_en_csv_v'!$BM$6:$BM$271)</f>
        <v>112.83</v>
      </c>
      <c r="Q125">
        <f>_xlfn.XLOOKUP(D125,'[9]API_NE.IMP.GNFS.ZS_DS2_en_csv_v'!$B$6:$B$271,'[9]API_NE.IMP.GNFS.ZS_DS2_en_csv_v'!$BK$6:$BK$271)</f>
        <v>41.301832499876298</v>
      </c>
      <c r="R125">
        <f>_xlfn.XLOOKUP(D125,'[10]API_NE.EXP.GNFS.ZS_DS2_en_csv_v'!$B$6:$B$271,'[10]API_NE.EXP.GNFS.ZS_DS2_en_csv_v'!$BL$6:$BL$271)</f>
        <v>38.809281330790803</v>
      </c>
      <c r="S125">
        <f>_xlfn.XLOOKUP(D125,'[11]API_EG.USE.ELEC.KH.PC_DS2_en_cs'!$B$6:$B$271,'[11]API_EG.USE.ELEC.KH.PC_DS2_en_cs'!$BG$6:$BG$271)</f>
        <v>2157.3237875172699</v>
      </c>
      <c r="T125">
        <f>_xlfn.XLOOKUP(D125,'[12]API_EN.POP.DNST_DS2_en_csv_v2_4'!$B$6:$B$271,'[12]API_EN.POP.DNST_DS2_en_csv_v2_4'!$BM$6:$BM$271)</f>
        <v>66.325138506648798</v>
      </c>
    </row>
    <row r="126" spans="1:20" x14ac:dyDescent="0.2">
      <c r="A126" s="161" t="s">
        <v>875</v>
      </c>
      <c r="B126" s="161">
        <v>583</v>
      </c>
      <c r="C126" s="161" t="s">
        <v>760</v>
      </c>
      <c r="D126" t="str">
        <f>_xlfn.XLOOKUP(B126,'Country Code M49'!$B$2:$B$250,'Country Code M49'!$C$2:$C$250,,0)</f>
        <v>FSM</v>
      </c>
      <c r="E126" s="162">
        <v>91.016179554931128</v>
      </c>
      <c r="F126" s="162">
        <v>10357.641233351162</v>
      </c>
      <c r="G126" s="160" t="s">
        <v>872</v>
      </c>
      <c r="H126" s="188">
        <f>_xlfn.XLOOKUP(D126,'[1]World Population'!$C$2:$C$267,'[1]World Population'!$BN$2:$BN$267)</f>
        <v>115021</v>
      </c>
      <c r="I126" s="188">
        <v>67.333267211914105</v>
      </c>
      <c r="J126" s="194">
        <f>_xlfn.XLOOKUP(D126,'[2]GDP 2015 Constant'!$B$6:$B$271,'[2]GDP 2015 Constant'!$BM$6:$BM$271)</f>
        <v>326589289.5</v>
      </c>
      <c r="K126" s="193">
        <f t="shared" si="2"/>
        <v>2839.3883682110222</v>
      </c>
      <c r="L126" s="194">
        <f>_xlfn.XLOOKUP(D126,'[5]Tourism Receipts'!$B$6:$B$271,'[5]Tourism Receipts'!$BK$6:$BK$271)</f>
        <v>0</v>
      </c>
      <c r="M126" s="195">
        <f t="shared" si="3"/>
        <v>0</v>
      </c>
      <c r="N126">
        <f>_xlfn.XLOOKUP(D126,'[6]API_NV.AGR.TOTL.ZS_DS2_en_csv_v'!$B$6:$B$271,'[6]API_NV.AGR.TOTL.ZS_DS2_en_csv_v'!$BL$6:$BL$271)</f>
        <v>22.512933644046399</v>
      </c>
      <c r="O126" s="188">
        <f>_xlfn.XLOOKUP(D126,'[7]API_SP.RUR.TOTL_DS2_en_csv_v2_4'!$B$6:$B$271,'[7]API_SP.RUR.TOTL_DS2_en_csv_v2_4'!$BM$6:$BM$271)</f>
        <v>88643</v>
      </c>
      <c r="P126" s="188">
        <f>_xlfn.XLOOKUP(D126,'[8]API_AG.PRD.FOOD.XD_DS2_en_csv_v'!$B$6:$B$271,'[8]API_AG.PRD.FOOD.XD_DS2_en_csv_v'!$BM$6:$BM$271)</f>
        <v>99.73</v>
      </c>
      <c r="Q126">
        <f>_xlfn.XLOOKUP(D126,'[9]API_NE.IMP.GNFS.ZS_DS2_en_csv_v'!$B$6:$B$271,'[9]API_NE.IMP.GNFS.ZS_DS2_en_csv_v'!$BK$6:$BK$271)</f>
        <v>65.376731355006797</v>
      </c>
      <c r="R126">
        <f>_xlfn.XLOOKUP(D126,'[10]API_NE.EXP.GNFS.ZS_DS2_en_csv_v'!$B$6:$B$271,'[10]API_NE.EXP.GNFS.ZS_DS2_en_csv_v'!$BL$6:$BL$271)</f>
        <v>31.443993517837001</v>
      </c>
      <c r="S126">
        <f>_xlfn.XLOOKUP(D126,'[11]API_EG.USE.ELEC.KH.PC_DS2_en_cs'!$B$6:$B$271,'[11]API_EG.USE.ELEC.KH.PC_DS2_en_cs'!$BG$6:$BG$271)</f>
        <v>0</v>
      </c>
      <c r="T126">
        <f>_xlfn.XLOOKUP(D126,'[12]API_EN.POP.DNST_DS2_en_csv_v2_4'!$B$6:$B$271,'[12]API_EN.POP.DNST_DS2_en_csv_v2_4'!$BM$6:$BM$271)</f>
        <v>164.31571428571399</v>
      </c>
    </row>
    <row r="127" spans="1:20" x14ac:dyDescent="0.2">
      <c r="A127" s="161" t="s">
        <v>147</v>
      </c>
      <c r="B127" s="161">
        <v>492</v>
      </c>
      <c r="C127" s="161" t="s">
        <v>869</v>
      </c>
      <c r="D127" t="str">
        <f>_xlfn.XLOOKUP(B127,'Country Code M49'!$B$2:$B$250,'Country Code M49'!$C$2:$C$250,,0)</f>
        <v>MCO</v>
      </c>
      <c r="E127" s="162">
        <v>71.675140154584682</v>
      </c>
      <c r="F127" s="162">
        <v>2795.3304660288027</v>
      </c>
      <c r="G127" s="160" t="s">
        <v>877</v>
      </c>
      <c r="H127" s="188">
        <f>_xlfn.XLOOKUP(D127,'[1]World Population'!$C$2:$C$267,'[1]World Population'!$BN$2:$BN$267)</f>
        <v>39244</v>
      </c>
      <c r="I127" s="188">
        <v>76.559089660644503</v>
      </c>
      <c r="J127" s="194">
        <f>_xlfn.XLOOKUP(D127,'[2]GDP 2015 Constant'!$B$6:$B$271,'[2]GDP 2015 Constant'!$BM$6:$BM$271)</f>
        <v>6248493129</v>
      </c>
      <c r="K127" s="193">
        <f t="shared" si="2"/>
        <v>159221.61678218326</v>
      </c>
      <c r="L127" s="194">
        <f>_xlfn.XLOOKUP(D127,'[5]Tourism Receipts'!$B$6:$B$271,'[5]Tourism Receipts'!$BK$6:$BK$271)</f>
        <v>0</v>
      </c>
      <c r="M127" s="195">
        <f t="shared" si="3"/>
        <v>0</v>
      </c>
      <c r="N127">
        <f>_xlfn.XLOOKUP(D127,'[6]API_NV.AGR.TOTL.ZS_DS2_en_csv_v'!$B$6:$B$271,'[6]API_NV.AGR.TOTL.ZS_DS2_en_csv_v'!$BL$6:$BL$271)</f>
        <v>0</v>
      </c>
      <c r="O127" s="188">
        <f>_xlfn.XLOOKUP(D127,'[7]API_SP.RUR.TOTL_DS2_en_csv_v2_4'!$B$6:$B$271,'[7]API_SP.RUR.TOTL_DS2_en_csv_v2_4'!$BM$6:$BM$271)</f>
        <v>0</v>
      </c>
      <c r="P127" s="188">
        <f>_xlfn.XLOOKUP(D127,'[8]API_AG.PRD.FOOD.XD_DS2_en_csv_v'!$B$6:$B$271,'[8]API_AG.PRD.FOOD.XD_DS2_en_csv_v'!$BM$6:$BM$271)</f>
        <v>0</v>
      </c>
      <c r="Q127">
        <f>_xlfn.XLOOKUP(D127,'[9]API_NE.IMP.GNFS.ZS_DS2_en_csv_v'!$B$6:$B$271,'[9]API_NE.IMP.GNFS.ZS_DS2_en_csv_v'!$BK$6:$BK$271)</f>
        <v>0</v>
      </c>
      <c r="R127">
        <f>_xlfn.XLOOKUP(D127,'[10]API_NE.EXP.GNFS.ZS_DS2_en_csv_v'!$B$6:$B$271,'[10]API_NE.EXP.GNFS.ZS_DS2_en_csv_v'!$BL$6:$BL$271)</f>
        <v>0</v>
      </c>
      <c r="S127">
        <f>_xlfn.XLOOKUP(D127,'[11]API_EG.USE.ELEC.KH.PC_DS2_en_cs'!$B$6:$B$271,'[11]API_EG.USE.ELEC.KH.PC_DS2_en_cs'!$BG$6:$BG$271)</f>
        <v>0</v>
      </c>
      <c r="T127">
        <f>_xlfn.XLOOKUP(D127,'[12]API_EN.POP.DNST_DS2_en_csv_v2_4'!$B$6:$B$271,'[12]API_EN.POP.DNST_DS2_en_csv_v2_4'!$BM$6:$BM$271)</f>
        <v>19360.631475086298</v>
      </c>
    </row>
    <row r="128" spans="1:20" x14ac:dyDescent="0.2">
      <c r="A128" s="161" t="s">
        <v>152</v>
      </c>
      <c r="B128" s="161">
        <v>496</v>
      </c>
      <c r="C128" s="161" t="s">
        <v>698</v>
      </c>
      <c r="D128" t="str">
        <f>_xlfn.XLOOKUP(B128,'Country Code M49'!$B$2:$B$250,'Country Code M49'!$C$2:$C$250,,0)</f>
        <v>MNG</v>
      </c>
      <c r="E128" s="162">
        <v>77.568339820475302</v>
      </c>
      <c r="F128" s="162">
        <v>250173.40958899696</v>
      </c>
      <c r="G128" s="160" t="s">
        <v>872</v>
      </c>
      <c r="H128" s="188">
        <f>_xlfn.XLOOKUP(D128,'[1]World Population'!$C$2:$C$267,'[1]World Population'!$BN$2:$BN$267)</f>
        <v>3278292</v>
      </c>
      <c r="I128" s="188">
        <v>100</v>
      </c>
      <c r="J128" s="194">
        <f>_xlfn.XLOOKUP(D128,'[2]GDP 2015 Constant'!$B$6:$B$271,'[2]GDP 2015 Constant'!$BM$6:$BM$271)</f>
        <v>13528524725</v>
      </c>
      <c r="K128" s="193">
        <f t="shared" si="2"/>
        <v>4126.6991241170708</v>
      </c>
      <c r="L128" s="194">
        <f>_xlfn.XLOOKUP(D128,'[5]Tourism Receipts'!$B$6:$B$271,'[5]Tourism Receipts'!$BK$6:$BK$271)</f>
        <v>526000000</v>
      </c>
      <c r="M128" s="195">
        <f t="shared" si="3"/>
        <v>3.8880810043387788E-2</v>
      </c>
      <c r="N128">
        <f>_xlfn.XLOOKUP(D128,'[6]API_NV.AGR.TOTL.ZS_DS2_en_csv_v'!$B$6:$B$271,'[6]API_NV.AGR.TOTL.ZS_DS2_en_csv_v'!$BL$6:$BL$271)</f>
        <v>11.558382861257201</v>
      </c>
      <c r="O128" s="188">
        <f>_xlfn.XLOOKUP(D128,'[7]API_SP.RUR.TOTL_DS2_en_csv_v2_4'!$B$6:$B$271,'[7]API_SP.RUR.TOTL_DS2_en_csv_v2_4'!$BM$6:$BM$271)</f>
        <v>1027515</v>
      </c>
      <c r="P128" s="188">
        <f>_xlfn.XLOOKUP(D128,'[8]API_AG.PRD.FOOD.XD_DS2_en_csv_v'!$B$6:$B$271,'[8]API_AG.PRD.FOOD.XD_DS2_en_csv_v'!$BM$6:$BM$271)</f>
        <v>173.71</v>
      </c>
      <c r="Q128">
        <f>_xlfn.XLOOKUP(D128,'[9]API_NE.IMP.GNFS.ZS_DS2_en_csv_v'!$B$6:$B$271,'[9]API_NE.IMP.GNFS.ZS_DS2_en_csv_v'!$BK$6:$BK$271)</f>
        <v>68.191090964265399</v>
      </c>
      <c r="R128">
        <f>_xlfn.XLOOKUP(D128,'[10]API_NE.EXP.GNFS.ZS_DS2_en_csv_v'!$B$6:$B$271,'[10]API_NE.EXP.GNFS.ZS_DS2_en_csv_v'!$BL$6:$BL$271)</f>
        <v>59.217233181074697</v>
      </c>
      <c r="S128">
        <f>_xlfn.XLOOKUP(D128,'[11]API_EG.USE.ELEC.KH.PC_DS2_en_cs'!$B$6:$B$271,'[11]API_EG.USE.ELEC.KH.PC_DS2_en_cs'!$BG$6:$BG$271)</f>
        <v>2006.3868336943699</v>
      </c>
      <c r="T128">
        <f>_xlfn.XLOOKUP(D128,'[12]API_EN.POP.DNST_DS2_en_csv_v2_4'!$B$6:$B$271,'[12]API_EN.POP.DNST_DS2_en_csv_v2_4'!$BM$6:$BM$271)</f>
        <v>2.1048331819068098</v>
      </c>
    </row>
    <row r="129" spans="1:20" x14ac:dyDescent="0.2">
      <c r="A129" s="161" t="s">
        <v>155</v>
      </c>
      <c r="B129" s="161">
        <v>499</v>
      </c>
      <c r="C129" s="161" t="s">
        <v>808</v>
      </c>
      <c r="D129" t="str">
        <f>_xlfn.XLOOKUP(B129,'Country Code M49'!$B$2:$B$250,'Country Code M49'!$C$2:$C$250,,0)</f>
        <v>MNE</v>
      </c>
      <c r="E129" s="162">
        <v>82.783773370705802</v>
      </c>
      <c r="F129" s="162">
        <v>51988.20967680325</v>
      </c>
      <c r="G129" s="160" t="s">
        <v>877</v>
      </c>
      <c r="H129" s="188">
        <f>_xlfn.XLOOKUP(D129,'[1]World Population'!$C$2:$C$267,'[1]World Population'!$BN$2:$BN$267)</f>
        <v>621306</v>
      </c>
      <c r="I129" s="188">
        <v>100</v>
      </c>
      <c r="J129" s="194">
        <f>_xlfn.XLOOKUP(D129,'[2]GDP 2015 Constant'!$B$6:$B$271,'[2]GDP 2015 Constant'!$BM$6:$BM$271)</f>
        <v>4048140209</v>
      </c>
      <c r="K129" s="193">
        <f t="shared" si="2"/>
        <v>6515.5337450467241</v>
      </c>
      <c r="L129" s="194">
        <f>_xlfn.XLOOKUP(D129,'[5]Tourism Receipts'!$B$6:$B$271,'[5]Tourism Receipts'!$BK$6:$BK$271)</f>
        <v>1224000000</v>
      </c>
      <c r="M129" s="195">
        <f t="shared" si="3"/>
        <v>0.30236106873935603</v>
      </c>
      <c r="N129">
        <f>_xlfn.XLOOKUP(D129,'[6]API_NV.AGR.TOTL.ZS_DS2_en_csv_v'!$B$6:$B$271,'[6]API_NV.AGR.TOTL.ZS_DS2_en_csv_v'!$BL$6:$BL$271)</f>
        <v>6.3938419259579096</v>
      </c>
      <c r="O129" s="188">
        <f>_xlfn.XLOOKUP(D129,'[7]API_SP.RUR.TOTL_DS2_en_csv_v2_4'!$B$6:$B$271,'[7]API_SP.RUR.TOTL_DS2_en_csv_v2_4'!$BM$6:$BM$271)</f>
        <v>201999</v>
      </c>
      <c r="P129" s="188">
        <f>_xlfn.XLOOKUP(D129,'[8]API_AG.PRD.FOOD.XD_DS2_en_csv_v'!$B$6:$B$271,'[8]API_AG.PRD.FOOD.XD_DS2_en_csv_v'!$BM$6:$BM$271)</f>
        <v>102.58</v>
      </c>
      <c r="Q129">
        <f>_xlfn.XLOOKUP(D129,'[9]API_NE.IMP.GNFS.ZS_DS2_en_csv_v'!$B$6:$B$271,'[9]API_NE.IMP.GNFS.ZS_DS2_en_csv_v'!$BK$6:$BK$271)</f>
        <v>66.734296491841306</v>
      </c>
      <c r="R129">
        <f>_xlfn.XLOOKUP(D129,'[10]API_NE.EXP.GNFS.ZS_DS2_en_csv_v'!$B$6:$B$271,'[10]API_NE.EXP.GNFS.ZS_DS2_en_csv_v'!$BL$6:$BL$271)</f>
        <v>43.846641436784303</v>
      </c>
      <c r="S129">
        <f>_xlfn.XLOOKUP(D129,'[11]API_EG.USE.ELEC.KH.PC_DS2_en_cs'!$B$6:$B$271,'[11]API_EG.USE.ELEC.KH.PC_DS2_en_cs'!$BG$6:$BG$271)</f>
        <v>4612.3413904568897</v>
      </c>
      <c r="T129">
        <f>_xlfn.XLOOKUP(D129,'[12]API_EN.POP.DNST_DS2_en_csv_v2_4'!$B$6:$B$271,'[12]API_EN.POP.DNST_DS2_en_csv_v2_4'!$BM$6:$BM$271)</f>
        <v>46.193754646840098</v>
      </c>
    </row>
    <row r="130" spans="1:20" x14ac:dyDescent="0.2">
      <c r="A130" s="161" t="s">
        <v>876</v>
      </c>
      <c r="B130" s="161">
        <v>504</v>
      </c>
      <c r="C130" s="161" t="s">
        <v>767</v>
      </c>
      <c r="D130" t="str">
        <f>_xlfn.XLOOKUP(B130,'Country Code M49'!$B$2:$B$250,'Country Code M49'!$C$2:$C$250,,0)</f>
        <v>MAR</v>
      </c>
      <c r="E130" s="162">
        <v>91.016179554931128</v>
      </c>
      <c r="F130" s="162">
        <v>3319523.897491537</v>
      </c>
      <c r="G130" s="160" t="s">
        <v>872</v>
      </c>
      <c r="H130" s="188">
        <f>_xlfn.XLOOKUP(D130,'[1]World Population'!$C$2:$C$267,'[1]World Population'!$BN$2:$BN$267)</f>
        <v>36910558</v>
      </c>
      <c r="I130" s="188">
        <v>91.963027954101605</v>
      </c>
      <c r="J130" s="194">
        <f>_xlfn.XLOOKUP(D130,'[2]GDP 2015 Constant'!$B$6:$B$271,'[2]GDP 2015 Constant'!$BM$6:$BM$271)</f>
        <v>105726000000</v>
      </c>
      <c r="K130" s="193">
        <f t="shared" si="2"/>
        <v>2864.3836812220502</v>
      </c>
      <c r="L130" s="194">
        <f>_xlfn.XLOOKUP(D130,'[5]Tourism Receipts'!$B$6:$B$271,'[5]Tourism Receipts'!$BK$6:$BK$271)</f>
        <v>9520000000</v>
      </c>
      <c r="M130" s="195">
        <f t="shared" si="3"/>
        <v>9.0044076196961961E-2</v>
      </c>
      <c r="N130">
        <f>_xlfn.XLOOKUP(D130,'[6]API_NV.AGR.TOTL.ZS_DS2_en_csv_v'!$B$6:$B$271,'[6]API_NV.AGR.TOTL.ZS_DS2_en_csv_v'!$BL$6:$BL$271)</f>
        <v>12.145929150264701</v>
      </c>
      <c r="O130" s="188">
        <f>_xlfn.XLOOKUP(D130,'[7]API_SP.RUR.TOTL_DS2_en_csv_v2_4'!$B$6:$B$271,'[7]API_SP.RUR.TOTL_DS2_en_csv_v2_4'!$BM$6:$BM$271)</f>
        <v>13460542</v>
      </c>
      <c r="P130" s="188">
        <f>_xlfn.XLOOKUP(D130,'[8]API_AG.PRD.FOOD.XD_DS2_en_csv_v'!$B$6:$B$271,'[8]API_AG.PRD.FOOD.XD_DS2_en_csv_v'!$BM$6:$BM$271)</f>
        <v>100.61</v>
      </c>
      <c r="Q130">
        <f>_xlfn.XLOOKUP(D130,'[9]API_NE.IMP.GNFS.ZS_DS2_en_csv_v'!$B$6:$B$271,'[9]API_NE.IMP.GNFS.ZS_DS2_en_csv_v'!$BK$6:$BK$271)</f>
        <v>49.198304318682702</v>
      </c>
      <c r="R130">
        <f>_xlfn.XLOOKUP(D130,'[10]API_NE.EXP.GNFS.ZS_DS2_en_csv_v'!$B$6:$B$271,'[10]API_NE.EXP.GNFS.ZS_DS2_en_csv_v'!$BL$6:$BL$271)</f>
        <v>39.3169362407899</v>
      </c>
      <c r="S130">
        <f>_xlfn.XLOOKUP(D130,'[11]API_EG.USE.ELEC.KH.PC_DS2_en_cs'!$B$6:$B$271,'[11]API_EG.USE.ELEC.KH.PC_DS2_en_cs'!$BG$6:$BG$271)</f>
        <v>904.44186388081198</v>
      </c>
      <c r="T130">
        <f>_xlfn.XLOOKUP(D130,'[12]API_EN.POP.DNST_DS2_en_csv_v2_4'!$B$6:$B$271,'[12]API_EN.POP.DNST_DS2_en_csv_v2_4'!$BM$6:$BM$271)</f>
        <v>82.703468518933406</v>
      </c>
    </row>
    <row r="131" spans="1:20" x14ac:dyDescent="0.2">
      <c r="A131" s="161" t="s">
        <v>154</v>
      </c>
      <c r="B131" s="161">
        <v>508</v>
      </c>
      <c r="C131" s="161" t="s">
        <v>841</v>
      </c>
      <c r="D131" t="str">
        <f>_xlfn.XLOOKUP(B131,'Country Code M49'!$B$2:$B$250,'Country Code M49'!$C$2:$C$250,,0)</f>
        <v>MOZ</v>
      </c>
      <c r="E131" s="162">
        <v>102.69433227860404</v>
      </c>
      <c r="F131" s="162">
        <v>3118416.0939720902</v>
      </c>
      <c r="G131" s="160" t="s">
        <v>877</v>
      </c>
      <c r="H131" s="188">
        <f>_xlfn.XLOOKUP(D131,'[1]World Population'!$C$2:$C$267,'[1]World Population'!$BN$2:$BN$267)</f>
        <v>31255435</v>
      </c>
      <c r="I131" s="188">
        <v>82.925918579101605</v>
      </c>
      <c r="J131" s="194">
        <f>_xlfn.XLOOKUP(D131,'[2]GDP 2015 Constant'!$B$6:$B$271,'[2]GDP 2015 Constant'!$BM$6:$BM$271)</f>
        <v>17959233845</v>
      </c>
      <c r="K131" s="193">
        <f t="shared" ref="K131:K194" si="4">J131/H131</f>
        <v>574.59554938205144</v>
      </c>
      <c r="L131" s="194">
        <f>_xlfn.XLOOKUP(D131,'[5]Tourism Receipts'!$B$6:$B$271,'[5]Tourism Receipts'!$BK$6:$BK$271)</f>
        <v>331000000</v>
      </c>
      <c r="M131" s="195">
        <f t="shared" ref="M131:M194" si="5">L131/J131</f>
        <v>1.8430630329598005E-2</v>
      </c>
      <c r="N131">
        <f>_xlfn.XLOOKUP(D131,'[6]API_NV.AGR.TOTL.ZS_DS2_en_csv_v'!$B$6:$B$271,'[6]API_NV.AGR.TOTL.ZS_DS2_en_csv_v'!$BL$6:$BL$271)</f>
        <v>24.211433334701699</v>
      </c>
      <c r="O131" s="188">
        <f>_xlfn.XLOOKUP(D131,'[7]API_SP.RUR.TOTL_DS2_en_csv_v2_4'!$B$6:$B$271,'[7]API_SP.RUR.TOTL_DS2_en_csv_v2_4'!$BM$6:$BM$271)</f>
        <v>19667795</v>
      </c>
      <c r="P131" s="188">
        <f>_xlfn.XLOOKUP(D131,'[8]API_AG.PRD.FOOD.XD_DS2_en_csv_v'!$B$6:$B$271,'[8]API_AG.PRD.FOOD.XD_DS2_en_csv_v'!$BM$6:$BM$271)</f>
        <v>130.86000000000001</v>
      </c>
      <c r="Q131">
        <f>_xlfn.XLOOKUP(D131,'[9]API_NE.IMP.GNFS.ZS_DS2_en_csv_v'!$B$6:$B$271,'[9]API_NE.IMP.GNFS.ZS_DS2_en_csv_v'!$BK$6:$BK$271)</f>
        <v>82.334153994728993</v>
      </c>
      <c r="R131">
        <f>_xlfn.XLOOKUP(D131,'[10]API_NE.EXP.GNFS.ZS_DS2_en_csv_v'!$B$6:$B$271,'[10]API_NE.EXP.GNFS.ZS_DS2_en_csv_v'!$BL$6:$BL$271)</f>
        <v>32.268361516192101</v>
      </c>
      <c r="S131">
        <f>_xlfn.XLOOKUP(D131,'[11]API_EG.USE.ELEC.KH.PC_DS2_en_cs'!$B$6:$B$271,'[11]API_EG.USE.ELEC.KH.PC_DS2_en_cs'!$BG$6:$BG$271)</f>
        <v>478.92064396394898</v>
      </c>
      <c r="T131">
        <f>_xlfn.XLOOKUP(D131,'[12]API_EN.POP.DNST_DS2_en_csv_v2_4'!$B$6:$B$271,'[12]API_EN.POP.DNST_DS2_en_csv_v2_4'!$BM$6:$BM$271)</f>
        <v>39.745968870012</v>
      </c>
    </row>
    <row r="132" spans="1:20" x14ac:dyDescent="0.2">
      <c r="A132" s="161" t="s">
        <v>157</v>
      </c>
      <c r="B132" s="161">
        <v>104</v>
      </c>
      <c r="C132" s="161" t="s">
        <v>792</v>
      </c>
      <c r="D132" t="str">
        <f>_xlfn.XLOOKUP(B132,'Country Code M49'!$B$2:$B$250,'Country Code M49'!$C$2:$C$250,,0)</f>
        <v>MMR</v>
      </c>
      <c r="E132" s="162">
        <v>86.337126699430399</v>
      </c>
      <c r="F132" s="162">
        <v>4666124.5473213959</v>
      </c>
      <c r="G132" s="160" t="s">
        <v>872</v>
      </c>
      <c r="H132" s="188">
        <f>_xlfn.XLOOKUP(D132,'[1]World Population'!$C$2:$C$267,'[1]World Population'!$BN$2:$BN$267)</f>
        <v>54409794</v>
      </c>
      <c r="I132" s="188">
        <v>93.586448669433594</v>
      </c>
      <c r="J132" s="194">
        <f>_xlfn.XLOOKUP(D132,'[2]GDP 2015 Constant'!$B$6:$B$271,'[2]GDP 2015 Constant'!$BM$6:$BM$271)</f>
        <v>86343026585</v>
      </c>
      <c r="K132" s="193">
        <f t="shared" si="4"/>
        <v>1586.9022879410277</v>
      </c>
      <c r="L132" s="194">
        <f>_xlfn.XLOOKUP(D132,'[5]Tourism Receipts'!$B$6:$B$271,'[5]Tourism Receipts'!$BK$6:$BK$271)</f>
        <v>1670000000</v>
      </c>
      <c r="M132" s="195">
        <f t="shared" si="5"/>
        <v>1.9341457741882329E-2</v>
      </c>
      <c r="N132">
        <f>_xlfn.XLOOKUP(D132,'[6]API_NV.AGR.TOTL.ZS_DS2_en_csv_v'!$B$6:$B$271,'[6]API_NV.AGR.TOTL.ZS_DS2_en_csv_v'!$BL$6:$BL$271)</f>
        <v>21.354050769455799</v>
      </c>
      <c r="O132" s="188">
        <f>_xlfn.XLOOKUP(D132,'[7]API_SP.RUR.TOTL_DS2_en_csv_v2_4'!$B$6:$B$271,'[7]API_SP.RUR.TOTL_DS2_en_csv_v2_4'!$BM$6:$BM$271)</f>
        <v>37466040</v>
      </c>
      <c r="P132" s="188">
        <f>_xlfn.XLOOKUP(D132,'[8]API_AG.PRD.FOOD.XD_DS2_en_csv_v'!$B$6:$B$271,'[8]API_AG.PRD.FOOD.XD_DS2_en_csv_v'!$BM$6:$BM$271)</f>
        <v>103.02</v>
      </c>
      <c r="Q132">
        <f>_xlfn.XLOOKUP(D132,'[9]API_NE.IMP.GNFS.ZS_DS2_en_csv_v'!$B$6:$B$271,'[9]API_NE.IMP.GNFS.ZS_DS2_en_csv_v'!$BK$6:$BK$271)</f>
        <v>34.0891936609382</v>
      </c>
      <c r="R132">
        <f>_xlfn.XLOOKUP(D132,'[10]API_NE.EXP.GNFS.ZS_DS2_en_csv_v'!$B$6:$B$271,'[10]API_NE.EXP.GNFS.ZS_DS2_en_csv_v'!$BL$6:$BL$271)</f>
        <v>30.389750715507098</v>
      </c>
      <c r="S132">
        <f>_xlfn.XLOOKUP(D132,'[11]API_EG.USE.ELEC.KH.PC_DS2_en_cs'!$B$6:$B$271,'[11]API_EG.USE.ELEC.KH.PC_DS2_en_cs'!$BG$6:$BG$271)</f>
        <v>215.29885838048099</v>
      </c>
      <c r="T132">
        <f>_xlfn.XLOOKUP(D132,'[12]API_EN.POP.DNST_DS2_en_csv_v2_4'!$B$6:$B$271,'[12]API_EN.POP.DNST_DS2_en_csv_v2_4'!$BM$6:$BM$271)</f>
        <v>83.364937870593096</v>
      </c>
    </row>
    <row r="133" spans="1:20" x14ac:dyDescent="0.2">
      <c r="A133" s="161" t="s">
        <v>154</v>
      </c>
      <c r="B133" s="161">
        <v>516</v>
      </c>
      <c r="C133" s="161" t="s">
        <v>842</v>
      </c>
      <c r="D133" t="str">
        <f>_xlfn.XLOOKUP(B133,'Country Code M49'!$B$2:$B$250,'Country Code M49'!$C$2:$C$250,,0)</f>
        <v>NAM</v>
      </c>
      <c r="E133" s="162">
        <v>91.939766485050328</v>
      </c>
      <c r="F133" s="162">
        <v>229343.74749695804</v>
      </c>
      <c r="G133" s="160" t="s">
        <v>877</v>
      </c>
      <c r="H133" s="188">
        <f>_xlfn.XLOOKUP(D133,'[1]World Population'!$C$2:$C$267,'[1]World Population'!$BN$2:$BN$267)</f>
        <v>2540916</v>
      </c>
      <c r="I133" s="188">
        <v>100</v>
      </c>
      <c r="J133" s="194">
        <f>_xlfn.XLOOKUP(D133,'[2]GDP 2015 Constant'!$B$6:$B$271,'[2]GDP 2015 Constant'!$BM$6:$BM$271)</f>
        <v>10352990575</v>
      </c>
      <c r="K133" s="193">
        <f t="shared" si="4"/>
        <v>4074.5111507031324</v>
      </c>
      <c r="L133" s="194">
        <f>_xlfn.XLOOKUP(D133,'[5]Tourism Receipts'!$B$6:$B$271,'[5]Tourism Receipts'!$BK$6:$BK$271)</f>
        <v>488000000</v>
      </c>
      <c r="M133" s="195">
        <f t="shared" si="5"/>
        <v>4.7136138728688062E-2</v>
      </c>
      <c r="N133">
        <f>_xlfn.XLOOKUP(D133,'[6]API_NV.AGR.TOTL.ZS_DS2_en_csv_v'!$B$6:$B$271,'[6]API_NV.AGR.TOTL.ZS_DS2_en_csv_v'!$BL$6:$BL$271)</f>
        <v>7.0832565980882602</v>
      </c>
      <c r="O133" s="188">
        <f>_xlfn.XLOOKUP(D133,'[7]API_SP.RUR.TOTL_DS2_en_csv_v2_4'!$B$6:$B$271,'[7]API_SP.RUR.TOTL_DS2_en_csv_v2_4'!$BM$6:$BM$271)</f>
        <v>1218801</v>
      </c>
      <c r="P133" s="188">
        <f>_xlfn.XLOOKUP(D133,'[8]API_AG.PRD.FOOD.XD_DS2_en_csv_v'!$B$6:$B$271,'[8]API_AG.PRD.FOOD.XD_DS2_en_csv_v'!$BM$6:$BM$271)</f>
        <v>103.21</v>
      </c>
      <c r="Q133">
        <f>_xlfn.XLOOKUP(D133,'[9]API_NE.IMP.GNFS.ZS_DS2_en_csv_v'!$B$6:$B$271,'[9]API_NE.IMP.GNFS.ZS_DS2_en_csv_v'!$BK$6:$BK$271)</f>
        <v>45.831301572099001</v>
      </c>
      <c r="R133">
        <f>_xlfn.XLOOKUP(D133,'[10]API_NE.EXP.GNFS.ZS_DS2_en_csv_v'!$B$6:$B$271,'[10]API_NE.EXP.GNFS.ZS_DS2_en_csv_v'!$BL$6:$BL$271)</f>
        <v>36.361647216527999</v>
      </c>
      <c r="S133">
        <f>_xlfn.XLOOKUP(D133,'[11]API_EG.USE.ELEC.KH.PC_DS2_en_cs'!$B$6:$B$271,'[11]API_EG.USE.ELEC.KH.PC_DS2_en_cs'!$BG$6:$BG$271)</f>
        <v>1652.57193328483</v>
      </c>
      <c r="T133">
        <f>_xlfn.XLOOKUP(D133,'[12]API_EN.POP.DNST_DS2_en_csv_v2_4'!$B$6:$B$271,'[12]API_EN.POP.DNST_DS2_en_csv_v2_4'!$BM$6:$BM$271)</f>
        <v>3.08629523011333</v>
      </c>
    </row>
    <row r="134" spans="1:20" x14ac:dyDescent="0.2">
      <c r="A134" s="161" t="s">
        <v>875</v>
      </c>
      <c r="B134" s="161">
        <v>520</v>
      </c>
      <c r="C134" s="161" t="s">
        <v>761</v>
      </c>
      <c r="D134" t="str">
        <f>_xlfn.XLOOKUP(B134,'Country Code M49'!$B$2:$B$250,'Country Code M49'!$C$2:$C$250,,0)</f>
        <v>NRU</v>
      </c>
      <c r="E134" s="162">
        <v>78.69033303610577</v>
      </c>
      <c r="F134" s="162">
        <v>849.85559678994241</v>
      </c>
      <c r="G134" s="160" t="s">
        <v>872</v>
      </c>
      <c r="H134" s="188">
        <f>_xlfn.XLOOKUP(D134,'[1]World Population'!$C$2:$C$267,'[1]World Population'!$BN$2:$BN$267)</f>
        <v>10834</v>
      </c>
      <c r="I134" s="188">
        <v>100</v>
      </c>
      <c r="J134" s="194">
        <f>_xlfn.XLOOKUP(D134,'[2]GDP 2015 Constant'!$B$6:$B$271,'[2]GDP 2015 Constant'!$BM$6:$BM$271)</f>
        <v>90650121.430000007</v>
      </c>
      <c r="K134" s="193">
        <f t="shared" si="4"/>
        <v>8367.1886127007583</v>
      </c>
      <c r="L134" s="194">
        <f>_xlfn.XLOOKUP(D134,'[5]Tourism Receipts'!$B$6:$B$271,'[5]Tourism Receipts'!$BK$6:$BK$271)</f>
        <v>1600000</v>
      </c>
      <c r="M134" s="195">
        <f t="shared" si="5"/>
        <v>1.765027972119728E-2</v>
      </c>
      <c r="N134">
        <f>_xlfn.XLOOKUP(D134,'[6]API_NV.AGR.TOTL.ZS_DS2_en_csv_v'!$B$6:$B$271,'[6]API_NV.AGR.TOTL.ZS_DS2_en_csv_v'!$BL$6:$BL$271)</f>
        <v>0</v>
      </c>
      <c r="O134" s="188">
        <f>_xlfn.XLOOKUP(D134,'[7]API_SP.RUR.TOTL_DS2_en_csv_v2_4'!$B$6:$B$271,'[7]API_SP.RUR.TOTL_DS2_en_csv_v2_4'!$BM$6:$BM$271)</f>
        <v>0</v>
      </c>
      <c r="P134" s="188">
        <f>_xlfn.XLOOKUP(D134,'[8]API_AG.PRD.FOOD.XD_DS2_en_csv_v'!$B$6:$B$271,'[8]API_AG.PRD.FOOD.XD_DS2_en_csv_v'!$BM$6:$BM$271)</f>
        <v>101.25</v>
      </c>
      <c r="Q134">
        <f>_xlfn.XLOOKUP(D134,'[9]API_NE.IMP.GNFS.ZS_DS2_en_csv_v'!$B$6:$B$271,'[9]API_NE.IMP.GNFS.ZS_DS2_en_csv_v'!$BK$6:$BK$271)</f>
        <v>90.75</v>
      </c>
      <c r="R134">
        <f>_xlfn.XLOOKUP(D134,'[10]API_NE.EXP.GNFS.ZS_DS2_en_csv_v'!$B$6:$B$271,'[10]API_NE.EXP.GNFS.ZS_DS2_en_csv_v'!$BL$6:$BL$271)</f>
        <v>63.674698795180703</v>
      </c>
      <c r="S134">
        <f>_xlfn.XLOOKUP(D134,'[11]API_EG.USE.ELEC.KH.PC_DS2_en_cs'!$B$6:$B$271,'[11]API_EG.USE.ELEC.KH.PC_DS2_en_cs'!$BG$6:$BG$271)</f>
        <v>0</v>
      </c>
      <c r="T134">
        <f>_xlfn.XLOOKUP(D134,'[12]API_EN.POP.DNST_DS2_en_csv_v2_4'!$B$6:$B$271,'[12]API_EN.POP.DNST_DS2_en_csv_v2_4'!$BM$6:$BM$271)</f>
        <v>541.70000000000005</v>
      </c>
    </row>
    <row r="135" spans="1:20" x14ac:dyDescent="0.2">
      <c r="A135" s="161" t="s">
        <v>149</v>
      </c>
      <c r="B135" s="161">
        <v>524</v>
      </c>
      <c r="C135" s="161" t="s">
        <v>801</v>
      </c>
      <c r="D135" t="str">
        <f>_xlfn.XLOOKUP(B135,'Country Code M49'!$B$2:$B$250,'Country Code M49'!$C$2:$C$250,,0)</f>
        <v>NPL</v>
      </c>
      <c r="E135" s="162">
        <v>78.626868648745329</v>
      </c>
      <c r="F135" s="162">
        <v>2249412.4971113605</v>
      </c>
      <c r="G135" s="160" t="s">
        <v>872</v>
      </c>
      <c r="H135" s="188">
        <f>_xlfn.XLOOKUP(D135,'[1]World Population'!$C$2:$C$267,'[1]World Population'!$BN$2:$BN$267)</f>
        <v>29136808</v>
      </c>
      <c r="I135" s="188">
        <v>100</v>
      </c>
      <c r="J135" s="194">
        <f>_xlfn.XLOOKUP(D135,'[2]GDP 2015 Constant'!$B$6:$B$271,'[2]GDP 2015 Constant'!$BM$6:$BM$271)</f>
        <v>29880062111</v>
      </c>
      <c r="K135" s="193">
        <f t="shared" si="4"/>
        <v>1025.5091124257674</v>
      </c>
      <c r="L135" s="194">
        <f>_xlfn.XLOOKUP(D135,'[5]Tourism Receipts'!$B$6:$B$271,'[5]Tourism Receipts'!$BK$6:$BK$271)</f>
        <v>740000000</v>
      </c>
      <c r="M135" s="195">
        <f t="shared" si="5"/>
        <v>2.4765678105052449E-2</v>
      </c>
      <c r="N135">
        <f>_xlfn.XLOOKUP(D135,'[6]API_NV.AGR.TOTL.ZS_DS2_en_csv_v'!$B$6:$B$271,'[6]API_NV.AGR.TOTL.ZS_DS2_en_csv_v'!$BL$6:$BL$271)</f>
        <v>21.583372760108801</v>
      </c>
      <c r="O135" s="188">
        <f>_xlfn.XLOOKUP(D135,'[7]API_SP.RUR.TOTL_DS2_en_csv_v2_4'!$B$6:$B$271,'[7]API_SP.RUR.TOTL_DS2_en_csv_v2_4'!$BM$6:$BM$271)</f>
        <v>23141618</v>
      </c>
      <c r="P135" s="188">
        <f>_xlfn.XLOOKUP(D135,'[8]API_AG.PRD.FOOD.XD_DS2_en_csv_v'!$B$6:$B$271,'[8]API_AG.PRD.FOOD.XD_DS2_en_csv_v'!$BM$6:$BM$271)</f>
        <v>114.67</v>
      </c>
      <c r="Q135">
        <f>_xlfn.XLOOKUP(D135,'[9]API_NE.IMP.GNFS.ZS_DS2_en_csv_v'!$B$6:$B$271,'[9]API_NE.IMP.GNFS.ZS_DS2_en_csv_v'!$BK$6:$BK$271)</f>
        <v>40.6317459237858</v>
      </c>
      <c r="R135">
        <f>_xlfn.XLOOKUP(D135,'[10]API_NE.EXP.GNFS.ZS_DS2_en_csv_v'!$B$6:$B$271,'[10]API_NE.EXP.GNFS.ZS_DS2_en_csv_v'!$BL$6:$BL$271)</f>
        <v>7.7799364744805901</v>
      </c>
      <c r="S135">
        <f>_xlfn.XLOOKUP(D135,'[11]API_EG.USE.ELEC.KH.PC_DS2_en_cs'!$B$6:$B$271,'[11]API_EG.USE.ELEC.KH.PC_DS2_en_cs'!$BG$6:$BG$271)</f>
        <v>146.47300366141599</v>
      </c>
      <c r="T135">
        <f>_xlfn.XLOOKUP(D135,'[12]API_EN.POP.DNST_DS2_en_csv_v2_4'!$B$6:$B$271,'[12]API_EN.POP.DNST_DS2_en_csv_v2_4'!$BM$6:$BM$271)</f>
        <v>203.25642134635501</v>
      </c>
    </row>
    <row r="136" spans="1:20" x14ac:dyDescent="0.2">
      <c r="A136" s="161" t="s">
        <v>147</v>
      </c>
      <c r="B136" s="161">
        <v>528</v>
      </c>
      <c r="C136" s="161" t="s">
        <v>124</v>
      </c>
      <c r="D136" t="str">
        <f>_xlfn.XLOOKUP(B136,'Country Code M49'!$B$2:$B$250,'Country Code M49'!$C$2:$C$250,,0)</f>
        <v>NLD</v>
      </c>
      <c r="E136" s="162">
        <v>50</v>
      </c>
      <c r="F136" s="162">
        <v>854855</v>
      </c>
      <c r="G136" s="160" t="s">
        <v>870</v>
      </c>
      <c r="H136" s="188">
        <f>_xlfn.XLOOKUP(D136,'[1]World Population'!$C$2:$C$267,'[1]World Population'!$BN$2:$BN$267)</f>
        <v>17441500</v>
      </c>
      <c r="I136" s="188">
        <v>99.160606384277301</v>
      </c>
      <c r="J136" s="194">
        <f>_xlfn.XLOOKUP(D136,'[2]GDP 2015 Constant'!$B$6:$B$271,'[2]GDP 2015 Constant'!$BM$6:$BM$271)</f>
        <v>808332000000</v>
      </c>
      <c r="K136" s="193">
        <f t="shared" si="4"/>
        <v>46345.325803399937</v>
      </c>
      <c r="L136" s="194">
        <f>_xlfn.XLOOKUP(D136,'[5]Tourism Receipts'!$B$6:$B$271,'[5]Tourism Receipts'!$BK$6:$BK$271)</f>
        <v>23919099609</v>
      </c>
      <c r="M136" s="195">
        <f t="shared" si="5"/>
        <v>2.9590687500927835E-2</v>
      </c>
      <c r="N136">
        <f>_xlfn.XLOOKUP(D136,'[6]API_NV.AGR.TOTL.ZS_DS2_en_csv_v'!$B$6:$B$271,'[6]API_NV.AGR.TOTL.ZS_DS2_en_csv_v'!$BL$6:$BL$271)</f>
        <v>1.63580569580164</v>
      </c>
      <c r="O136" s="188">
        <f>_xlfn.XLOOKUP(D136,'[7]API_SP.RUR.TOTL_DS2_en_csv_v2_4'!$B$6:$B$271,'[7]API_SP.RUR.TOTL_DS2_en_csv_v2_4'!$BM$6:$BM$271)</f>
        <v>1354158</v>
      </c>
      <c r="P136" s="188">
        <f>_xlfn.XLOOKUP(D136,'[8]API_AG.PRD.FOOD.XD_DS2_en_csv_v'!$B$6:$B$271,'[8]API_AG.PRD.FOOD.XD_DS2_en_csv_v'!$BM$6:$BM$271)</f>
        <v>102.13</v>
      </c>
      <c r="Q136">
        <f>_xlfn.XLOOKUP(D136,'[9]API_NE.IMP.GNFS.ZS_DS2_en_csv_v'!$B$6:$B$271,'[9]API_NE.IMP.GNFS.ZS_DS2_en_csv_v'!$BK$6:$BK$271)</f>
        <v>74.139746533210499</v>
      </c>
      <c r="R136">
        <f>_xlfn.XLOOKUP(D136,'[10]API_NE.EXP.GNFS.ZS_DS2_en_csv_v'!$B$6:$B$271,'[10]API_NE.EXP.GNFS.ZS_DS2_en_csv_v'!$BL$6:$BL$271)</f>
        <v>82.537712700862798</v>
      </c>
      <c r="S136">
        <f>_xlfn.XLOOKUP(D136,'[11]API_EG.USE.ELEC.KH.PC_DS2_en_cs'!$B$6:$B$271,'[11]API_EG.USE.ELEC.KH.PC_DS2_en_cs'!$BG$6:$BG$271)</f>
        <v>6712.7747582450002</v>
      </c>
      <c r="T136">
        <f>_xlfn.XLOOKUP(D136,'[12]API_EN.POP.DNST_DS2_en_csv_v2_4'!$B$6:$B$271,'[12]API_EN.POP.DNST_DS2_en_csv_v2_4'!$BM$6:$BM$271)</f>
        <v>518.01306801306805</v>
      </c>
    </row>
    <row r="137" spans="1:20" x14ac:dyDescent="0.2">
      <c r="A137" s="161" t="s">
        <v>874</v>
      </c>
      <c r="B137" s="161">
        <v>540</v>
      </c>
      <c r="C137" s="161" t="s">
        <v>753</v>
      </c>
      <c r="D137" t="str">
        <f>_xlfn.XLOOKUP(B137,'Country Code M49'!$B$2:$B$250,'Country Code M49'!$C$2:$C$250,,0)</f>
        <v>NCL</v>
      </c>
      <c r="E137" s="162">
        <v>78.69033303610577</v>
      </c>
      <c r="F137" s="162">
        <v>22253.626182610715</v>
      </c>
      <c r="G137" s="160" t="s">
        <v>872</v>
      </c>
      <c r="H137" s="188">
        <f>_xlfn.XLOOKUP(D137,'[1]World Population'!$C$2:$C$267,'[1]World Population'!$BN$2:$BN$267)</f>
        <v>271960</v>
      </c>
      <c r="I137" s="188">
        <v>0</v>
      </c>
      <c r="J137" s="194" t="e">
        <f>_xlfn.XLOOKUP(D137,'[2]GDP 2015 Constant'!$B$6:$B$271,'[2]GDP 2015 Constant'!$BM$6:$BM$271)</f>
        <v>#REF!</v>
      </c>
      <c r="K137" s="193" t="e">
        <f t="shared" si="4"/>
        <v>#REF!</v>
      </c>
      <c r="L137" s="194">
        <f>_xlfn.XLOOKUP(D137,'[5]Tourism Receipts'!$B$6:$B$271,'[5]Tourism Receipts'!$BK$6:$BK$271)</f>
        <v>0</v>
      </c>
      <c r="M137" s="195" t="e">
        <f t="shared" si="5"/>
        <v>#REF!</v>
      </c>
      <c r="N137">
        <f>_xlfn.XLOOKUP(D137,'[6]API_NV.AGR.TOTL.ZS_DS2_en_csv_v'!$B$6:$B$271,'[6]API_NV.AGR.TOTL.ZS_DS2_en_csv_v'!$BL$6:$BL$271)</f>
        <v>1.79324055666004</v>
      </c>
      <c r="O137" s="188">
        <f>_xlfn.XLOOKUP(D137,'[7]API_SP.RUR.TOTL_DS2_en_csv_v2_4'!$B$6:$B$271,'[7]API_SP.RUR.TOTL_DS2_en_csv_v2_4'!$BM$6:$BM$271)</f>
        <v>77460</v>
      </c>
      <c r="P137" s="188">
        <f>_xlfn.XLOOKUP(D137,'[8]API_AG.PRD.FOOD.XD_DS2_en_csv_v'!$B$6:$B$271,'[8]API_AG.PRD.FOOD.XD_DS2_en_csv_v'!$BM$6:$BM$271)</f>
        <v>100.36</v>
      </c>
      <c r="Q137">
        <f>_xlfn.XLOOKUP(D137,'[9]API_NE.IMP.GNFS.ZS_DS2_en_csv_v'!$B$6:$B$271,'[9]API_NE.IMP.GNFS.ZS_DS2_en_csv_v'!$BK$6:$BK$271)</f>
        <v>0</v>
      </c>
      <c r="R137">
        <f>_xlfn.XLOOKUP(D137,'[10]API_NE.EXP.GNFS.ZS_DS2_en_csv_v'!$B$6:$B$271,'[10]API_NE.EXP.GNFS.ZS_DS2_en_csv_v'!$BL$6:$BL$271)</f>
        <v>0</v>
      </c>
      <c r="S137">
        <f>_xlfn.XLOOKUP(D137,'[11]API_EG.USE.ELEC.KH.PC_DS2_en_cs'!$B$6:$B$271,'[11]API_EG.USE.ELEC.KH.PC_DS2_en_cs'!$BG$6:$BG$271)</f>
        <v>0</v>
      </c>
      <c r="T137">
        <f>_xlfn.XLOOKUP(D137,'[12]API_EN.POP.DNST_DS2_en_csv_v2_4'!$B$6:$B$271,'[12]API_EN.POP.DNST_DS2_en_csv_v2_4'!$BM$6:$BM$271)</f>
        <v>14.8774617067834</v>
      </c>
    </row>
    <row r="138" spans="1:20" x14ac:dyDescent="0.2">
      <c r="A138" s="161" t="s">
        <v>146</v>
      </c>
      <c r="B138" s="161">
        <v>554</v>
      </c>
      <c r="C138" s="161" t="s">
        <v>125</v>
      </c>
      <c r="D138" t="str">
        <f>_xlfn.XLOOKUP(B138,'Country Code M49'!$B$2:$B$250,'Country Code M49'!$C$2:$C$250,,0)</f>
        <v>NZL</v>
      </c>
      <c r="E138" s="162">
        <v>61</v>
      </c>
      <c r="F138" s="162">
        <v>291769.09999999998</v>
      </c>
      <c r="G138" s="160" t="s">
        <v>870</v>
      </c>
      <c r="H138" s="188">
        <f>_xlfn.XLOOKUP(D138,'[1]World Population'!$C$2:$C$267,'[1]World Population'!$BN$2:$BN$267)</f>
        <v>5090200</v>
      </c>
      <c r="I138" s="188">
        <v>99.689231872558594</v>
      </c>
      <c r="J138" s="194">
        <f>_xlfn.XLOOKUP(D138,'[2]GDP 2015 Constant'!$B$6:$B$271,'[2]GDP 2015 Constant'!$BM$6:$BM$271)</f>
        <v>199618000000</v>
      </c>
      <c r="K138" s="193">
        <f t="shared" si="4"/>
        <v>39216.140819614164</v>
      </c>
      <c r="L138" s="194">
        <f>_xlfn.XLOOKUP(D138,'[5]Tourism Receipts'!$B$6:$B$271,'[5]Tourism Receipts'!$BK$6:$BK$271)</f>
        <v>10961000000</v>
      </c>
      <c r="M138" s="195">
        <f t="shared" si="5"/>
        <v>5.4909877866725444E-2</v>
      </c>
      <c r="N138">
        <f>_xlfn.XLOOKUP(D138,'[6]API_NV.AGR.TOTL.ZS_DS2_en_csv_v'!$B$6:$B$271,'[6]API_NV.AGR.TOTL.ZS_DS2_en_csv_v'!$BL$6:$BL$271)</f>
        <v>5.6533535823093102</v>
      </c>
      <c r="O138" s="188">
        <f>_xlfn.XLOOKUP(D138,'[7]API_SP.RUR.TOTL_DS2_en_csv_v2_4'!$B$6:$B$271,'[7]API_SP.RUR.TOTL_DS2_en_csv_v2_4'!$BM$6:$BM$271)</f>
        <v>677048</v>
      </c>
      <c r="P138" s="188">
        <f>_xlfn.XLOOKUP(D138,'[8]API_AG.PRD.FOOD.XD_DS2_en_csv_v'!$B$6:$B$271,'[8]API_AG.PRD.FOOD.XD_DS2_en_csv_v'!$BM$6:$BM$271)</f>
        <v>102.91</v>
      </c>
      <c r="Q138">
        <f>_xlfn.XLOOKUP(D138,'[9]API_NE.IMP.GNFS.ZS_DS2_en_csv_v'!$B$6:$B$271,'[9]API_NE.IMP.GNFS.ZS_DS2_en_csv_v'!$BK$6:$BK$271)</f>
        <v>27.9162463641795</v>
      </c>
      <c r="R138">
        <f>_xlfn.XLOOKUP(D138,'[10]API_NE.EXP.GNFS.ZS_DS2_en_csv_v'!$B$6:$B$271,'[10]API_NE.EXP.GNFS.ZS_DS2_en_csv_v'!$BL$6:$BL$271)</f>
        <v>27.318831856330998</v>
      </c>
      <c r="S138">
        <f>_xlfn.XLOOKUP(D138,'[11]API_EG.USE.ELEC.KH.PC_DS2_en_cs'!$B$6:$B$271,'[11]API_EG.USE.ELEC.KH.PC_DS2_en_cs'!$BG$6:$BG$271)</f>
        <v>9012.73109708845</v>
      </c>
      <c r="T138">
        <f>_xlfn.XLOOKUP(D138,'[12]API_EN.POP.DNST_DS2_en_csv_v2_4'!$B$6:$B$271,'[12]API_EN.POP.DNST_DS2_en_csv_v2_4'!$BM$6:$BM$271)</f>
        <v>19.331586343093701</v>
      </c>
    </row>
    <row r="139" spans="1:20" x14ac:dyDescent="0.2">
      <c r="A139" s="161" t="s">
        <v>150</v>
      </c>
      <c r="B139" s="161">
        <v>558</v>
      </c>
      <c r="C139" s="161" t="s">
        <v>735</v>
      </c>
      <c r="D139" t="str">
        <f>_xlfn.XLOOKUP(B139,'Country Code M49'!$B$2:$B$250,'Country Code M49'!$C$2:$C$250,,0)</f>
        <v>NIC</v>
      </c>
      <c r="E139" s="162">
        <v>80.08369293447646</v>
      </c>
      <c r="F139" s="162">
        <v>524187.81210261566</v>
      </c>
      <c r="G139" s="160" t="s">
        <v>872</v>
      </c>
      <c r="H139" s="188">
        <f>_xlfn.XLOOKUP(D139,'[1]World Population'!$C$2:$C$267,'[1]World Population'!$BN$2:$BN$267)</f>
        <v>6624554</v>
      </c>
      <c r="I139" s="188">
        <v>100</v>
      </c>
      <c r="J139" s="194">
        <f>_xlfn.XLOOKUP(D139,'[2]GDP 2015 Constant'!$B$6:$B$271,'[2]GDP 2015 Constant'!$BM$6:$BM$271)</f>
        <v>12745084493</v>
      </c>
      <c r="K139" s="193">
        <f t="shared" si="4"/>
        <v>1923.9158580336125</v>
      </c>
      <c r="L139" s="194">
        <f>_xlfn.XLOOKUP(D139,'[5]Tourism Receipts'!$B$6:$B$271,'[5]Tourism Receipts'!$BK$6:$BK$271)</f>
        <v>0</v>
      </c>
      <c r="M139" s="195">
        <f t="shared" si="5"/>
        <v>0</v>
      </c>
      <c r="N139">
        <f>_xlfn.XLOOKUP(D139,'[6]API_NV.AGR.TOTL.ZS_DS2_en_csv_v'!$B$6:$B$271,'[6]API_NV.AGR.TOTL.ZS_DS2_en_csv_v'!$BL$6:$BL$271)</f>
        <v>15.2482371495271</v>
      </c>
      <c r="O139" s="188">
        <f>_xlfn.XLOOKUP(D139,'[7]API_SP.RUR.TOTL_DS2_en_csv_v2_4'!$B$6:$B$271,'[7]API_SP.RUR.TOTL_DS2_en_csv_v2_4'!$BM$6:$BM$271)</f>
        <v>2715272</v>
      </c>
      <c r="P139" s="188">
        <f>_xlfn.XLOOKUP(D139,'[8]API_AG.PRD.FOOD.XD_DS2_en_csv_v'!$B$6:$B$271,'[8]API_AG.PRD.FOOD.XD_DS2_en_csv_v'!$BM$6:$BM$271)</f>
        <v>131.55000000000001</v>
      </c>
      <c r="Q139">
        <f>_xlfn.XLOOKUP(D139,'[9]API_NE.IMP.GNFS.ZS_DS2_en_csv_v'!$B$6:$B$271,'[9]API_NE.IMP.GNFS.ZS_DS2_en_csv_v'!$BK$6:$BK$271)</f>
        <v>51.707349119682299</v>
      </c>
      <c r="R139">
        <f>_xlfn.XLOOKUP(D139,'[10]API_NE.EXP.GNFS.ZS_DS2_en_csv_v'!$B$6:$B$271,'[10]API_NE.EXP.GNFS.ZS_DS2_en_csv_v'!$BL$6:$BL$271)</f>
        <v>45.092780342359703</v>
      </c>
      <c r="S139">
        <f>_xlfn.XLOOKUP(D139,'[11]API_EG.USE.ELEC.KH.PC_DS2_en_cs'!$B$6:$B$271,'[11]API_EG.USE.ELEC.KH.PC_DS2_en_cs'!$BG$6:$BG$271)</f>
        <v>568.31371828895703</v>
      </c>
      <c r="T139">
        <f>_xlfn.XLOOKUP(D139,'[12]API_EN.POP.DNST_DS2_en_csv_v2_4'!$B$6:$B$271,'[12]API_EN.POP.DNST_DS2_en_csv_v2_4'!$BM$6:$BM$271)</f>
        <v>55.048645504404199</v>
      </c>
    </row>
    <row r="140" spans="1:20" x14ac:dyDescent="0.2">
      <c r="A140" s="161" t="s">
        <v>154</v>
      </c>
      <c r="B140" s="161">
        <v>562</v>
      </c>
      <c r="C140" s="161" t="s">
        <v>843</v>
      </c>
      <c r="D140" t="str">
        <f>_xlfn.XLOOKUP(B140,'Country Code M49'!$B$2:$B$250,'Country Code M49'!$C$2:$C$250,,0)</f>
        <v>NER</v>
      </c>
      <c r="E140" s="162">
        <v>102.69433227860404</v>
      </c>
      <c r="F140" s="162">
        <v>2393876.7714468553</v>
      </c>
      <c r="G140" s="160" t="s">
        <v>877</v>
      </c>
      <c r="H140" s="188">
        <f>_xlfn.XLOOKUP(D140,'[1]World Population'!$C$2:$C$267,'[1]World Population'!$BN$2:$BN$267)</f>
        <v>24206636</v>
      </c>
      <c r="I140" s="188">
        <v>100</v>
      </c>
      <c r="J140" s="194">
        <f>_xlfn.XLOOKUP(D140,'[2]GDP 2015 Constant'!$B$6:$B$271,'[2]GDP 2015 Constant'!$BM$6:$BM$271)</f>
        <v>12649312791</v>
      </c>
      <c r="K140" s="193">
        <f t="shared" si="4"/>
        <v>522.55558314670407</v>
      </c>
      <c r="L140" s="194">
        <f>_xlfn.XLOOKUP(D140,'[5]Tourism Receipts'!$B$6:$B$271,'[5]Tourism Receipts'!$BK$6:$BK$271)</f>
        <v>114000000</v>
      </c>
      <c r="M140" s="195">
        <f t="shared" si="5"/>
        <v>9.0123473016740577E-3</v>
      </c>
      <c r="N140">
        <f>_xlfn.XLOOKUP(D140,'[6]API_NV.AGR.TOTL.ZS_DS2_en_csv_v'!$B$6:$B$271,'[6]API_NV.AGR.TOTL.ZS_DS2_en_csv_v'!$BL$6:$BL$271)</f>
        <v>36.9148824391823</v>
      </c>
      <c r="O140" s="188">
        <f>_xlfn.XLOOKUP(D140,'[7]API_SP.RUR.TOTL_DS2_en_csv_v2_4'!$B$6:$B$271,'[7]API_SP.RUR.TOTL_DS2_en_csv_v2_4'!$BM$6:$BM$271)</f>
        <v>20182041</v>
      </c>
      <c r="P140" s="188">
        <f>_xlfn.XLOOKUP(D140,'[8]API_AG.PRD.FOOD.XD_DS2_en_csv_v'!$B$6:$B$271,'[8]API_AG.PRD.FOOD.XD_DS2_en_csv_v'!$BM$6:$BM$271)</f>
        <v>129.1</v>
      </c>
      <c r="Q140">
        <f>_xlfn.XLOOKUP(D140,'[9]API_NE.IMP.GNFS.ZS_DS2_en_csv_v'!$B$6:$B$271,'[9]API_NE.IMP.GNFS.ZS_DS2_en_csv_v'!$BK$6:$BK$271)</f>
        <v>26.298843362383799</v>
      </c>
      <c r="R140">
        <f>_xlfn.XLOOKUP(D140,'[10]API_NE.EXP.GNFS.ZS_DS2_en_csv_v'!$B$6:$B$271,'[10]API_NE.EXP.GNFS.ZS_DS2_en_csv_v'!$BL$6:$BL$271)</f>
        <v>11.421733448618401</v>
      </c>
      <c r="S140">
        <f>_xlfn.XLOOKUP(D140,'[11]API_EG.USE.ELEC.KH.PC_DS2_en_cs'!$B$6:$B$271,'[11]API_EG.USE.ELEC.KH.PC_DS2_en_cs'!$BG$6:$BG$271)</f>
        <v>51.194941918948601</v>
      </c>
      <c r="T140">
        <f>_xlfn.XLOOKUP(D140,'[12]API_EN.POP.DNST_DS2_en_csv_v2_4'!$B$6:$B$271,'[12]API_EN.POP.DNST_DS2_en_csv_v2_4'!$BM$6:$BM$271)</f>
        <v>19.109999210547102</v>
      </c>
    </row>
    <row r="141" spans="1:20" x14ac:dyDescent="0.2">
      <c r="A141" s="161" t="s">
        <v>154</v>
      </c>
      <c r="B141" s="161">
        <v>566</v>
      </c>
      <c r="C141" s="161" t="s">
        <v>126</v>
      </c>
      <c r="D141" t="str">
        <f>_xlfn.XLOOKUP(B141,'Country Code M49'!$B$2:$B$250,'Country Code M49'!$C$2:$C$250,,0)</f>
        <v>NGA</v>
      </c>
      <c r="E141" s="162">
        <v>188.79772500000001</v>
      </c>
      <c r="F141" s="162">
        <v>37941470.487810008</v>
      </c>
      <c r="G141" s="160" t="s">
        <v>873</v>
      </c>
      <c r="H141" s="188">
        <f>_xlfn.XLOOKUP(D141,'[1]World Population'!$C$2:$C$267,'[1]World Population'!$BN$2:$BN$267)</f>
        <v>206139587</v>
      </c>
      <c r="I141" s="188">
        <v>100</v>
      </c>
      <c r="J141" s="194">
        <f>_xlfn.XLOOKUP(D141,'[2]GDP 2015 Constant'!$B$6:$B$271,'[2]GDP 2015 Constant'!$BM$6:$BM$271)</f>
        <v>493918000000</v>
      </c>
      <c r="K141" s="193">
        <f t="shared" si="4"/>
        <v>2396.0366234749467</v>
      </c>
      <c r="L141" s="194">
        <f>_xlfn.XLOOKUP(D141,'[5]Tourism Receipts'!$B$6:$B$271,'[5]Tourism Receipts'!$BK$6:$BK$271)</f>
        <v>1977000000</v>
      </c>
      <c r="M141" s="195">
        <f t="shared" si="5"/>
        <v>4.0026887054126397E-3</v>
      </c>
      <c r="N141">
        <f>_xlfn.XLOOKUP(D141,'[6]API_NV.AGR.TOTL.ZS_DS2_en_csv_v'!$B$6:$B$271,'[6]API_NV.AGR.TOTL.ZS_DS2_en_csv_v'!$BL$6:$BL$271)</f>
        <v>21.906295930281001</v>
      </c>
      <c r="O141" s="188">
        <f>_xlfn.XLOOKUP(D141,'[7]API_SP.RUR.TOTL_DS2_en_csv_v2_4'!$B$6:$B$271,'[7]API_SP.RUR.TOTL_DS2_en_csv_v2_4'!$BM$6:$BM$271)</f>
        <v>99033580</v>
      </c>
      <c r="P141" s="188">
        <f>_xlfn.XLOOKUP(D141,'[8]API_AG.PRD.FOOD.XD_DS2_en_csv_v'!$B$6:$B$271,'[8]API_AG.PRD.FOOD.XD_DS2_en_csv_v'!$BM$6:$BM$271)</f>
        <v>106.31</v>
      </c>
      <c r="Q141">
        <f>_xlfn.XLOOKUP(D141,'[9]API_NE.IMP.GNFS.ZS_DS2_en_csv_v'!$B$6:$B$271,'[9]API_NE.IMP.GNFS.ZS_DS2_en_csv_v'!$BK$6:$BK$271)</f>
        <v>17.510944310365399</v>
      </c>
      <c r="R141">
        <f>_xlfn.XLOOKUP(D141,'[10]API_NE.EXP.GNFS.ZS_DS2_en_csv_v'!$B$6:$B$271,'[10]API_NE.EXP.GNFS.ZS_DS2_en_csv_v'!$BL$6:$BL$271)</f>
        <v>14.220926791244301</v>
      </c>
      <c r="S141">
        <f>_xlfn.XLOOKUP(D141,'[11]API_EG.USE.ELEC.KH.PC_DS2_en_cs'!$B$6:$B$271,'[11]API_EG.USE.ELEC.KH.PC_DS2_en_cs'!$BG$6:$BG$271)</f>
        <v>144.52543846407599</v>
      </c>
      <c r="T141">
        <f>_xlfn.XLOOKUP(D141,'[12]API_EN.POP.DNST_DS2_en_csv_v2_4'!$B$6:$B$271,'[12]API_EN.POP.DNST_DS2_en_csv_v2_4'!$BM$6:$BM$271)</f>
        <v>226.335504024068</v>
      </c>
    </row>
    <row r="142" spans="1:20" x14ac:dyDescent="0.2">
      <c r="A142" s="161" t="s">
        <v>155</v>
      </c>
      <c r="B142" s="161">
        <v>807</v>
      </c>
      <c r="C142" s="161" t="s">
        <v>809</v>
      </c>
      <c r="D142" t="str">
        <f>_xlfn.XLOOKUP(B142,'Country Code M49'!$B$2:$B$250,'Country Code M49'!$C$2:$C$250,,0)</f>
        <v>MKD</v>
      </c>
      <c r="E142" s="162">
        <v>82.783773370705802</v>
      </c>
      <c r="F142" s="162">
        <v>172479.99181786555</v>
      </c>
      <c r="G142" s="160" t="s">
        <v>877</v>
      </c>
      <c r="H142" s="188">
        <f>_xlfn.XLOOKUP(D142,'[1]World Population'!$C$2:$C$267,'[1]World Population'!$BN$2:$BN$267)</f>
        <v>2072531</v>
      </c>
      <c r="I142" s="188">
        <v>100</v>
      </c>
      <c r="J142" s="194">
        <f>_xlfn.XLOOKUP(D142,'[2]GDP 2015 Constant'!$B$6:$B$271,'[2]GDP 2015 Constant'!$BM$6:$BM$271)</f>
        <v>10501957283</v>
      </c>
      <c r="K142" s="193">
        <f t="shared" si="4"/>
        <v>5067.2136064551023</v>
      </c>
      <c r="L142" s="194">
        <f>_xlfn.XLOOKUP(D142,'[5]Tourism Receipts'!$B$6:$B$271,'[5]Tourism Receipts'!$BK$6:$BK$271)</f>
        <v>387000000</v>
      </c>
      <c r="M142" s="195">
        <f t="shared" si="5"/>
        <v>3.6850273674837231E-2</v>
      </c>
      <c r="N142">
        <f>_xlfn.XLOOKUP(D142,'[6]API_NV.AGR.TOTL.ZS_DS2_en_csv_v'!$B$6:$B$271,'[6]API_NV.AGR.TOTL.ZS_DS2_en_csv_v'!$BL$6:$BL$271)</f>
        <v>8.13229139447626</v>
      </c>
      <c r="O142" s="188">
        <f>_xlfn.XLOOKUP(D142,'[7]API_SP.RUR.TOTL_DS2_en_csv_v2_4'!$B$6:$B$271,'[7]API_SP.RUR.TOTL_DS2_en_csv_v2_4'!$BM$6:$BM$271)</f>
        <v>860473</v>
      </c>
      <c r="P142" s="188">
        <f>_xlfn.XLOOKUP(D142,'[8]API_AG.PRD.FOOD.XD_DS2_en_csv_v'!$B$6:$B$271,'[8]API_AG.PRD.FOOD.XD_DS2_en_csv_v'!$BM$6:$BM$271)</f>
        <v>102.17</v>
      </c>
      <c r="Q142">
        <f>_xlfn.XLOOKUP(D142,'[9]API_NE.IMP.GNFS.ZS_DS2_en_csv_v'!$B$6:$B$271,'[9]API_NE.IMP.GNFS.ZS_DS2_en_csv_v'!$BK$6:$BK$271)</f>
        <v>72.8400703306813</v>
      </c>
      <c r="R142">
        <f>_xlfn.XLOOKUP(D142,'[10]API_NE.EXP.GNFS.ZS_DS2_en_csv_v'!$B$6:$B$271,'[10]API_NE.EXP.GNFS.ZS_DS2_en_csv_v'!$BL$6:$BL$271)</f>
        <v>62.4080567878813</v>
      </c>
      <c r="S142">
        <f>_xlfn.XLOOKUP(D142,'[11]API_EG.USE.ELEC.KH.PC_DS2_en_cs'!$B$6:$B$271,'[11]API_EG.USE.ELEC.KH.PC_DS2_en_cs'!$BG$6:$BG$271)</f>
        <v>3513.9549720407199</v>
      </c>
      <c r="T142">
        <f>_xlfn.XLOOKUP(D142,'[12]API_EN.POP.DNST_DS2_en_csv_v2_4'!$B$6:$B$271,'[12]API_EN.POP.DNST_DS2_en_csv_v2_4'!$BM$6:$BM$271)</f>
        <v>82.178072957969903</v>
      </c>
    </row>
    <row r="143" spans="1:20" x14ac:dyDescent="0.2">
      <c r="A143" s="161" t="s">
        <v>875</v>
      </c>
      <c r="B143" s="161">
        <v>580</v>
      </c>
      <c r="C143" s="161" t="s">
        <v>762</v>
      </c>
      <c r="D143" t="str">
        <f>_xlfn.XLOOKUP(B143,'Country Code M49'!$B$2:$B$250,'Country Code M49'!$C$2:$C$250,,0)</f>
        <v>MNP</v>
      </c>
      <c r="E143" s="162">
        <v>78.69033303610577</v>
      </c>
      <c r="F143" s="162">
        <v>4501.0870496652497</v>
      </c>
      <c r="G143" s="160" t="s">
        <v>872</v>
      </c>
      <c r="H143" s="188">
        <f>_xlfn.XLOOKUP(D143,'[1]World Population'!$C$2:$C$267,'[1]World Population'!$BN$2:$BN$267)</f>
        <v>57557</v>
      </c>
      <c r="I143" s="188">
        <v>100</v>
      </c>
      <c r="J143" s="194" t="e">
        <f>_xlfn.XLOOKUP(D143,'[2]GDP 2015 Constant'!$B$6:$B$271,'[2]GDP 2015 Constant'!$BM$6:$BM$271)</f>
        <v>#REF!</v>
      </c>
      <c r="K143" s="193" t="e">
        <f t="shared" si="4"/>
        <v>#REF!</v>
      </c>
      <c r="L143" s="194">
        <f>_xlfn.XLOOKUP(D143,'[5]Tourism Receipts'!$B$6:$B$271,'[5]Tourism Receipts'!$BK$6:$BK$271)</f>
        <v>0</v>
      </c>
      <c r="M143" s="195" t="e">
        <f t="shared" si="5"/>
        <v>#REF!</v>
      </c>
      <c r="N143">
        <f>_xlfn.XLOOKUP(D143,'[6]API_NV.AGR.TOTL.ZS_DS2_en_csv_v'!$B$6:$B$271,'[6]API_NV.AGR.TOTL.ZS_DS2_en_csv_v'!$BL$6:$BL$271)</f>
        <v>0</v>
      </c>
      <c r="O143" s="188">
        <f>_xlfn.XLOOKUP(D143,'[7]API_SP.RUR.TOTL_DS2_en_csv_v2_4'!$B$6:$B$271,'[7]API_SP.RUR.TOTL_DS2_en_csv_v2_4'!$BM$6:$BM$271)</f>
        <v>4721</v>
      </c>
      <c r="P143" s="188">
        <f>_xlfn.XLOOKUP(D143,'[8]API_AG.PRD.FOOD.XD_DS2_en_csv_v'!$B$6:$B$271,'[8]API_AG.PRD.FOOD.XD_DS2_en_csv_v'!$BM$6:$BM$271)</f>
        <v>0</v>
      </c>
      <c r="Q143">
        <f>_xlfn.XLOOKUP(D143,'[9]API_NE.IMP.GNFS.ZS_DS2_en_csv_v'!$B$6:$B$271,'[9]API_NE.IMP.GNFS.ZS_DS2_en_csv_v'!$BK$6:$BK$271)</f>
        <v>58.141321044546899</v>
      </c>
      <c r="R143">
        <f>_xlfn.XLOOKUP(D143,'[10]API_NE.EXP.GNFS.ZS_DS2_en_csv_v'!$B$6:$B$271,'[10]API_NE.EXP.GNFS.ZS_DS2_en_csv_v'!$BL$6:$BL$271)</f>
        <v>42.047377326565098</v>
      </c>
      <c r="S143">
        <f>_xlfn.XLOOKUP(D143,'[11]API_EG.USE.ELEC.KH.PC_DS2_en_cs'!$B$6:$B$271,'[11]API_EG.USE.ELEC.KH.PC_DS2_en_cs'!$BG$6:$BG$271)</f>
        <v>0</v>
      </c>
      <c r="T143">
        <f>_xlfn.XLOOKUP(D143,'[12]API_EN.POP.DNST_DS2_en_csv_v2_4'!$B$6:$B$271,'[12]API_EN.POP.DNST_DS2_en_csv_v2_4'!$BM$6:$BM$271)</f>
        <v>125.123913043478</v>
      </c>
    </row>
    <row r="144" spans="1:20" x14ac:dyDescent="0.2">
      <c r="A144" s="161" t="s">
        <v>153</v>
      </c>
      <c r="B144" s="161">
        <v>578</v>
      </c>
      <c r="C144" s="161" t="s">
        <v>127</v>
      </c>
      <c r="D144" t="str">
        <f>_xlfn.XLOOKUP(B144,'Country Code M49'!$B$2:$B$250,'Country Code M49'!$C$2:$C$250,,0)</f>
        <v>NOR</v>
      </c>
      <c r="E144" s="162">
        <v>78.8</v>
      </c>
      <c r="F144" s="162">
        <v>423857.32</v>
      </c>
      <c r="G144" s="160" t="s">
        <v>870</v>
      </c>
      <c r="H144" s="188">
        <f>_xlfn.XLOOKUP(D144,'[1]World Population'!$C$2:$C$267,'[1]World Population'!$BN$2:$BN$267)</f>
        <v>5379475</v>
      </c>
      <c r="I144" s="188">
        <v>100</v>
      </c>
      <c r="J144" s="194">
        <f>_xlfn.XLOOKUP(D144,'[2]GDP 2015 Constant'!$B$6:$B$271,'[2]GDP 2015 Constant'!$BM$6:$BM$271)</f>
        <v>403553000000</v>
      </c>
      <c r="K144" s="193">
        <f t="shared" si="4"/>
        <v>75017.171750031368</v>
      </c>
      <c r="L144" s="194">
        <f>_xlfn.XLOOKUP(D144,'[5]Tourism Receipts'!$B$6:$B$271,'[5]Tourism Receipts'!$BK$6:$BK$271)</f>
        <v>7280000000</v>
      </c>
      <c r="M144" s="195">
        <f t="shared" si="5"/>
        <v>1.8039761815672292E-2</v>
      </c>
      <c r="N144">
        <f>_xlfn.XLOOKUP(D144,'[6]API_NV.AGR.TOTL.ZS_DS2_en_csv_v'!$B$6:$B$271,'[6]API_NV.AGR.TOTL.ZS_DS2_en_csv_v'!$BL$6:$BL$271)</f>
        <v>1.8441222129803301</v>
      </c>
      <c r="O144" s="188">
        <f>_xlfn.XLOOKUP(D144,'[7]API_SP.RUR.TOTL_DS2_en_csv_v2_4'!$B$6:$B$271,'[7]API_SP.RUR.TOTL_DS2_en_csv_v2_4'!$BM$6:$BM$271)</f>
        <v>915909</v>
      </c>
      <c r="P144" s="188">
        <f>_xlfn.XLOOKUP(D144,'[8]API_AG.PRD.FOOD.XD_DS2_en_csv_v'!$B$6:$B$271,'[8]API_AG.PRD.FOOD.XD_DS2_en_csv_v'!$BM$6:$BM$271)</f>
        <v>100.31</v>
      </c>
      <c r="Q144">
        <f>_xlfn.XLOOKUP(D144,'[9]API_NE.IMP.GNFS.ZS_DS2_en_csv_v'!$B$6:$B$271,'[9]API_NE.IMP.GNFS.ZS_DS2_en_csv_v'!$BK$6:$BK$271)</f>
        <v>32.237935788851701</v>
      </c>
      <c r="R144">
        <f>_xlfn.XLOOKUP(D144,'[10]API_NE.EXP.GNFS.ZS_DS2_en_csv_v'!$B$6:$B$271,'[10]API_NE.EXP.GNFS.ZS_DS2_en_csv_v'!$BL$6:$BL$271)</f>
        <v>36.263106555270099</v>
      </c>
      <c r="S144">
        <f>_xlfn.XLOOKUP(D144,'[11]API_EG.USE.ELEC.KH.PC_DS2_en_cs'!$B$6:$B$271,'[11]API_EG.USE.ELEC.KH.PC_DS2_en_cs'!$BG$6:$BG$271)</f>
        <v>22999.934595128299</v>
      </c>
      <c r="T144">
        <f>_xlfn.XLOOKUP(D144,'[12]API_EN.POP.DNST_DS2_en_csv_v2_4'!$B$6:$B$271,'[12]API_EN.POP.DNST_DS2_en_csv_v2_4'!$BM$6:$BM$271)</f>
        <v>14.7672152298338</v>
      </c>
    </row>
    <row r="145" spans="1:20" x14ac:dyDescent="0.2">
      <c r="A145" s="161" t="s">
        <v>148</v>
      </c>
      <c r="B145" s="161">
        <v>512</v>
      </c>
      <c r="C145" s="161" t="s">
        <v>861</v>
      </c>
      <c r="D145" t="str">
        <f>_xlfn.XLOOKUP(B145,'Country Code M49'!$B$2:$B$250,'Country Code M49'!$C$2:$C$250,,0)</f>
        <v>OMN</v>
      </c>
      <c r="E145" s="162">
        <v>94.532022754949935</v>
      </c>
      <c r="F145" s="162">
        <v>470296.81320587592</v>
      </c>
      <c r="G145" s="160" t="s">
        <v>877</v>
      </c>
      <c r="H145" s="188">
        <f>_xlfn.XLOOKUP(D145,'[1]World Population'!$C$2:$C$267,'[1]World Population'!$BN$2:$BN$267)</f>
        <v>5106622</v>
      </c>
      <c r="I145" s="188">
        <v>100</v>
      </c>
      <c r="J145" s="194">
        <f>_xlfn.XLOOKUP(D145,'[2]GDP 2015 Constant'!$B$6:$B$271,'[2]GDP 2015 Constant'!$BM$6:$BM$271)</f>
        <v>80394695533</v>
      </c>
      <c r="K145" s="193">
        <f t="shared" si="4"/>
        <v>15743.224294455316</v>
      </c>
      <c r="L145" s="194">
        <f>_xlfn.XLOOKUP(D145,'[5]Tourism Receipts'!$B$6:$B$271,'[5]Tourism Receipts'!$BK$6:$BK$271)</f>
        <v>2874000000</v>
      </c>
      <c r="M145" s="195">
        <f t="shared" si="5"/>
        <v>3.5748627206633243E-2</v>
      </c>
      <c r="N145">
        <f>_xlfn.XLOOKUP(D145,'[6]API_NV.AGR.TOTL.ZS_DS2_en_csv_v'!$B$6:$B$271,'[6]API_NV.AGR.TOTL.ZS_DS2_en_csv_v'!$BL$6:$BL$271)</f>
        <v>1.99471933938581</v>
      </c>
      <c r="O145" s="188">
        <f>_xlfn.XLOOKUP(D145,'[7]API_SP.RUR.TOTL_DS2_en_csv_v2_4'!$B$6:$B$271,'[7]API_SP.RUR.TOTL_DS2_en_csv_v2_4'!$BM$6:$BM$271)</f>
        <v>700833</v>
      </c>
      <c r="P145" s="188">
        <f>_xlfn.XLOOKUP(D145,'[8]API_AG.PRD.FOOD.XD_DS2_en_csv_v'!$B$6:$B$271,'[8]API_AG.PRD.FOOD.XD_DS2_en_csv_v'!$BM$6:$BM$271)</f>
        <v>152.75</v>
      </c>
      <c r="Q145">
        <f>_xlfn.XLOOKUP(D145,'[9]API_NE.IMP.GNFS.ZS_DS2_en_csv_v'!$B$6:$B$271,'[9]API_NE.IMP.GNFS.ZS_DS2_en_csv_v'!$BK$6:$BK$271)</f>
        <v>38.657912687585302</v>
      </c>
      <c r="R145">
        <f>_xlfn.XLOOKUP(D145,'[10]API_NE.EXP.GNFS.ZS_DS2_en_csv_v'!$B$6:$B$271,'[10]API_NE.EXP.GNFS.ZS_DS2_en_csv_v'!$BL$6:$BL$271)</f>
        <v>49.492016987897003</v>
      </c>
      <c r="S145">
        <f>_xlfn.XLOOKUP(D145,'[11]API_EG.USE.ELEC.KH.PC_DS2_en_cs'!$B$6:$B$271,'[11]API_EG.USE.ELEC.KH.PC_DS2_en_cs'!$BG$6:$BG$271)</f>
        <v>6445.5814196021902</v>
      </c>
      <c r="T145">
        <f>_xlfn.XLOOKUP(D145,'[12]API_EN.POP.DNST_DS2_en_csv_v2_4'!$B$6:$B$271,'[12]API_EN.POP.DNST_DS2_en_csv_v2_4'!$BM$6:$BM$271)</f>
        <v>16.499586429725401</v>
      </c>
    </row>
    <row r="146" spans="1:20" x14ac:dyDescent="0.2">
      <c r="A146" s="161" t="s">
        <v>149</v>
      </c>
      <c r="B146" s="161">
        <v>586</v>
      </c>
      <c r="C146" s="161" t="s">
        <v>128</v>
      </c>
      <c r="D146" t="str">
        <f>_xlfn.XLOOKUP(B146,'Country Code M49'!$B$2:$B$250,'Country Code M49'!$C$2:$C$250,,0)</f>
        <v>PAK</v>
      </c>
      <c r="E146" s="162">
        <v>73.638965624999997</v>
      </c>
      <c r="F146" s="162">
        <v>15947644.682267813</v>
      </c>
      <c r="G146" s="160" t="s">
        <v>873</v>
      </c>
      <c r="H146" s="188">
        <f>_xlfn.XLOOKUP(D146,'[1]World Population'!$C$2:$C$267,'[1]World Population'!$BN$2:$BN$267)</f>
        <v>220892331</v>
      </c>
      <c r="I146" s="188">
        <v>100</v>
      </c>
      <c r="J146" s="194">
        <f>_xlfn.XLOOKUP(D146,'[2]GDP 2015 Constant'!$B$6:$B$271,'[2]GDP 2015 Constant'!$BM$6:$BM$271)</f>
        <v>320099000000</v>
      </c>
      <c r="K146" s="193">
        <f t="shared" si="4"/>
        <v>1449.1177604531686</v>
      </c>
      <c r="L146" s="194">
        <f>_xlfn.XLOOKUP(D146,'[5]Tourism Receipts'!$B$6:$B$271,'[5]Tourism Receipts'!$BK$6:$BK$271)</f>
        <v>845000000</v>
      </c>
      <c r="M146" s="195">
        <f t="shared" si="5"/>
        <v>2.6398083093043092E-3</v>
      </c>
      <c r="N146">
        <f>_xlfn.XLOOKUP(D146,'[6]API_NV.AGR.TOTL.ZS_DS2_en_csv_v'!$B$6:$B$271,'[6]API_NV.AGR.TOTL.ZS_DS2_en_csv_v'!$BL$6:$BL$271)</f>
        <v>20.677871322288699</v>
      </c>
      <c r="O146" s="188">
        <f>_xlfn.XLOOKUP(D146,'[7]API_SP.RUR.TOTL_DS2_en_csv_v2_4'!$B$6:$B$271,'[7]API_SP.RUR.TOTL_DS2_en_csv_v2_4'!$BM$6:$BM$271)</f>
        <v>138797696</v>
      </c>
      <c r="P146" s="188">
        <f>_xlfn.XLOOKUP(D146,'[8]API_AG.PRD.FOOD.XD_DS2_en_csv_v'!$B$6:$B$271,'[8]API_AG.PRD.FOOD.XD_DS2_en_csv_v'!$BM$6:$BM$271)</f>
        <v>118.48</v>
      </c>
      <c r="Q146">
        <f>_xlfn.XLOOKUP(D146,'[9]API_NE.IMP.GNFS.ZS_DS2_en_csv_v'!$B$6:$B$271,'[9]API_NE.IMP.GNFS.ZS_DS2_en_csv_v'!$BK$6:$BK$271)</f>
        <v>19.044256657534198</v>
      </c>
      <c r="R146">
        <f>_xlfn.XLOOKUP(D146,'[10]API_NE.EXP.GNFS.ZS_DS2_en_csv_v'!$B$6:$B$271,'[10]API_NE.EXP.GNFS.ZS_DS2_en_csv_v'!$BL$6:$BL$271)</f>
        <v>9.3908633787795104</v>
      </c>
      <c r="S146">
        <f>_xlfn.XLOOKUP(D146,'[11]API_EG.USE.ELEC.KH.PC_DS2_en_cs'!$B$6:$B$271,'[11]API_EG.USE.ELEC.KH.PC_DS2_en_cs'!$BG$6:$BG$271)</f>
        <v>447.505156703301</v>
      </c>
      <c r="T146">
        <f>_xlfn.XLOOKUP(D146,'[12]API_EN.POP.DNST_DS2_en_csv_v2_4'!$B$6:$B$271,'[12]API_EN.POP.DNST_DS2_en_csv_v2_4'!$BM$6:$BM$271)</f>
        <v>286.54567636986297</v>
      </c>
    </row>
    <row r="147" spans="1:20" x14ac:dyDescent="0.2">
      <c r="A147" s="161" t="s">
        <v>875</v>
      </c>
      <c r="B147" s="161">
        <v>585</v>
      </c>
      <c r="C147" s="161" t="s">
        <v>763</v>
      </c>
      <c r="D147" t="str">
        <f>_xlfn.XLOOKUP(B147,'Country Code M49'!$B$2:$B$250,'Country Code M49'!$C$2:$C$250,,0)</f>
        <v>PLW</v>
      </c>
      <c r="E147" s="162">
        <v>78.69033303610577</v>
      </c>
      <c r="F147" s="162">
        <v>1416.4259946499039</v>
      </c>
      <c r="G147" s="160" t="s">
        <v>872</v>
      </c>
      <c r="H147" s="188">
        <f>_xlfn.XLOOKUP(D147,'[1]World Population'!$C$2:$C$267,'[1]World Population'!$BN$2:$BN$267)</f>
        <v>18092</v>
      </c>
      <c r="I147" s="188">
        <v>100</v>
      </c>
      <c r="J147" s="194">
        <f>_xlfn.XLOOKUP(D147,'[2]GDP 2015 Constant'!$B$6:$B$271,'[2]GDP 2015 Constant'!$BM$6:$BM$271)</f>
        <v>239735252.90000001</v>
      </c>
      <c r="K147" s="193">
        <f t="shared" si="4"/>
        <v>13250.898347335838</v>
      </c>
      <c r="L147" s="194">
        <f>_xlfn.XLOOKUP(D147,'[5]Tourism Receipts'!$B$6:$B$271,'[5]Tourism Receipts'!$BK$6:$BK$271)</f>
        <v>0</v>
      </c>
      <c r="M147" s="195">
        <f t="shared" si="5"/>
        <v>0</v>
      </c>
      <c r="N147">
        <f>_xlfn.XLOOKUP(D147,'[6]API_NV.AGR.TOTL.ZS_DS2_en_csv_v'!$B$6:$B$271,'[6]API_NV.AGR.TOTL.ZS_DS2_en_csv_v'!$BL$6:$BL$271)</f>
        <v>3.4646243617797201</v>
      </c>
      <c r="O147" s="188">
        <f>_xlfn.XLOOKUP(D147,'[7]API_SP.RUR.TOTL_DS2_en_csv_v2_4'!$B$6:$B$271,'[7]API_SP.RUR.TOTL_DS2_en_csv_v2_4'!$BM$6:$BM$271)</f>
        <v>3440</v>
      </c>
      <c r="P147" s="188">
        <f>_xlfn.XLOOKUP(D147,'[8]API_AG.PRD.FOOD.XD_DS2_en_csv_v'!$B$6:$B$271,'[8]API_AG.PRD.FOOD.XD_DS2_en_csv_v'!$BM$6:$BM$271)</f>
        <v>0</v>
      </c>
      <c r="Q147">
        <f>_xlfn.XLOOKUP(D147,'[9]API_NE.IMP.GNFS.ZS_DS2_en_csv_v'!$B$6:$B$271,'[9]API_NE.IMP.GNFS.ZS_DS2_en_csv_v'!$BK$6:$BK$271)</f>
        <v>0</v>
      </c>
      <c r="R147">
        <f>_xlfn.XLOOKUP(D147,'[10]API_NE.EXP.GNFS.ZS_DS2_en_csv_v'!$B$6:$B$271,'[10]API_NE.EXP.GNFS.ZS_DS2_en_csv_v'!$BL$6:$BL$271)</f>
        <v>0</v>
      </c>
      <c r="S147">
        <f>_xlfn.XLOOKUP(D147,'[11]API_EG.USE.ELEC.KH.PC_DS2_en_cs'!$B$6:$B$271,'[11]API_EG.USE.ELEC.KH.PC_DS2_en_cs'!$BG$6:$BG$271)</f>
        <v>0</v>
      </c>
      <c r="T147">
        <f>_xlfn.XLOOKUP(D147,'[12]API_EN.POP.DNST_DS2_en_csv_v2_4'!$B$6:$B$271,'[12]API_EN.POP.DNST_DS2_en_csv_v2_4'!$BM$6:$BM$271)</f>
        <v>39.330434782608698</v>
      </c>
    </row>
    <row r="148" spans="1:20" x14ac:dyDescent="0.2">
      <c r="A148" s="161" t="s">
        <v>150</v>
      </c>
      <c r="B148" s="161">
        <v>591</v>
      </c>
      <c r="C148" s="161" t="s">
        <v>736</v>
      </c>
      <c r="D148" t="str">
        <f>_xlfn.XLOOKUP(B148,'Country Code M49'!$B$2:$B$250,'Country Code M49'!$C$2:$C$250,,0)</f>
        <v>PAN</v>
      </c>
      <c r="E148" s="162">
        <v>73.920769675063781</v>
      </c>
      <c r="F148" s="162">
        <v>313897.15634819085</v>
      </c>
      <c r="G148" s="160" t="s">
        <v>872</v>
      </c>
      <c r="H148" s="188">
        <f>_xlfn.XLOOKUP(D148,'[1]World Population'!$C$2:$C$267,'[1]World Population'!$BN$2:$BN$267)</f>
        <v>4314768</v>
      </c>
      <c r="I148" s="188">
        <v>100</v>
      </c>
      <c r="J148" s="194">
        <f>_xlfn.XLOOKUP(D148,'[2]GDP 2015 Constant'!$B$6:$B$271,'[2]GDP 2015 Constant'!$BM$6:$BM$271)</f>
        <v>52520697170</v>
      </c>
      <c r="K148" s="193">
        <f t="shared" si="4"/>
        <v>12172.31081022201</v>
      </c>
      <c r="L148" s="194">
        <f>_xlfn.XLOOKUP(D148,'[5]Tourism Receipts'!$B$6:$B$271,'[5]Tourism Receipts'!$BK$6:$BK$271)</f>
        <v>7139000000</v>
      </c>
      <c r="M148" s="195">
        <f t="shared" si="5"/>
        <v>0.13592736548969159</v>
      </c>
      <c r="N148">
        <f>_xlfn.XLOOKUP(D148,'[6]API_NV.AGR.TOTL.ZS_DS2_en_csv_v'!$B$6:$B$271,'[6]API_NV.AGR.TOTL.ZS_DS2_en_csv_v'!$BL$6:$BL$271)</f>
        <v>2.1869214401522901</v>
      </c>
      <c r="O148" s="188">
        <f>_xlfn.XLOOKUP(D148,'[7]API_SP.RUR.TOTL_DS2_en_csv_v2_4'!$B$6:$B$271,'[7]API_SP.RUR.TOTL_DS2_en_csv_v2_4'!$BM$6:$BM$271)</f>
        <v>1362863</v>
      </c>
      <c r="P148" s="188">
        <f>_xlfn.XLOOKUP(D148,'[8]API_AG.PRD.FOOD.XD_DS2_en_csv_v'!$B$6:$B$271,'[8]API_AG.PRD.FOOD.XD_DS2_en_csv_v'!$BM$6:$BM$271)</f>
        <v>106.5</v>
      </c>
      <c r="Q148">
        <f>_xlfn.XLOOKUP(D148,'[9]API_NE.IMP.GNFS.ZS_DS2_en_csv_v'!$B$6:$B$271,'[9]API_NE.IMP.GNFS.ZS_DS2_en_csv_v'!$BK$6:$BK$271)</f>
        <v>47.199542052817598</v>
      </c>
      <c r="R148">
        <f>_xlfn.XLOOKUP(D148,'[10]API_NE.EXP.GNFS.ZS_DS2_en_csv_v'!$B$6:$B$271,'[10]API_NE.EXP.GNFS.ZS_DS2_en_csv_v'!$BL$6:$BL$271)</f>
        <v>41.207993340876101</v>
      </c>
      <c r="S148">
        <f>_xlfn.XLOOKUP(D148,'[11]API_EG.USE.ELEC.KH.PC_DS2_en_cs'!$B$6:$B$271,'[11]API_EG.USE.ELEC.KH.PC_DS2_en_cs'!$BG$6:$BG$271)</f>
        <v>2064.1779135270199</v>
      </c>
      <c r="T148">
        <f>_xlfn.XLOOKUP(D148,'[12]API_EN.POP.DNST_DS2_en_csv_v2_4'!$B$6:$B$271,'[12]API_EN.POP.DNST_DS2_en_csv_v2_4'!$BM$6:$BM$271)</f>
        <v>58.166190347802598</v>
      </c>
    </row>
    <row r="149" spans="1:20" x14ac:dyDescent="0.2">
      <c r="A149" s="161" t="s">
        <v>874</v>
      </c>
      <c r="B149" s="161">
        <v>598</v>
      </c>
      <c r="C149" s="161" t="s">
        <v>754</v>
      </c>
      <c r="D149" t="str">
        <f>_xlfn.XLOOKUP(B149,'Country Code M49'!$B$2:$B$250,'Country Code M49'!$C$2:$C$250,,0)</f>
        <v>PNG</v>
      </c>
      <c r="E149" s="162">
        <v>91.016179554931128</v>
      </c>
      <c r="F149" s="162">
        <v>798767.09339203103</v>
      </c>
      <c r="G149" s="160" t="s">
        <v>872</v>
      </c>
      <c r="H149" s="188">
        <f>_xlfn.XLOOKUP(D149,'[1]World Population'!$C$2:$C$267,'[1]World Population'!$BN$2:$BN$267)</f>
        <v>8947027</v>
      </c>
      <c r="I149" s="188">
        <v>100</v>
      </c>
      <c r="J149" s="194">
        <f>_xlfn.XLOOKUP(D149,'[2]GDP 2015 Constant'!$B$6:$B$271,'[2]GDP 2015 Constant'!$BM$6:$BM$271)</f>
        <v>23854664089</v>
      </c>
      <c r="K149" s="193">
        <f t="shared" si="4"/>
        <v>2666.2112553141956</v>
      </c>
      <c r="L149" s="194">
        <f>_xlfn.XLOOKUP(D149,'[5]Tourism Receipts'!$B$6:$B$271,'[5]Tourism Receipts'!$BK$6:$BK$271)</f>
        <v>4230000.0190000003</v>
      </c>
      <c r="M149" s="195">
        <f t="shared" si="5"/>
        <v>1.7732381404400333E-4</v>
      </c>
      <c r="N149">
        <f>_xlfn.XLOOKUP(D149,'[6]API_NV.AGR.TOTL.ZS_DS2_en_csv_v'!$B$6:$B$271,'[6]API_NV.AGR.TOTL.ZS_DS2_en_csv_v'!$BL$6:$BL$271)</f>
        <v>16.976143352460401</v>
      </c>
      <c r="O149" s="188">
        <f>_xlfn.XLOOKUP(D149,'[7]API_SP.RUR.TOTL_DS2_en_csv_v2_4'!$B$6:$B$271,'[7]API_SP.RUR.TOTL_DS2_en_csv_v2_4'!$BM$6:$BM$271)</f>
        <v>7753046</v>
      </c>
      <c r="P149" s="188">
        <f>_xlfn.XLOOKUP(D149,'[8]API_AG.PRD.FOOD.XD_DS2_en_csv_v'!$B$6:$B$271,'[8]API_AG.PRD.FOOD.XD_DS2_en_csv_v'!$BM$6:$BM$271)</f>
        <v>101.7</v>
      </c>
      <c r="Q149">
        <f>_xlfn.XLOOKUP(D149,'[9]API_NE.IMP.GNFS.ZS_DS2_en_csv_v'!$B$6:$B$271,'[9]API_NE.IMP.GNFS.ZS_DS2_en_csv_v'!$BK$6:$BK$271)</f>
        <v>0</v>
      </c>
      <c r="R149">
        <f>_xlfn.XLOOKUP(D149,'[10]API_NE.EXP.GNFS.ZS_DS2_en_csv_v'!$B$6:$B$271,'[10]API_NE.EXP.GNFS.ZS_DS2_en_csv_v'!$BL$6:$BL$271)</f>
        <v>0</v>
      </c>
      <c r="S149">
        <f>_xlfn.XLOOKUP(D149,'[11]API_EG.USE.ELEC.KH.PC_DS2_en_cs'!$B$6:$B$271,'[11]API_EG.USE.ELEC.KH.PC_DS2_en_cs'!$BG$6:$BG$271)</f>
        <v>0</v>
      </c>
      <c r="T149">
        <f>_xlfn.XLOOKUP(D149,'[12]API_EN.POP.DNST_DS2_en_csv_v2_4'!$B$6:$B$271,'[12]API_EN.POP.DNST_DS2_en_csv_v2_4'!$BM$6:$BM$271)</f>
        <v>19.756717307777201</v>
      </c>
    </row>
    <row r="150" spans="1:20" x14ac:dyDescent="0.2">
      <c r="A150" s="161" t="s">
        <v>150</v>
      </c>
      <c r="B150" s="161">
        <v>600</v>
      </c>
      <c r="C150" s="161" t="s">
        <v>737</v>
      </c>
      <c r="D150" t="str">
        <f>_xlfn.XLOOKUP(B150,'Country Code M49'!$B$2:$B$250,'Country Code M49'!$C$2:$C$250,,0)</f>
        <v>PRY</v>
      </c>
      <c r="E150" s="162">
        <v>72.432162730095172</v>
      </c>
      <c r="F150" s="162">
        <v>510255.61356842844</v>
      </c>
      <c r="G150" s="160" t="s">
        <v>872</v>
      </c>
      <c r="H150" s="188">
        <f>_xlfn.XLOOKUP(D150,'[1]World Population'!$C$2:$C$267,'[1]World Population'!$BN$2:$BN$267)</f>
        <v>7132530</v>
      </c>
      <c r="I150" s="188">
        <v>100</v>
      </c>
      <c r="J150" s="194">
        <f>_xlfn.XLOOKUP(D150,'[2]GDP 2015 Constant'!$B$6:$B$271,'[2]GDP 2015 Constant'!$BM$6:$BM$271)</f>
        <v>40343452708</v>
      </c>
      <c r="K150" s="193">
        <f t="shared" si="4"/>
        <v>5656.261201565223</v>
      </c>
      <c r="L150" s="194">
        <f>_xlfn.XLOOKUP(D150,'[5]Tourism Receipts'!$B$6:$B$271,'[5]Tourism Receipts'!$BK$6:$BK$271)</f>
        <v>393000000</v>
      </c>
      <c r="M150" s="195">
        <f t="shared" si="5"/>
        <v>9.7413576087420281E-3</v>
      </c>
      <c r="N150">
        <f>_xlfn.XLOOKUP(D150,'[6]API_NV.AGR.TOTL.ZS_DS2_en_csv_v'!$B$6:$B$271,'[6]API_NV.AGR.TOTL.ZS_DS2_en_csv_v'!$BL$6:$BL$271)</f>
        <v>9.9950112421457806</v>
      </c>
      <c r="O150" s="188">
        <f>_xlfn.XLOOKUP(D150,'[7]API_SP.RUR.TOTL_DS2_en_csv_v2_4'!$B$6:$B$271,'[7]API_SP.RUR.TOTL_DS2_en_csv_v2_4'!$BM$6:$BM$271)</f>
        <v>2697309</v>
      </c>
      <c r="P150" s="188">
        <f>_xlfn.XLOOKUP(D150,'[8]API_AG.PRD.FOOD.XD_DS2_en_csv_v'!$B$6:$B$271,'[8]API_AG.PRD.FOOD.XD_DS2_en_csv_v'!$BM$6:$BM$271)</f>
        <v>116.8</v>
      </c>
      <c r="Q150">
        <f>_xlfn.XLOOKUP(D150,'[9]API_NE.IMP.GNFS.ZS_DS2_en_csv_v'!$B$6:$B$271,'[9]API_NE.IMP.GNFS.ZS_DS2_en_csv_v'!$BK$6:$BK$271)</f>
        <v>35.583355709444703</v>
      </c>
      <c r="R150">
        <f>_xlfn.XLOOKUP(D150,'[10]API_NE.EXP.GNFS.ZS_DS2_en_csv_v'!$B$6:$B$271,'[10]API_NE.EXP.GNFS.ZS_DS2_en_csv_v'!$BL$6:$BL$271)</f>
        <v>36.182440719826303</v>
      </c>
      <c r="S150">
        <f>_xlfn.XLOOKUP(D150,'[11]API_EG.USE.ELEC.KH.PC_DS2_en_cs'!$B$6:$B$271,'[11]API_EG.USE.ELEC.KH.PC_DS2_en_cs'!$BG$6:$BG$271)</f>
        <v>1552.3846871380399</v>
      </c>
      <c r="T150">
        <f>_xlfn.XLOOKUP(D150,'[12]API_EN.POP.DNST_DS2_en_csv_v2_4'!$B$6:$B$271,'[12]API_EN.POP.DNST_DS2_en_csv_v2_4'!$BM$6:$BM$271)</f>
        <v>17.952504404731901</v>
      </c>
    </row>
    <row r="151" spans="1:20" x14ac:dyDescent="0.2">
      <c r="A151" s="161" t="s">
        <v>150</v>
      </c>
      <c r="B151" s="161">
        <v>604</v>
      </c>
      <c r="C151" s="161" t="s">
        <v>738</v>
      </c>
      <c r="D151" t="str">
        <f>_xlfn.XLOOKUP(B151,'Country Code M49'!$B$2:$B$250,'Country Code M49'!$C$2:$C$250,,0)</f>
        <v>PER</v>
      </c>
      <c r="E151" s="162">
        <v>72.432162730095172</v>
      </c>
      <c r="F151" s="162">
        <v>2354805.826436759</v>
      </c>
      <c r="G151" s="160" t="s">
        <v>872</v>
      </c>
      <c r="H151" s="188">
        <f>_xlfn.XLOOKUP(D151,'[1]World Population'!$C$2:$C$267,'[1]World Population'!$BN$2:$BN$267)</f>
        <v>32971846</v>
      </c>
      <c r="I151" s="188">
        <v>100</v>
      </c>
      <c r="J151" s="194">
        <f>_xlfn.XLOOKUP(D151,'[2]GDP 2015 Constant'!$B$6:$B$271,'[2]GDP 2015 Constant'!$BM$6:$BM$271)</f>
        <v>191470000000</v>
      </c>
      <c r="K151" s="193">
        <f t="shared" si="4"/>
        <v>5807.0755274060175</v>
      </c>
      <c r="L151" s="194">
        <f>_xlfn.XLOOKUP(D151,'[5]Tourism Receipts'!$B$6:$B$271,'[5]Tourism Receipts'!$BK$6:$BK$271)</f>
        <v>4505000000</v>
      </c>
      <c r="M151" s="195">
        <f t="shared" si="5"/>
        <v>2.352849010288818E-2</v>
      </c>
      <c r="N151">
        <f>_xlfn.XLOOKUP(D151,'[6]API_NV.AGR.TOTL.ZS_DS2_en_csv_v'!$B$6:$B$271,'[6]API_NV.AGR.TOTL.ZS_DS2_en_csv_v'!$BL$6:$BL$271)</f>
        <v>6.8530310347723802</v>
      </c>
      <c r="O151" s="188">
        <f>_xlfn.XLOOKUP(D151,'[7]API_SP.RUR.TOTL_DS2_en_csv_v2_4'!$B$6:$B$271,'[7]API_SP.RUR.TOTL_DS2_en_csv_v2_4'!$BM$6:$BM$271)</f>
        <v>7155880</v>
      </c>
      <c r="P151" s="188">
        <f>_xlfn.XLOOKUP(D151,'[8]API_AG.PRD.FOOD.XD_DS2_en_csv_v'!$B$6:$B$271,'[8]API_AG.PRD.FOOD.XD_DS2_en_csv_v'!$BM$6:$BM$271)</f>
        <v>118.54</v>
      </c>
      <c r="Q151">
        <f>_xlfn.XLOOKUP(D151,'[9]API_NE.IMP.GNFS.ZS_DS2_en_csv_v'!$B$6:$B$271,'[9]API_NE.IMP.GNFS.ZS_DS2_en_csv_v'!$BK$6:$BK$271)</f>
        <v>23.4392854994888</v>
      </c>
      <c r="R151">
        <f>_xlfn.XLOOKUP(D151,'[10]API_NE.EXP.GNFS.ZS_DS2_en_csv_v'!$B$6:$B$271,'[10]API_NE.EXP.GNFS.ZS_DS2_en_csv_v'!$BL$6:$BL$271)</f>
        <v>24.039087434906801</v>
      </c>
      <c r="S151">
        <f>_xlfn.XLOOKUP(D151,'[11]API_EG.USE.ELEC.KH.PC_DS2_en_cs'!$B$6:$B$271,'[11]API_EG.USE.ELEC.KH.PC_DS2_en_cs'!$BG$6:$BG$271)</f>
        <v>1345.8790074114099</v>
      </c>
      <c r="T151">
        <f>_xlfn.XLOOKUP(D151,'[12]API_EN.POP.DNST_DS2_en_csv_v2_4'!$B$6:$B$271,'[12]API_EN.POP.DNST_DS2_en_csv_v2_4'!$BM$6:$BM$271)</f>
        <v>25.7592546875</v>
      </c>
    </row>
    <row r="152" spans="1:20" x14ac:dyDescent="0.2">
      <c r="A152" s="161" t="s">
        <v>157</v>
      </c>
      <c r="B152" s="161">
        <v>608</v>
      </c>
      <c r="C152" s="161" t="s">
        <v>793</v>
      </c>
      <c r="D152" t="str">
        <f>_xlfn.XLOOKUP(B152,'Country Code M49'!$B$2:$B$250,'Country Code M49'!$C$2:$C$250,,0)</f>
        <v>PHL</v>
      </c>
      <c r="E152" s="162">
        <v>86.337126699430399</v>
      </c>
      <c r="F152" s="162">
        <v>9334476.5925116371</v>
      </c>
      <c r="G152" s="160" t="s">
        <v>872</v>
      </c>
      <c r="H152" s="188">
        <f>_xlfn.XLOOKUP(D152,'[1]World Population'!$C$2:$C$267,'[1]World Population'!$BN$2:$BN$267)</f>
        <v>109581085</v>
      </c>
      <c r="I152" s="188">
        <v>100</v>
      </c>
      <c r="J152" s="194">
        <f>_xlfn.XLOOKUP(D152,'[2]GDP 2015 Constant'!$B$6:$B$271,'[2]GDP 2015 Constant'!$BM$6:$BM$271)</f>
        <v>358511000000</v>
      </c>
      <c r="K152" s="193">
        <f t="shared" si="4"/>
        <v>3271.6503947738793</v>
      </c>
      <c r="L152" s="194">
        <f>_xlfn.XLOOKUP(D152,'[5]Tourism Receipts'!$B$6:$B$271,'[5]Tourism Receipts'!$BK$6:$BK$271)</f>
        <v>9715000000</v>
      </c>
      <c r="M152" s="195">
        <f t="shared" si="5"/>
        <v>2.7098192245147291E-2</v>
      </c>
      <c r="N152">
        <f>_xlfn.XLOOKUP(D152,'[6]API_NV.AGR.TOTL.ZS_DS2_en_csv_v'!$B$6:$B$271,'[6]API_NV.AGR.TOTL.ZS_DS2_en_csv_v'!$BL$6:$BL$271)</f>
        <v>8.8203237473052507</v>
      </c>
      <c r="O152" s="188">
        <f>_xlfn.XLOOKUP(D152,'[7]API_SP.RUR.TOTL_DS2_en_csv_v2_4'!$B$6:$B$271,'[7]API_SP.RUR.TOTL_DS2_en_csv_v2_4'!$BM$6:$BM$271)</f>
        <v>57630884</v>
      </c>
      <c r="P152" s="188">
        <f>_xlfn.XLOOKUP(D152,'[8]API_AG.PRD.FOOD.XD_DS2_en_csv_v'!$B$6:$B$271,'[8]API_AG.PRD.FOOD.XD_DS2_en_csv_v'!$BM$6:$BM$271)</f>
        <v>100.66</v>
      </c>
      <c r="Q152">
        <f>_xlfn.XLOOKUP(D152,'[9]API_NE.IMP.GNFS.ZS_DS2_en_csv_v'!$B$6:$B$271,'[9]API_NE.IMP.GNFS.ZS_DS2_en_csv_v'!$BK$6:$BK$271)</f>
        <v>41.949792925699803</v>
      </c>
      <c r="R152">
        <f>_xlfn.XLOOKUP(D152,'[10]API_NE.EXP.GNFS.ZS_DS2_en_csv_v'!$B$6:$B$271,'[10]API_NE.EXP.GNFS.ZS_DS2_en_csv_v'!$BL$6:$BL$271)</f>
        <v>28.3829200126393</v>
      </c>
      <c r="S152">
        <f>_xlfn.XLOOKUP(D152,'[11]API_EG.USE.ELEC.KH.PC_DS2_en_cs'!$B$6:$B$271,'[11]API_EG.USE.ELEC.KH.PC_DS2_en_cs'!$BG$6:$BG$271)</f>
        <v>696.34678698765504</v>
      </c>
      <c r="T152">
        <f>_xlfn.XLOOKUP(D152,'[12]API_EN.POP.DNST_DS2_en_csv_v2_4'!$B$6:$B$271,'[12]API_EN.POP.DNST_DS2_en_csv_v2_4'!$BM$6:$BM$271)</f>
        <v>367.51210718717499</v>
      </c>
    </row>
    <row r="153" spans="1:20" x14ac:dyDescent="0.2">
      <c r="A153" s="161" t="s">
        <v>156</v>
      </c>
      <c r="B153" s="161">
        <v>616</v>
      </c>
      <c r="C153" s="161" t="s">
        <v>129</v>
      </c>
      <c r="D153" t="str">
        <f>_xlfn.XLOOKUP(B153,'Country Code M49'!$B$2:$B$250,'Country Code M49'!$C$2:$C$250,,0)</f>
        <v>POL</v>
      </c>
      <c r="E153" s="162">
        <v>55.940300000000001</v>
      </c>
      <c r="F153" s="162">
        <v>2119454.8983399998</v>
      </c>
      <c r="G153" s="160" t="s">
        <v>873</v>
      </c>
      <c r="H153" s="188">
        <f>_xlfn.XLOOKUP(D153,'[1]World Population'!$C$2:$C$267,'[1]World Population'!$BN$2:$BN$267)</f>
        <v>37899070</v>
      </c>
      <c r="I153" s="188">
        <v>100</v>
      </c>
      <c r="J153" s="194">
        <f>_xlfn.XLOOKUP(D153,'[2]GDP 2015 Constant'!$B$6:$B$271,'[2]GDP 2015 Constant'!$BM$6:$BM$271)</f>
        <v>555630000000</v>
      </c>
      <c r="K153" s="193">
        <f t="shared" si="4"/>
        <v>14660.781913645902</v>
      </c>
      <c r="L153" s="194">
        <f>_xlfn.XLOOKUP(D153,'[5]Tourism Receipts'!$B$6:$B$271,'[5]Tourism Receipts'!$BK$6:$BK$271)</f>
        <v>15569000000</v>
      </c>
      <c r="M153" s="195">
        <f t="shared" si="5"/>
        <v>2.8020445260335116E-2</v>
      </c>
      <c r="N153">
        <f>_xlfn.XLOOKUP(D153,'[6]API_NV.AGR.TOTL.ZS_DS2_en_csv_v'!$B$6:$B$271,'[6]API_NV.AGR.TOTL.ZS_DS2_en_csv_v'!$BL$6:$BL$271)</f>
        <v>2.31672000554684</v>
      </c>
      <c r="O153" s="188">
        <f>_xlfn.XLOOKUP(D153,'[7]API_SP.RUR.TOTL_DS2_en_csv_v2_4'!$B$6:$B$271,'[7]API_SP.RUR.TOTL_DS2_en_csv_v2_4'!$BM$6:$BM$271)</f>
        <v>15143331</v>
      </c>
      <c r="P153" s="188">
        <f>_xlfn.XLOOKUP(D153,'[8]API_AG.PRD.FOOD.XD_DS2_en_csv_v'!$B$6:$B$271,'[8]API_AG.PRD.FOOD.XD_DS2_en_csv_v'!$BM$6:$BM$271)</f>
        <v>110.87</v>
      </c>
      <c r="Q153">
        <f>_xlfn.XLOOKUP(D153,'[9]API_NE.IMP.GNFS.ZS_DS2_en_csv_v'!$B$6:$B$271,'[9]API_NE.IMP.GNFS.ZS_DS2_en_csv_v'!$BK$6:$BK$271)</f>
        <v>52.1788028120883</v>
      </c>
      <c r="R153">
        <f>_xlfn.XLOOKUP(D153,'[10]API_NE.EXP.GNFS.ZS_DS2_en_csv_v'!$B$6:$B$271,'[10]API_NE.EXP.GNFS.ZS_DS2_en_csv_v'!$BL$6:$BL$271)</f>
        <v>55.395846588106799</v>
      </c>
      <c r="S153">
        <f>_xlfn.XLOOKUP(D153,'[11]API_EG.USE.ELEC.KH.PC_DS2_en_cs'!$B$6:$B$271,'[11]API_EG.USE.ELEC.KH.PC_DS2_en_cs'!$BG$6:$BG$271)</f>
        <v>3971.7997613105499</v>
      </c>
      <c r="T153">
        <f>_xlfn.XLOOKUP(D153,'[12]API_EN.POP.DNST_DS2_en_csv_v2_4'!$B$6:$B$271,'[12]API_EN.POP.DNST_DS2_en_csv_v2_4'!$BM$6:$BM$271)</f>
        <v>123.800574919152</v>
      </c>
    </row>
    <row r="154" spans="1:20" x14ac:dyDescent="0.2">
      <c r="A154" s="161" t="s">
        <v>155</v>
      </c>
      <c r="B154" s="161">
        <v>620</v>
      </c>
      <c r="C154" s="161" t="s">
        <v>810</v>
      </c>
      <c r="D154" t="str">
        <f>_xlfn.XLOOKUP(B154,'Country Code M49'!$B$2:$B$250,'Country Code M49'!$C$2:$C$250,,0)</f>
        <v>PRT</v>
      </c>
      <c r="E154" s="162">
        <v>84.272380315674425</v>
      </c>
      <c r="F154" s="162">
        <v>861786.21558414982</v>
      </c>
      <c r="G154" s="160" t="s">
        <v>877</v>
      </c>
      <c r="H154" s="188">
        <f>_xlfn.XLOOKUP(D154,'[1]World Population'!$C$2:$C$267,'[1]World Population'!$BN$2:$BN$267)</f>
        <v>10297081</v>
      </c>
      <c r="I154" s="188">
        <v>100</v>
      </c>
      <c r="J154" s="194">
        <f>_xlfn.XLOOKUP(D154,'[2]GDP 2015 Constant'!$B$6:$B$271,'[2]GDP 2015 Constant'!$BM$6:$BM$271)</f>
        <v>203590000000</v>
      </c>
      <c r="K154" s="193">
        <f t="shared" si="4"/>
        <v>19771.622656945205</v>
      </c>
      <c r="L154" s="194">
        <f>_xlfn.XLOOKUP(D154,'[5]Tourism Receipts'!$B$6:$B$271,'[5]Tourism Receipts'!$BK$6:$BK$271)</f>
        <v>24366000000</v>
      </c>
      <c r="M154" s="195">
        <f t="shared" si="5"/>
        <v>0.11968171324721254</v>
      </c>
      <c r="N154">
        <f>_xlfn.XLOOKUP(D154,'[6]API_NV.AGR.TOTL.ZS_DS2_en_csv_v'!$B$6:$B$271,'[6]API_NV.AGR.TOTL.ZS_DS2_en_csv_v'!$BL$6:$BL$271)</f>
        <v>2.0885485418003298</v>
      </c>
      <c r="O154" s="188">
        <f>_xlfn.XLOOKUP(D154,'[7]API_SP.RUR.TOTL_DS2_en_csv_v2_4'!$B$6:$B$271,'[7]API_SP.RUR.TOTL_DS2_en_csv_v2_4'!$BM$6:$BM$271)</f>
        <v>3469087</v>
      </c>
      <c r="P154" s="188">
        <f>_xlfn.XLOOKUP(D154,'[8]API_AG.PRD.FOOD.XD_DS2_en_csv_v'!$B$6:$B$271,'[8]API_AG.PRD.FOOD.XD_DS2_en_csv_v'!$BM$6:$BM$271)</f>
        <v>107.09</v>
      </c>
      <c r="Q154">
        <f>_xlfn.XLOOKUP(D154,'[9]API_NE.IMP.GNFS.ZS_DS2_en_csv_v'!$B$6:$B$271,'[9]API_NE.IMP.GNFS.ZS_DS2_en_csv_v'!$BK$6:$BK$271)</f>
        <v>42.9830419043532</v>
      </c>
      <c r="R154">
        <f>_xlfn.XLOOKUP(D154,'[10]API_NE.EXP.GNFS.ZS_DS2_en_csv_v'!$B$6:$B$271,'[10]API_NE.EXP.GNFS.ZS_DS2_en_csv_v'!$BL$6:$BL$271)</f>
        <v>43.508421845832302</v>
      </c>
      <c r="S154">
        <f>_xlfn.XLOOKUP(D154,'[11]API_EG.USE.ELEC.KH.PC_DS2_en_cs'!$B$6:$B$271,'[11]API_EG.USE.ELEC.KH.PC_DS2_en_cs'!$BG$6:$BG$271)</f>
        <v>4662.6007998029399</v>
      </c>
      <c r="T154">
        <f>_xlfn.XLOOKUP(D154,'[12]API_EN.POP.DNST_DS2_en_csv_v2_4'!$B$6:$B$271,'[12]API_EN.POP.DNST_DS2_en_csv_v2_4'!$BM$6:$BM$271)</f>
        <v>112.406676011074</v>
      </c>
    </row>
    <row r="155" spans="1:20" x14ac:dyDescent="0.2">
      <c r="A155" s="161" t="s">
        <v>150</v>
      </c>
      <c r="B155" s="161">
        <v>630</v>
      </c>
      <c r="C155" s="161" t="s">
        <v>739</v>
      </c>
      <c r="D155" t="str">
        <f>_xlfn.XLOOKUP(B155,'Country Code M49'!$B$2:$B$250,'Country Code M49'!$C$2:$C$250,,0)</f>
        <v>PRI</v>
      </c>
      <c r="E155" s="162">
        <v>73.920769675063781</v>
      </c>
      <c r="F155" s="162">
        <v>216839.1857648321</v>
      </c>
      <c r="G155" s="160" t="s">
        <v>872</v>
      </c>
      <c r="H155" s="188">
        <f>_xlfn.XLOOKUP(D155,'[1]World Population'!$C$2:$C$267,'[1]World Population'!$BN$2:$BN$267)</f>
        <v>3281538</v>
      </c>
      <c r="I155" s="188">
        <v>100</v>
      </c>
      <c r="J155" s="194">
        <f>_xlfn.XLOOKUP(D155,'[2]GDP 2015 Constant'!$B$6:$B$271,'[2]GDP 2015 Constant'!$BM$6:$BM$271)</f>
        <v>92660076633</v>
      </c>
      <c r="K155" s="193">
        <f t="shared" si="4"/>
        <v>28236.783067269069</v>
      </c>
      <c r="L155" s="194">
        <f>_xlfn.XLOOKUP(D155,'[5]Tourism Receipts'!$B$6:$B$271,'[5]Tourism Receipts'!$BK$6:$BK$271)</f>
        <v>3303000000</v>
      </c>
      <c r="M155" s="195">
        <f t="shared" si="5"/>
        <v>3.564641990403522E-2</v>
      </c>
      <c r="N155">
        <f>_xlfn.XLOOKUP(D155,'[6]API_NV.AGR.TOTL.ZS_DS2_en_csv_v'!$B$6:$B$271,'[6]API_NV.AGR.TOTL.ZS_DS2_en_csv_v'!$BL$6:$BL$271)</f>
        <v>0.68589119150242195</v>
      </c>
      <c r="O155" s="188">
        <f>_xlfn.XLOOKUP(D155,'[7]API_SP.RUR.TOTL_DS2_en_csv_v2_4'!$B$6:$B$271,'[7]API_SP.RUR.TOTL_DS2_en_csv_v2_4'!$BM$6:$BM$271)</f>
        <v>210642</v>
      </c>
      <c r="P155" s="188">
        <f>_xlfn.XLOOKUP(D155,'[8]API_AG.PRD.FOOD.XD_DS2_en_csv_v'!$B$6:$B$271,'[8]API_AG.PRD.FOOD.XD_DS2_en_csv_v'!$BM$6:$BM$271)</f>
        <v>93.22</v>
      </c>
      <c r="Q155">
        <f>_xlfn.XLOOKUP(D155,'[9]API_NE.IMP.GNFS.ZS_DS2_en_csv_v'!$B$6:$B$271,'[9]API_NE.IMP.GNFS.ZS_DS2_en_csv_v'!$BK$6:$BK$271)</f>
        <v>46.036660886797101</v>
      </c>
      <c r="R155">
        <f>_xlfn.XLOOKUP(D155,'[10]API_NE.EXP.GNFS.ZS_DS2_en_csv_v'!$B$6:$B$271,'[10]API_NE.EXP.GNFS.ZS_DS2_en_csv_v'!$BL$6:$BL$271)</f>
        <v>0</v>
      </c>
      <c r="S155">
        <f>_xlfn.XLOOKUP(D155,'[11]API_EG.USE.ELEC.KH.PC_DS2_en_cs'!$B$6:$B$271,'[11]API_EG.USE.ELEC.KH.PC_DS2_en_cs'!$BG$6:$BG$271)</f>
        <v>0</v>
      </c>
      <c r="T155">
        <f>_xlfn.XLOOKUP(D155,'[12]API_EN.POP.DNST_DS2_en_csv_v2_4'!$B$6:$B$271,'[12]API_EN.POP.DNST_DS2_en_csv_v2_4'!$BM$6:$BM$271)</f>
        <v>369.95918827508501</v>
      </c>
    </row>
    <row r="156" spans="1:20" x14ac:dyDescent="0.2">
      <c r="A156" s="161" t="s">
        <v>148</v>
      </c>
      <c r="B156" s="161">
        <v>634</v>
      </c>
      <c r="C156" s="161" t="s">
        <v>862</v>
      </c>
      <c r="D156" t="str">
        <f>_xlfn.XLOOKUP(B156,'Country Code M49'!$B$2:$B$250,'Country Code M49'!$C$2:$C$250,,0)</f>
        <v>QAT</v>
      </c>
      <c r="E156" s="162">
        <v>94.532022754949935</v>
      </c>
      <c r="F156" s="162">
        <v>267724.14164429373</v>
      </c>
      <c r="G156" s="160" t="s">
        <v>877</v>
      </c>
      <c r="H156" s="188">
        <f>_xlfn.XLOOKUP(D156,'[1]World Population'!$C$2:$C$267,'[1]World Population'!$BN$2:$BN$267)</f>
        <v>2881060</v>
      </c>
      <c r="I156" s="188">
        <v>100</v>
      </c>
      <c r="J156" s="194">
        <f>_xlfn.XLOOKUP(D156,'[2]GDP 2015 Constant'!$B$6:$B$271,'[2]GDP 2015 Constant'!$BM$6:$BM$271)</f>
        <v>161417000000</v>
      </c>
      <c r="K156" s="193">
        <f t="shared" si="4"/>
        <v>56026.948414819548</v>
      </c>
      <c r="L156" s="194">
        <f>_xlfn.XLOOKUP(D156,'[5]Tourism Receipts'!$B$6:$B$271,'[5]Tourism Receipts'!$BK$6:$BK$271)</f>
        <v>15239000000</v>
      </c>
      <c r="M156" s="195">
        <f t="shared" si="5"/>
        <v>9.4407652229938605E-2</v>
      </c>
      <c r="N156">
        <f>_xlfn.XLOOKUP(D156,'[6]API_NV.AGR.TOTL.ZS_DS2_en_csv_v'!$B$6:$B$271,'[6]API_NV.AGR.TOTL.ZS_DS2_en_csv_v'!$BL$6:$BL$271)</f>
        <v>0.230041116366306</v>
      </c>
      <c r="O156" s="188">
        <f>_xlfn.XLOOKUP(D156,'[7]API_SP.RUR.TOTL_DS2_en_csv_v2_4'!$B$6:$B$271,'[7]API_SP.RUR.TOTL_DS2_en_csv_v2_4'!$BM$6:$BM$271)</f>
        <v>22040</v>
      </c>
      <c r="P156" s="188">
        <f>_xlfn.XLOOKUP(D156,'[8]API_AG.PRD.FOOD.XD_DS2_en_csv_v'!$B$6:$B$271,'[8]API_AG.PRD.FOOD.XD_DS2_en_csv_v'!$BM$6:$BM$271)</f>
        <v>146.28</v>
      </c>
      <c r="Q156">
        <f>_xlfn.XLOOKUP(D156,'[9]API_NE.IMP.GNFS.ZS_DS2_en_csv_v'!$B$6:$B$271,'[9]API_NE.IMP.GNFS.ZS_DS2_en_csv_v'!$BK$6:$BK$271)</f>
        <v>35.896585807658198</v>
      </c>
      <c r="R156">
        <f>_xlfn.XLOOKUP(D156,'[10]API_NE.EXP.GNFS.ZS_DS2_en_csv_v'!$B$6:$B$271,'[10]API_NE.EXP.GNFS.ZS_DS2_en_csv_v'!$BL$6:$BL$271)</f>
        <v>52.347267875762697</v>
      </c>
      <c r="S156">
        <f>_xlfn.XLOOKUP(D156,'[11]API_EG.USE.ELEC.KH.PC_DS2_en_cs'!$B$6:$B$271,'[11]API_EG.USE.ELEC.KH.PC_DS2_en_cs'!$BG$6:$BG$271)</f>
        <v>14781.624282999101</v>
      </c>
      <c r="T156">
        <f>_xlfn.XLOOKUP(D156,'[12]API_EN.POP.DNST_DS2_en_csv_v2_4'!$B$6:$B$271,'[12]API_EN.POP.DNST_DS2_en_csv_v2_4'!$BM$6:$BM$271)</f>
        <v>250.74499564838999</v>
      </c>
    </row>
    <row r="157" spans="1:20" x14ac:dyDescent="0.2">
      <c r="A157" s="161" t="s">
        <v>154</v>
      </c>
      <c r="B157" s="161">
        <v>180</v>
      </c>
      <c r="C157" s="161" t="s">
        <v>699</v>
      </c>
      <c r="D157" t="str">
        <f>_xlfn.XLOOKUP(B157,'Country Code M49'!$B$2:$B$250,'Country Code M49'!$C$2:$C$250,,0)</f>
        <v>COD</v>
      </c>
      <c r="E157" s="162">
        <v>102.69433227860404</v>
      </c>
      <c r="F157" s="162">
        <v>8912902.7150594126</v>
      </c>
      <c r="G157" s="160" t="s">
        <v>877</v>
      </c>
      <c r="H157" s="188">
        <f>_xlfn.XLOOKUP(D157,'[1]World Population'!$C$2:$C$267,'[1]World Population'!$BN$2:$BN$267)</f>
        <v>89561404</v>
      </c>
      <c r="I157" s="188">
        <v>100</v>
      </c>
      <c r="J157" s="194">
        <f>_xlfn.XLOOKUP(D157,'[2]GDP 2015 Constant'!$B$6:$B$271,'[2]GDP 2015 Constant'!$BM$6:$BM$271)</f>
        <v>45259706748</v>
      </c>
      <c r="K157" s="193">
        <f t="shared" si="4"/>
        <v>505.34833897869669</v>
      </c>
      <c r="L157" s="194">
        <f>_xlfn.XLOOKUP(D157,'[5]Tourism Receipts'!$B$6:$B$271,'[5]Tourism Receipts'!$BK$6:$BK$271)</f>
        <v>60500000</v>
      </c>
      <c r="M157" s="195">
        <f t="shared" si="5"/>
        <v>1.3367298276335709E-3</v>
      </c>
      <c r="N157">
        <f>_xlfn.XLOOKUP(D157,'[6]API_NV.AGR.TOTL.ZS_DS2_en_csv_v'!$B$6:$B$271,'[6]API_NV.AGR.TOTL.ZS_DS2_en_csv_v'!$BL$6:$BL$271)</f>
        <v>19.434988706687999</v>
      </c>
      <c r="O157" s="188">
        <f>_xlfn.XLOOKUP(D157,'[7]API_SP.RUR.TOTL_DS2_en_csv_v2_4'!$B$6:$B$271,'[7]API_SP.RUR.TOTL_DS2_en_csv_v2_4'!$BM$6:$BM$271)</f>
        <v>48687370</v>
      </c>
      <c r="P157" s="188">
        <f>_xlfn.XLOOKUP(D157,'[8]API_AG.PRD.FOOD.XD_DS2_en_csv_v'!$B$6:$B$271,'[8]API_AG.PRD.FOOD.XD_DS2_en_csv_v'!$BM$6:$BM$271)</f>
        <v>110.46</v>
      </c>
      <c r="Q157">
        <f>_xlfn.XLOOKUP(D157,'[9]API_NE.IMP.GNFS.ZS_DS2_en_csv_v'!$B$6:$B$271,'[9]API_NE.IMP.GNFS.ZS_DS2_en_csv_v'!$BK$6:$BK$271)</f>
        <v>37.365984369307803</v>
      </c>
      <c r="R157">
        <f>_xlfn.XLOOKUP(D157,'[10]API_NE.EXP.GNFS.ZS_DS2_en_csv_v'!$B$6:$B$271,'[10]API_NE.EXP.GNFS.ZS_DS2_en_csv_v'!$BL$6:$BL$271)</f>
        <v>25.756238701931</v>
      </c>
      <c r="S157">
        <f>_xlfn.XLOOKUP(D157,'[11]API_EG.USE.ELEC.KH.PC_DS2_en_cs'!$B$6:$B$271,'[11]API_EG.USE.ELEC.KH.PC_DS2_en_cs'!$BG$6:$BG$271)</f>
        <v>108.51670408267501</v>
      </c>
      <c r="T157">
        <f>_xlfn.XLOOKUP(D157,'[12]API_EN.POP.DNST_DS2_en_csv_v2_4'!$B$6:$B$271,'[12]API_EN.POP.DNST_DS2_en_csv_v2_4'!$BM$6:$BM$271)</f>
        <v>39.5057030061093</v>
      </c>
    </row>
    <row r="158" spans="1:20" x14ac:dyDescent="0.2">
      <c r="A158" s="161" t="s">
        <v>152</v>
      </c>
      <c r="B158" s="161">
        <v>410</v>
      </c>
      <c r="C158" s="161" t="s">
        <v>699</v>
      </c>
      <c r="D158" t="str">
        <f>_xlfn.XLOOKUP(B158,'Country Code M49'!$B$2:$B$250,'Country Code M49'!$C$2:$C$250,,0)</f>
        <v>KOR</v>
      </c>
      <c r="E158" s="162">
        <v>71.405416561062623</v>
      </c>
      <c r="F158" s="162">
        <v>3657763.8849654011</v>
      </c>
      <c r="G158" s="160" t="s">
        <v>872</v>
      </c>
      <c r="H158" s="188">
        <f>_xlfn.XLOOKUP(D158,'[1]World Population'!$C$2:$C$267,'[1]World Population'!$BN$2:$BN$267)</f>
        <v>51836239</v>
      </c>
      <c r="I158" s="188">
        <v>96.704635620117202</v>
      </c>
      <c r="J158" s="194">
        <f>_xlfn.XLOOKUP(D158,'[2]GDP 2015 Constant'!$B$6:$B$271,'[2]GDP 2015 Constant'!$BM$6:$BM$271)</f>
        <v>1623900000000</v>
      </c>
      <c r="K158" s="193">
        <f t="shared" si="4"/>
        <v>31327.504296752701</v>
      </c>
      <c r="L158" s="194">
        <f>_xlfn.XLOOKUP(D158,'[5]Tourism Receipts'!$B$6:$B$271,'[5]Tourism Receipts'!$BK$6:$BK$271)</f>
        <v>23104000000</v>
      </c>
      <c r="M158" s="195">
        <f t="shared" si="5"/>
        <v>1.4227477061395407E-2</v>
      </c>
      <c r="N158">
        <f>_xlfn.XLOOKUP(D158,'[6]API_NV.AGR.TOTL.ZS_DS2_en_csv_v'!$B$6:$B$271,'[6]API_NV.AGR.TOTL.ZS_DS2_en_csv_v'!$BL$6:$BL$271)</f>
        <v>1.6679309789913499</v>
      </c>
      <c r="O158" s="188">
        <f>_xlfn.XLOOKUP(D158,'[7]API_SP.RUR.TOTL_DS2_en_csv_v2_4'!$B$6:$B$271,'[7]API_SP.RUR.TOTL_DS2_en_csv_v2_4'!$BM$6:$BM$271)</f>
        <v>9634283</v>
      </c>
      <c r="P158" s="188">
        <f>_xlfn.XLOOKUP(D158,'[8]API_AG.PRD.FOOD.XD_DS2_en_csv_v'!$B$6:$B$271,'[8]API_AG.PRD.FOOD.XD_DS2_en_csv_v'!$BM$6:$BM$271)</f>
        <v>98.38</v>
      </c>
      <c r="Q158">
        <f>_xlfn.XLOOKUP(D158,'[9]API_NE.IMP.GNFS.ZS_DS2_en_csv_v'!$B$6:$B$271,'[9]API_NE.IMP.GNFS.ZS_DS2_en_csv_v'!$BK$6:$BK$271)</f>
        <v>37.275574670346899</v>
      </c>
      <c r="R158">
        <f>_xlfn.XLOOKUP(D158,'[10]API_NE.EXP.GNFS.ZS_DS2_en_csv_v'!$B$6:$B$271,'[10]API_NE.EXP.GNFS.ZS_DS2_en_csv_v'!$BL$6:$BL$271)</f>
        <v>39.2758610673609</v>
      </c>
      <c r="S158">
        <f>_xlfn.XLOOKUP(D158,'[11]API_EG.USE.ELEC.KH.PC_DS2_en_cs'!$B$6:$B$271,'[11]API_EG.USE.ELEC.KH.PC_DS2_en_cs'!$BG$6:$BG$271)</f>
        <v>10496.5136719641</v>
      </c>
      <c r="T158">
        <f>_xlfn.XLOOKUP(D158,'[12]API_EN.POP.DNST_DS2_en_csv_v2_4'!$B$6:$B$271,'[12]API_EN.POP.DNST_DS2_en_csv_v2_4'!$BM$6:$BM$271)</f>
        <v>531.10900614754098</v>
      </c>
    </row>
    <row r="159" spans="1:20" x14ac:dyDescent="0.2">
      <c r="A159" s="161" t="s">
        <v>156</v>
      </c>
      <c r="B159" s="161">
        <v>498</v>
      </c>
      <c r="C159" s="161" t="s">
        <v>703</v>
      </c>
      <c r="D159" t="str">
        <f>_xlfn.XLOOKUP(B159,'Country Code M49'!$B$2:$B$250,'Country Code M49'!$C$2:$C$250,,0)</f>
        <v>MDA</v>
      </c>
      <c r="E159" s="162">
        <v>76.031595701726417</v>
      </c>
      <c r="F159" s="162">
        <v>307418.55090079043</v>
      </c>
      <c r="G159" s="160" t="s">
        <v>872</v>
      </c>
      <c r="H159" s="188">
        <f>_xlfn.XLOOKUP(D159,'[1]World Population'!$C$2:$C$267,'[1]World Population'!$BN$2:$BN$267)</f>
        <v>2620495</v>
      </c>
      <c r="I159" s="188">
        <v>100</v>
      </c>
      <c r="J159" s="194">
        <f>_xlfn.XLOOKUP(D159,'[2]GDP 2015 Constant'!$B$6:$B$271,'[2]GDP 2015 Constant'!$BM$6:$BM$271)</f>
        <v>8479779802</v>
      </c>
      <c r="K159" s="193">
        <f t="shared" si="4"/>
        <v>3235.9458048956399</v>
      </c>
      <c r="L159" s="194">
        <f>_xlfn.XLOOKUP(D159,'[5]Tourism Receipts'!$B$6:$B$271,'[5]Tourism Receipts'!$BK$6:$BK$271)</f>
        <v>500000000</v>
      </c>
      <c r="M159" s="195">
        <f t="shared" si="5"/>
        <v>5.8963795248795539E-2</v>
      </c>
      <c r="N159">
        <f>_xlfn.XLOOKUP(D159,'[6]API_NV.AGR.TOTL.ZS_DS2_en_csv_v'!$B$6:$B$271,'[6]API_NV.AGR.TOTL.ZS_DS2_en_csv_v'!$BL$6:$BL$271)</f>
        <v>10.1711187074227</v>
      </c>
      <c r="O159" s="188">
        <f>_xlfn.XLOOKUP(D159,'[7]API_SP.RUR.TOTL_DS2_en_csv_v2_4'!$B$6:$B$271,'[7]API_SP.RUR.TOTL_DS2_en_csv_v2_4'!$BM$6:$BM$271)</f>
        <v>1497639</v>
      </c>
      <c r="P159" s="188">
        <f>_xlfn.XLOOKUP(D159,'[8]API_AG.PRD.FOOD.XD_DS2_en_csv_v'!$B$6:$B$271,'[8]API_AG.PRD.FOOD.XD_DS2_en_csv_v'!$BM$6:$BM$271)</f>
        <v>81.83</v>
      </c>
      <c r="Q159">
        <f>_xlfn.XLOOKUP(D159,'[9]API_NE.IMP.GNFS.ZS_DS2_en_csv_v'!$B$6:$B$271,'[9]API_NE.IMP.GNFS.ZS_DS2_en_csv_v'!$BK$6:$BK$271)</f>
        <v>55.727520326822201</v>
      </c>
      <c r="R159">
        <f>_xlfn.XLOOKUP(D159,'[10]API_NE.EXP.GNFS.ZS_DS2_en_csv_v'!$B$6:$B$271,'[10]API_NE.EXP.GNFS.ZS_DS2_en_csv_v'!$BL$6:$BL$271)</f>
        <v>30.564727992866601</v>
      </c>
      <c r="S159">
        <f>_xlfn.XLOOKUP(D159,'[11]API_EG.USE.ELEC.KH.PC_DS2_en_cs'!$B$6:$B$271,'[11]API_EG.USE.ELEC.KH.PC_DS2_en_cs'!$BG$6:$BG$271)</f>
        <v>1725.6164791123399</v>
      </c>
      <c r="T159">
        <f>_xlfn.XLOOKUP(D159,'[12]API_EN.POP.DNST_DS2_en_csv_v2_4'!$B$6:$B$271,'[12]API_EN.POP.DNST_DS2_en_csv_v2_4'!$BM$6:$BM$271)</f>
        <v>91.237779232354796</v>
      </c>
    </row>
    <row r="160" spans="1:20" x14ac:dyDescent="0.2">
      <c r="A160" s="161" t="s">
        <v>156</v>
      </c>
      <c r="B160" s="161">
        <v>642</v>
      </c>
      <c r="C160" s="161" t="s">
        <v>704</v>
      </c>
      <c r="D160" t="str">
        <f>_xlfn.XLOOKUP(B160,'Country Code M49'!$B$2:$B$250,'Country Code M49'!$C$2:$C$250,,0)</f>
        <v>ROU</v>
      </c>
      <c r="E160" s="162">
        <v>69.868672442313738</v>
      </c>
      <c r="F160" s="162">
        <v>1352978.8943764286</v>
      </c>
      <c r="G160" s="160" t="s">
        <v>872</v>
      </c>
      <c r="H160" s="188">
        <f>_xlfn.XLOOKUP(D160,'[1]World Population'!$C$2:$C$267,'[1]World Population'!$BN$2:$BN$267)</f>
        <v>19257520</v>
      </c>
      <c r="I160" s="188">
        <v>100</v>
      </c>
      <c r="J160" s="194">
        <f>_xlfn.XLOOKUP(D160,'[2]GDP 2015 Constant'!$B$6:$B$271,'[2]GDP 2015 Constant'!$BM$6:$BM$271)</f>
        <v>209236000000</v>
      </c>
      <c r="K160" s="193">
        <f t="shared" si="4"/>
        <v>10865.15813043424</v>
      </c>
      <c r="L160" s="194">
        <f>_xlfn.XLOOKUP(D160,'[5]Tourism Receipts'!$B$6:$B$271,'[5]Tourism Receipts'!$BK$6:$BK$271)</f>
        <v>3879000000</v>
      </c>
      <c r="M160" s="195">
        <f t="shared" si="5"/>
        <v>1.8538874763425032E-2</v>
      </c>
      <c r="N160">
        <f>_xlfn.XLOOKUP(D160,'[6]API_NV.AGR.TOTL.ZS_DS2_en_csv_v'!$B$6:$B$271,'[6]API_NV.AGR.TOTL.ZS_DS2_en_csv_v'!$BL$6:$BL$271)</f>
        <v>4.123626546923</v>
      </c>
      <c r="O160" s="188">
        <f>_xlfn.XLOOKUP(D160,'[7]API_SP.RUR.TOTL_DS2_en_csv_v2_4'!$B$6:$B$271,'[7]API_SP.RUR.TOTL_DS2_en_csv_v2_4'!$BM$6:$BM$271)</f>
        <v>8821100</v>
      </c>
      <c r="P160" s="188">
        <f>_xlfn.XLOOKUP(D160,'[8]API_AG.PRD.FOOD.XD_DS2_en_csv_v'!$B$6:$B$271,'[8]API_AG.PRD.FOOD.XD_DS2_en_csv_v'!$BM$6:$BM$271)</f>
        <v>90.99</v>
      </c>
      <c r="Q160">
        <f>_xlfn.XLOOKUP(D160,'[9]API_NE.IMP.GNFS.ZS_DS2_en_csv_v'!$B$6:$B$271,'[9]API_NE.IMP.GNFS.ZS_DS2_en_csv_v'!$BK$6:$BK$271)</f>
        <v>45.274960243388698</v>
      </c>
      <c r="R160">
        <f>_xlfn.XLOOKUP(D160,'[10]API_NE.EXP.GNFS.ZS_DS2_en_csv_v'!$B$6:$B$271,'[10]API_NE.EXP.GNFS.ZS_DS2_en_csv_v'!$BL$6:$BL$271)</f>
        <v>40.383222162751601</v>
      </c>
      <c r="S160">
        <f>_xlfn.XLOOKUP(D160,'[11]API_EG.USE.ELEC.KH.PC_DS2_en_cs'!$B$6:$B$271,'[11]API_EG.USE.ELEC.KH.PC_DS2_en_cs'!$BG$6:$BG$271)</f>
        <v>2584.4117872644301</v>
      </c>
      <c r="T160">
        <f>_xlfn.XLOOKUP(D160,'[12]API_EN.POP.DNST_DS2_en_csv_v2_4'!$B$6:$B$271,'[12]API_EN.POP.DNST_DS2_en_csv_v2_4'!$BM$6:$BM$271)</f>
        <v>83.699235048678702</v>
      </c>
    </row>
    <row r="161" spans="1:20" x14ac:dyDescent="0.2">
      <c r="A161" s="161" t="s">
        <v>156</v>
      </c>
      <c r="B161" s="161">
        <v>643</v>
      </c>
      <c r="C161" s="161" t="s">
        <v>130</v>
      </c>
      <c r="D161" t="str">
        <f>_xlfn.XLOOKUP(B161,'Country Code M49'!$B$2:$B$250,'Country Code M49'!$C$2:$C$250,,0)</f>
        <v>RUS</v>
      </c>
      <c r="E161" s="162">
        <v>33.375520645851665</v>
      </c>
      <c r="F161" s="162">
        <v>4868563.9603078682</v>
      </c>
      <c r="G161" s="160" t="s">
        <v>873</v>
      </c>
      <c r="H161" s="188">
        <f>_xlfn.XLOOKUP(D161,'[1]World Population'!$C$2:$C$267,'[1]World Population'!$BN$2:$BN$267)</f>
        <v>144073139</v>
      </c>
      <c r="I161" s="188">
        <v>100</v>
      </c>
      <c r="J161" s="194">
        <f>_xlfn.XLOOKUP(D161,'[2]GDP 2015 Constant'!$B$6:$B$271,'[2]GDP 2015 Constant'!$BM$6:$BM$271)</f>
        <v>1422330000000</v>
      </c>
      <c r="K161" s="193">
        <f t="shared" si="4"/>
        <v>9872.2774409739213</v>
      </c>
      <c r="L161" s="194">
        <f>_xlfn.XLOOKUP(D161,'[5]Tourism Receipts'!$B$6:$B$271,'[5]Tourism Receipts'!$BK$6:$BK$271)</f>
        <v>18735000000</v>
      </c>
      <c r="M161" s="195">
        <f t="shared" si="5"/>
        <v>1.3172048680685916E-2</v>
      </c>
      <c r="N161">
        <f>_xlfn.XLOOKUP(D161,'[6]API_NV.AGR.TOTL.ZS_DS2_en_csv_v'!$B$6:$B$271,'[6]API_NV.AGR.TOTL.ZS_DS2_en_csv_v'!$BL$6:$BL$271)</f>
        <v>3.53030291392166</v>
      </c>
      <c r="O161" s="188">
        <f>_xlfn.XLOOKUP(D161,'[7]API_SP.RUR.TOTL_DS2_en_csv_v2_4'!$B$6:$B$271,'[7]API_SP.RUR.TOTL_DS2_en_csv_v2_4'!$BM$6:$BM$271)</f>
        <v>36372705</v>
      </c>
      <c r="P161" s="188">
        <f>_xlfn.XLOOKUP(D161,'[8]API_AG.PRD.FOOD.XD_DS2_en_csv_v'!$B$6:$B$271,'[8]API_AG.PRD.FOOD.XD_DS2_en_csv_v'!$BM$6:$BM$271)</f>
        <v>111.93</v>
      </c>
      <c r="Q161">
        <f>_xlfn.XLOOKUP(D161,'[9]API_NE.IMP.GNFS.ZS_DS2_en_csv_v'!$B$6:$B$271,'[9]API_NE.IMP.GNFS.ZS_DS2_en_csv_v'!$BK$6:$BK$271)</f>
        <v>20.7876435683221</v>
      </c>
      <c r="R161">
        <f>_xlfn.XLOOKUP(D161,'[10]API_NE.EXP.GNFS.ZS_DS2_en_csv_v'!$B$6:$B$271,'[10]API_NE.EXP.GNFS.ZS_DS2_en_csv_v'!$BL$6:$BL$271)</f>
        <v>28.433430679975899</v>
      </c>
      <c r="S161">
        <f>_xlfn.XLOOKUP(D161,'[11]API_EG.USE.ELEC.KH.PC_DS2_en_cs'!$B$6:$B$271,'[11]API_EG.USE.ELEC.KH.PC_DS2_en_cs'!$BG$6:$BG$271)</f>
        <v>6602.6574793835398</v>
      </c>
      <c r="T161">
        <f>_xlfn.XLOOKUP(D161,'[12]API_EN.POP.DNST_DS2_en_csv_v2_4'!$B$6:$B$271,'[12]API_EN.POP.DNST_DS2_en_csv_v2_4'!$BM$6:$BM$271)</f>
        <v>8.7973549890791105</v>
      </c>
    </row>
    <row r="162" spans="1:20" x14ac:dyDescent="0.2">
      <c r="A162" s="161" t="s">
        <v>154</v>
      </c>
      <c r="B162" s="161">
        <v>646</v>
      </c>
      <c r="C162" s="161" t="s">
        <v>131</v>
      </c>
      <c r="D162" t="str">
        <f>_xlfn.XLOOKUP(B162,'Country Code M49'!$B$2:$B$250,'Country Code M49'!$C$2:$C$250,,0)</f>
        <v>RWA</v>
      </c>
      <c r="E162" s="162">
        <v>164.36250000000001</v>
      </c>
      <c r="F162" s="162">
        <v>2075405.2875000003</v>
      </c>
      <c r="G162" s="160" t="s">
        <v>873</v>
      </c>
      <c r="H162" s="188">
        <f>_xlfn.XLOOKUP(D162,'[1]World Population'!$C$2:$C$267,'[1]World Population'!$BN$2:$BN$267)</f>
        <v>12952209</v>
      </c>
      <c r="I162" s="188">
        <v>100</v>
      </c>
      <c r="J162" s="194">
        <f>_xlfn.XLOOKUP(D162,'[2]GDP 2015 Constant'!$B$6:$B$271,'[2]GDP 2015 Constant'!$BM$6:$BM$271)</f>
        <v>10807279944</v>
      </c>
      <c r="K162" s="193">
        <f t="shared" si="4"/>
        <v>834.39666114096826</v>
      </c>
      <c r="L162" s="194">
        <f>_xlfn.XLOOKUP(D162,'[5]Tourism Receipts'!$B$6:$B$271,'[5]Tourism Receipts'!$BK$6:$BK$271)</f>
        <v>547000000</v>
      </c>
      <c r="M162" s="195">
        <f t="shared" si="5"/>
        <v>5.0614030804641476E-2</v>
      </c>
      <c r="N162">
        <f>_xlfn.XLOOKUP(D162,'[6]API_NV.AGR.TOTL.ZS_DS2_en_csv_v'!$B$6:$B$271,'[6]API_NV.AGR.TOTL.ZS_DS2_en_csv_v'!$BL$6:$BL$271)</f>
        <v>23.545797022278801</v>
      </c>
      <c r="O162" s="188">
        <f>_xlfn.XLOOKUP(D162,'[7]API_SP.RUR.TOTL_DS2_en_csv_v2_4'!$B$6:$B$271,'[7]API_SP.RUR.TOTL_DS2_en_csv_v2_4'!$BM$6:$BM$271)</f>
        <v>10694380</v>
      </c>
      <c r="P162" s="188">
        <f>_xlfn.XLOOKUP(D162,'[8]API_AG.PRD.FOOD.XD_DS2_en_csv_v'!$B$6:$B$271,'[8]API_AG.PRD.FOOD.XD_DS2_en_csv_v'!$BM$6:$BM$271)</f>
        <v>111.81</v>
      </c>
      <c r="Q162">
        <f>_xlfn.XLOOKUP(D162,'[9]API_NE.IMP.GNFS.ZS_DS2_en_csv_v'!$B$6:$B$271,'[9]API_NE.IMP.GNFS.ZS_DS2_en_csv_v'!$BK$6:$BK$271)</f>
        <v>34.659802997503803</v>
      </c>
      <c r="R162">
        <f>_xlfn.XLOOKUP(D162,'[10]API_NE.EXP.GNFS.ZS_DS2_en_csv_v'!$B$6:$B$271,'[10]API_NE.EXP.GNFS.ZS_DS2_en_csv_v'!$BL$6:$BL$271)</f>
        <v>21.810639675807298</v>
      </c>
      <c r="S162">
        <f>_xlfn.XLOOKUP(D162,'[11]API_EG.USE.ELEC.KH.PC_DS2_en_cs'!$B$6:$B$271,'[11]API_EG.USE.ELEC.KH.PC_DS2_en_cs'!$BG$6:$BG$271)</f>
        <v>0</v>
      </c>
      <c r="T162">
        <f>_xlfn.XLOOKUP(D162,'[12]API_EN.POP.DNST_DS2_en_csv_v2_4'!$B$6:$B$271,'[12]API_EN.POP.DNST_DS2_en_csv_v2_4'!$BM$6:$BM$271)</f>
        <v>525.01860559383897</v>
      </c>
    </row>
    <row r="163" spans="1:20" x14ac:dyDescent="0.2">
      <c r="A163" s="161" t="s">
        <v>150</v>
      </c>
      <c r="B163" s="161">
        <v>659</v>
      </c>
      <c r="C163" s="161" t="s">
        <v>741</v>
      </c>
      <c r="D163" t="str">
        <f>_xlfn.XLOOKUP(B163,'Country Code M49'!$B$2:$B$250,'Country Code M49'!$C$2:$C$250,,0)</f>
        <v>KNA</v>
      </c>
      <c r="E163" s="162">
        <v>73.920769675063781</v>
      </c>
      <c r="F163" s="162">
        <v>3903.0166388433677</v>
      </c>
      <c r="G163" s="160" t="s">
        <v>872</v>
      </c>
      <c r="H163" s="188">
        <f>_xlfn.XLOOKUP(D163,'[1]World Population'!$C$2:$C$267,'[1]World Population'!$BN$2:$BN$267)</f>
        <v>53192</v>
      </c>
      <c r="I163" s="188">
        <v>100</v>
      </c>
      <c r="J163" s="194">
        <f>_xlfn.XLOOKUP(D163,'[2]GDP 2015 Constant'!$B$6:$B$271,'[2]GDP 2015 Constant'!$BM$6:$BM$271)</f>
        <v>925775566.39999998</v>
      </c>
      <c r="K163" s="193">
        <f t="shared" si="4"/>
        <v>17404.413565949766</v>
      </c>
      <c r="L163" s="194">
        <f>_xlfn.XLOOKUP(D163,'[5]Tourism Receipts'!$B$6:$B$271,'[5]Tourism Receipts'!$BK$6:$BK$271)</f>
        <v>367000000</v>
      </c>
      <c r="M163" s="195">
        <f t="shared" si="5"/>
        <v>0.39642437467552505</v>
      </c>
      <c r="N163">
        <f>_xlfn.XLOOKUP(D163,'[6]API_NV.AGR.TOTL.ZS_DS2_en_csv_v'!$B$6:$B$271,'[6]API_NV.AGR.TOTL.ZS_DS2_en_csv_v'!$BL$6:$BL$271)</f>
        <v>0.97005879045909804</v>
      </c>
      <c r="O163" s="188">
        <f>_xlfn.XLOOKUP(D163,'[7]API_SP.RUR.TOTL_DS2_en_csv_v2_4'!$B$6:$B$271,'[7]API_SP.RUR.TOTL_DS2_en_csv_v2_4'!$BM$6:$BM$271)</f>
        <v>36786</v>
      </c>
      <c r="P163" s="188">
        <f>_xlfn.XLOOKUP(D163,'[8]API_AG.PRD.FOOD.XD_DS2_en_csv_v'!$B$6:$B$271,'[8]API_AG.PRD.FOOD.XD_DS2_en_csv_v'!$BM$6:$BM$271)</f>
        <v>91.08</v>
      </c>
      <c r="Q163">
        <f>_xlfn.XLOOKUP(D163,'[9]API_NE.IMP.GNFS.ZS_DS2_en_csv_v'!$B$6:$B$271,'[9]API_NE.IMP.GNFS.ZS_DS2_en_csv_v'!$BK$6:$BK$271)</f>
        <v>0</v>
      </c>
      <c r="R163">
        <f>_xlfn.XLOOKUP(D163,'[10]API_NE.EXP.GNFS.ZS_DS2_en_csv_v'!$B$6:$B$271,'[10]API_NE.EXP.GNFS.ZS_DS2_en_csv_v'!$BL$6:$BL$271)</f>
        <v>0</v>
      </c>
      <c r="S163">
        <f>_xlfn.XLOOKUP(D163,'[11]API_EG.USE.ELEC.KH.PC_DS2_en_cs'!$B$6:$B$271,'[11]API_EG.USE.ELEC.KH.PC_DS2_en_cs'!$BG$6:$BG$271)</f>
        <v>0</v>
      </c>
      <c r="T163">
        <f>_xlfn.XLOOKUP(D163,'[12]API_EN.POP.DNST_DS2_en_csv_v2_4'!$B$6:$B$271,'[12]API_EN.POP.DNST_DS2_en_csv_v2_4'!$BM$6:$BM$271)</f>
        <v>204.58461538461501</v>
      </c>
    </row>
    <row r="164" spans="1:20" x14ac:dyDescent="0.2">
      <c r="A164" s="161" t="s">
        <v>150</v>
      </c>
      <c r="B164" s="161">
        <v>662</v>
      </c>
      <c r="C164" s="161" t="s">
        <v>742</v>
      </c>
      <c r="D164" t="str">
        <f>_xlfn.XLOOKUP(B164,'Country Code M49'!$B$2:$B$250,'Country Code M49'!$C$2:$C$250,,0)</f>
        <v>LCA</v>
      </c>
      <c r="E164" s="162">
        <v>72.432162730095172</v>
      </c>
      <c r="F164" s="162">
        <v>13240.599347061398</v>
      </c>
      <c r="G164" s="160" t="s">
        <v>872</v>
      </c>
      <c r="H164" s="188">
        <f>_xlfn.XLOOKUP(D164,'[1]World Population'!$C$2:$C$267,'[1]World Population'!$BN$2:$BN$267)</f>
        <v>183629</v>
      </c>
      <c r="I164" s="188">
        <v>100</v>
      </c>
      <c r="J164" s="194">
        <f>_xlfn.XLOOKUP(D164,'[2]GDP 2015 Constant'!$B$6:$B$271,'[2]GDP 2015 Constant'!$BM$6:$BM$271)</f>
        <v>1588638627</v>
      </c>
      <c r="K164" s="193">
        <f t="shared" si="4"/>
        <v>8651.3493348000593</v>
      </c>
      <c r="L164" s="194">
        <f>_xlfn.XLOOKUP(D164,'[5]Tourism Receipts'!$B$6:$B$271,'[5]Tourism Receipts'!$BK$6:$BK$271)</f>
        <v>989000000</v>
      </c>
      <c r="M164" s="195">
        <f t="shared" si="5"/>
        <v>0.62254560803902703</v>
      </c>
      <c r="N164">
        <f>_xlfn.XLOOKUP(D164,'[6]API_NV.AGR.TOTL.ZS_DS2_en_csv_v'!$B$6:$B$271,'[6]API_NV.AGR.TOTL.ZS_DS2_en_csv_v'!$BL$6:$BL$271)</f>
        <v>2.1007234835159498</v>
      </c>
      <c r="O164" s="188">
        <f>_xlfn.XLOOKUP(D164,'[7]API_SP.RUR.TOTL_DS2_en_csv_v2_4'!$B$6:$B$271,'[7]API_SP.RUR.TOTL_DS2_en_csv_v2_4'!$BM$6:$BM$271)</f>
        <v>149031</v>
      </c>
      <c r="P164" s="188">
        <f>_xlfn.XLOOKUP(D164,'[8]API_AG.PRD.FOOD.XD_DS2_en_csv_v'!$B$6:$B$271,'[8]API_AG.PRD.FOOD.XD_DS2_en_csv_v'!$BM$6:$BM$271)</f>
        <v>86.39</v>
      </c>
      <c r="Q164">
        <f>_xlfn.XLOOKUP(D164,'[9]API_NE.IMP.GNFS.ZS_DS2_en_csv_v'!$B$6:$B$271,'[9]API_NE.IMP.GNFS.ZS_DS2_en_csv_v'!$BK$6:$BK$271)</f>
        <v>0</v>
      </c>
      <c r="R164">
        <f>_xlfn.XLOOKUP(D164,'[10]API_NE.EXP.GNFS.ZS_DS2_en_csv_v'!$B$6:$B$271,'[10]API_NE.EXP.GNFS.ZS_DS2_en_csv_v'!$BL$6:$BL$271)</f>
        <v>0</v>
      </c>
      <c r="S164">
        <f>_xlfn.XLOOKUP(D164,'[11]API_EG.USE.ELEC.KH.PC_DS2_en_cs'!$B$6:$B$271,'[11]API_EG.USE.ELEC.KH.PC_DS2_en_cs'!$BG$6:$BG$271)</f>
        <v>0</v>
      </c>
      <c r="T164">
        <f>_xlfn.XLOOKUP(D164,'[12]API_EN.POP.DNST_DS2_en_csv_v2_4'!$B$6:$B$271,'[12]API_EN.POP.DNST_DS2_en_csv_v2_4'!$BM$6:$BM$271)</f>
        <v>301.03114754098402</v>
      </c>
    </row>
    <row r="165" spans="1:20" x14ac:dyDescent="0.2">
      <c r="A165" s="161" t="s">
        <v>150</v>
      </c>
      <c r="B165" s="161">
        <v>663</v>
      </c>
      <c r="C165" s="161" t="s">
        <v>743</v>
      </c>
      <c r="D165" t="str">
        <f>_xlfn.XLOOKUP(B165,'Country Code M49'!$B$2:$B$250,'Country Code M49'!$C$2:$C$250,,0)</f>
        <v>MAF</v>
      </c>
      <c r="E165" s="162">
        <v>73.920769675063781</v>
      </c>
      <c r="F165" s="162">
        <v>2808.9892476524237</v>
      </c>
      <c r="G165" s="160" t="s">
        <v>872</v>
      </c>
      <c r="H165" s="188">
        <f>_xlfn.XLOOKUP(D165,'[1]World Population'!$C$2:$C$267,'[1]World Population'!$BN$2:$BN$267)</f>
        <v>38659</v>
      </c>
      <c r="I165" s="188">
        <v>100</v>
      </c>
      <c r="J165" s="194" t="e">
        <f>_xlfn.XLOOKUP(D165,'[2]GDP 2015 Constant'!$B$6:$B$271,'[2]GDP 2015 Constant'!$BM$6:$BM$271)</f>
        <v>#REF!</v>
      </c>
      <c r="K165" s="193" t="e">
        <f t="shared" si="4"/>
        <v>#REF!</v>
      </c>
      <c r="L165" s="194">
        <f>_xlfn.XLOOKUP(D165,'[5]Tourism Receipts'!$B$6:$B$271,'[5]Tourism Receipts'!$BK$6:$BK$271)</f>
        <v>0</v>
      </c>
      <c r="M165" s="195" t="e">
        <f t="shared" si="5"/>
        <v>#REF!</v>
      </c>
      <c r="N165">
        <f>_xlfn.XLOOKUP(D165,'[6]API_NV.AGR.TOTL.ZS_DS2_en_csv_v'!$B$6:$B$271,'[6]API_NV.AGR.TOTL.ZS_DS2_en_csv_v'!$BL$6:$BL$271)</f>
        <v>0</v>
      </c>
      <c r="O165" s="188" t="e">
        <f>_xlfn.XLOOKUP(D165,'[7]API_SP.RUR.TOTL_DS2_en_csv_v2_4'!$B$6:$B$271,'[7]API_SP.RUR.TOTL_DS2_en_csv_v2_4'!$BM$6:$BM$271)</f>
        <v>#REF!</v>
      </c>
      <c r="P165" s="188">
        <f>_xlfn.XLOOKUP(D165,'[8]API_AG.PRD.FOOD.XD_DS2_en_csv_v'!$B$6:$B$271,'[8]API_AG.PRD.FOOD.XD_DS2_en_csv_v'!$BM$6:$BM$271)</f>
        <v>0</v>
      </c>
      <c r="Q165">
        <f>_xlfn.XLOOKUP(D165,'[9]API_NE.IMP.GNFS.ZS_DS2_en_csv_v'!$B$6:$B$271,'[9]API_NE.IMP.GNFS.ZS_DS2_en_csv_v'!$BK$6:$BK$271)</f>
        <v>0</v>
      </c>
      <c r="R165">
        <f>_xlfn.XLOOKUP(D165,'[10]API_NE.EXP.GNFS.ZS_DS2_en_csv_v'!$B$6:$B$271,'[10]API_NE.EXP.GNFS.ZS_DS2_en_csv_v'!$BL$6:$BL$271)</f>
        <v>0</v>
      </c>
      <c r="S165">
        <f>_xlfn.XLOOKUP(D165,'[11]API_EG.USE.ELEC.KH.PC_DS2_en_cs'!$B$6:$B$271,'[11]API_EG.USE.ELEC.KH.PC_DS2_en_cs'!$BG$6:$BG$271)</f>
        <v>0</v>
      </c>
      <c r="T165">
        <f>_xlfn.XLOOKUP(D165,'[12]API_EN.POP.DNST_DS2_en_csv_v2_4'!$B$6:$B$271,'[12]API_EN.POP.DNST_DS2_en_csv_v2_4'!$BM$6:$BM$271)</f>
        <v>773.18</v>
      </c>
    </row>
    <row r="166" spans="1:20" x14ac:dyDescent="0.2">
      <c r="A166" s="161" t="s">
        <v>150</v>
      </c>
      <c r="B166" s="161">
        <v>670</v>
      </c>
      <c r="C166" s="161" t="s">
        <v>744</v>
      </c>
      <c r="D166" t="str">
        <f>_xlfn.XLOOKUP(B166,'Country Code M49'!$B$2:$B$250,'Country Code M49'!$C$2:$C$250,,0)</f>
        <v>VCT</v>
      </c>
      <c r="E166" s="162">
        <v>72.432162730095172</v>
      </c>
      <c r="F166" s="162">
        <v>8010.9971979485254</v>
      </c>
      <c r="G166" s="160" t="s">
        <v>872</v>
      </c>
      <c r="H166" s="188">
        <f>_xlfn.XLOOKUP(D166,'[1]World Population'!$C$2:$C$267,'[1]World Population'!$BN$2:$BN$267)</f>
        <v>110947</v>
      </c>
      <c r="I166" s="188">
        <v>100</v>
      </c>
      <c r="J166" s="194">
        <f>_xlfn.XLOOKUP(D166,'[2]GDP 2015 Constant'!$B$6:$B$271,'[2]GDP 2015 Constant'!$BM$6:$BM$271)</f>
        <v>815975930.89999998</v>
      </c>
      <c r="K166" s="193">
        <f t="shared" si="4"/>
        <v>7354.6461905234028</v>
      </c>
      <c r="L166" s="194">
        <f>_xlfn.XLOOKUP(D166,'[5]Tourism Receipts'!$B$6:$B$271,'[5]Tourism Receipts'!$BK$6:$BK$271)</f>
        <v>231000000</v>
      </c>
      <c r="M166" s="195">
        <f t="shared" si="5"/>
        <v>0.2830965856372909</v>
      </c>
      <c r="N166">
        <f>_xlfn.XLOOKUP(D166,'[6]API_NV.AGR.TOTL.ZS_DS2_en_csv_v'!$B$6:$B$271,'[6]API_NV.AGR.TOTL.ZS_DS2_en_csv_v'!$BL$6:$BL$271)</f>
        <v>7.0057710857975799</v>
      </c>
      <c r="O166" s="188">
        <f>_xlfn.XLOOKUP(D166,'[7]API_SP.RUR.TOTL_DS2_en_csv_v2_4'!$B$6:$B$271,'[7]API_SP.RUR.TOTL_DS2_en_csv_v2_4'!$BM$6:$BM$271)</f>
        <v>52110</v>
      </c>
      <c r="P166" s="188">
        <f>_xlfn.XLOOKUP(D166,'[8]API_AG.PRD.FOOD.XD_DS2_en_csv_v'!$B$6:$B$271,'[8]API_AG.PRD.FOOD.XD_DS2_en_csv_v'!$BM$6:$BM$271)</f>
        <v>105.72</v>
      </c>
      <c r="Q166">
        <f>_xlfn.XLOOKUP(D166,'[9]API_NE.IMP.GNFS.ZS_DS2_en_csv_v'!$B$6:$B$271,'[9]API_NE.IMP.GNFS.ZS_DS2_en_csv_v'!$BK$6:$BK$271)</f>
        <v>0</v>
      </c>
      <c r="R166">
        <f>_xlfn.XLOOKUP(D166,'[10]API_NE.EXP.GNFS.ZS_DS2_en_csv_v'!$B$6:$B$271,'[10]API_NE.EXP.GNFS.ZS_DS2_en_csv_v'!$BL$6:$BL$271)</f>
        <v>0</v>
      </c>
      <c r="S166">
        <f>_xlfn.XLOOKUP(D166,'[11]API_EG.USE.ELEC.KH.PC_DS2_en_cs'!$B$6:$B$271,'[11]API_EG.USE.ELEC.KH.PC_DS2_en_cs'!$BG$6:$BG$271)</f>
        <v>0</v>
      </c>
      <c r="T166">
        <f>_xlfn.XLOOKUP(D166,'[12]API_EN.POP.DNST_DS2_en_csv_v2_4'!$B$6:$B$271,'[12]API_EN.POP.DNST_DS2_en_csv_v2_4'!$BM$6:$BM$271)</f>
        <v>284.47948717948702</v>
      </c>
    </row>
    <row r="167" spans="1:20" x14ac:dyDescent="0.2">
      <c r="A167" s="161" t="s">
        <v>878</v>
      </c>
      <c r="B167" s="161">
        <v>882</v>
      </c>
      <c r="C167" s="161" t="s">
        <v>784</v>
      </c>
      <c r="D167" t="str">
        <f>_xlfn.XLOOKUP(B167,'Country Code M49'!$B$2:$B$250,'Country Code M49'!$C$2:$C$250,,0)</f>
        <v>WSM</v>
      </c>
      <c r="E167" s="162">
        <v>75.713119146168523</v>
      </c>
      <c r="F167" s="162">
        <v>14923.055783709817</v>
      </c>
      <c r="G167" s="160" t="s">
        <v>872</v>
      </c>
      <c r="H167" s="188">
        <f>_xlfn.XLOOKUP(D167,'[1]World Population'!$C$2:$C$267,'[1]World Population'!$BN$2:$BN$267)</f>
        <v>198410</v>
      </c>
      <c r="I167" s="188">
        <v>100</v>
      </c>
      <c r="J167" s="194">
        <f>_xlfn.XLOOKUP(D167,'[2]GDP 2015 Constant'!$B$6:$B$271,'[2]GDP 2015 Constant'!$BM$6:$BM$271)</f>
        <v>864892729.39999998</v>
      </c>
      <c r="K167" s="193">
        <f t="shared" si="4"/>
        <v>4359.1186401895066</v>
      </c>
      <c r="L167" s="194">
        <f>_xlfn.XLOOKUP(D167,'[5]Tourism Receipts'!$B$6:$B$271,'[5]Tourism Receipts'!$BK$6:$BK$271)</f>
        <v>192300003.09999999</v>
      </c>
      <c r="M167" s="195">
        <f t="shared" si="5"/>
        <v>0.22233971516144416</v>
      </c>
      <c r="N167">
        <f>_xlfn.XLOOKUP(D167,'[6]API_NV.AGR.TOTL.ZS_DS2_en_csv_v'!$B$6:$B$271,'[6]API_NV.AGR.TOTL.ZS_DS2_en_csv_v'!$BL$6:$BL$271)</f>
        <v>9.7287015525197198</v>
      </c>
      <c r="O167" s="188">
        <f>_xlfn.XLOOKUP(D167,'[7]API_SP.RUR.TOTL_DS2_en_csv_v2_4'!$B$6:$B$271,'[7]API_SP.RUR.TOTL_DS2_en_csv_v2_4'!$BM$6:$BM$271)</f>
        <v>162916</v>
      </c>
      <c r="P167" s="188">
        <f>_xlfn.XLOOKUP(D167,'[8]API_AG.PRD.FOOD.XD_DS2_en_csv_v'!$B$6:$B$271,'[8]API_AG.PRD.FOOD.XD_DS2_en_csv_v'!$BM$6:$BM$271)</f>
        <v>94.47</v>
      </c>
      <c r="Q167">
        <f>_xlfn.XLOOKUP(D167,'[9]API_NE.IMP.GNFS.ZS_DS2_en_csv_v'!$B$6:$B$271,'[9]API_NE.IMP.GNFS.ZS_DS2_en_csv_v'!$BK$6:$BK$271)</f>
        <v>50.237585012421803</v>
      </c>
      <c r="R167">
        <f>_xlfn.XLOOKUP(D167,'[10]API_NE.EXP.GNFS.ZS_DS2_en_csv_v'!$B$6:$B$271,'[10]API_NE.EXP.GNFS.ZS_DS2_en_csv_v'!$BL$6:$BL$271)</f>
        <v>37.723340195303898</v>
      </c>
      <c r="S167">
        <f>_xlfn.XLOOKUP(D167,'[11]API_EG.USE.ELEC.KH.PC_DS2_en_cs'!$B$6:$B$271,'[11]API_EG.USE.ELEC.KH.PC_DS2_en_cs'!$BG$6:$BG$271)</f>
        <v>0</v>
      </c>
      <c r="T167">
        <f>_xlfn.XLOOKUP(D167,'[12]API_EN.POP.DNST_DS2_en_csv_v2_4'!$B$6:$B$271,'[12]API_EN.POP.DNST_DS2_en_csv_v2_4'!$BM$6:$BM$271)</f>
        <v>71.370503597122294</v>
      </c>
    </row>
    <row r="168" spans="1:20" x14ac:dyDescent="0.2">
      <c r="A168" s="161" t="s">
        <v>155</v>
      </c>
      <c r="B168" s="161">
        <v>674</v>
      </c>
      <c r="C168" s="161" t="s">
        <v>811</v>
      </c>
      <c r="D168" t="str">
        <f>_xlfn.XLOOKUP(B168,'Country Code M49'!$B$2:$B$250,'Country Code M49'!$C$2:$C$250,,0)</f>
        <v>SMR</v>
      </c>
      <c r="E168" s="162">
        <v>84.272380315674425</v>
      </c>
      <c r="F168" s="162">
        <v>2856.8336927013629</v>
      </c>
      <c r="G168" s="160" t="s">
        <v>877</v>
      </c>
      <c r="H168" s="188">
        <f>_xlfn.XLOOKUP(D168,'[1]World Population'!$C$2:$C$267,'[1]World Population'!$BN$2:$BN$267)</f>
        <v>33938</v>
      </c>
      <c r="I168" s="188">
        <v>99.661651611328097</v>
      </c>
      <c r="J168" s="194">
        <f>_xlfn.XLOOKUP(D168,'[2]GDP 2015 Constant'!$B$6:$B$271,'[2]GDP 2015 Constant'!$BM$6:$BM$271)</f>
        <v>1408417036</v>
      </c>
      <c r="K168" s="193">
        <f t="shared" si="4"/>
        <v>41499.70640579881</v>
      </c>
      <c r="L168" s="194">
        <f>_xlfn.XLOOKUP(D168,'[5]Tourism Receipts'!$B$6:$B$271,'[5]Tourism Receipts'!$BK$6:$BK$271)</f>
        <v>0</v>
      </c>
      <c r="M168" s="195">
        <f t="shared" si="5"/>
        <v>0</v>
      </c>
      <c r="N168">
        <f>_xlfn.XLOOKUP(D168,'[6]API_NV.AGR.TOTL.ZS_DS2_en_csv_v'!$B$6:$B$271,'[6]API_NV.AGR.TOTL.ZS_DS2_en_csv_v'!$BL$6:$BL$271)</f>
        <v>1.52797446966611E-2</v>
      </c>
      <c r="O168" s="188">
        <f>_xlfn.XLOOKUP(D168,'[7]API_SP.RUR.TOTL_DS2_en_csv_v2_4'!$B$6:$B$271,'[7]API_SP.RUR.TOTL_DS2_en_csv_v2_4'!$BM$6:$BM$271)</f>
        <v>849</v>
      </c>
      <c r="P168" s="188">
        <f>_xlfn.XLOOKUP(D168,'[8]API_AG.PRD.FOOD.XD_DS2_en_csv_v'!$B$6:$B$271,'[8]API_AG.PRD.FOOD.XD_DS2_en_csv_v'!$BM$6:$BM$271)</f>
        <v>0</v>
      </c>
      <c r="Q168">
        <f>_xlfn.XLOOKUP(D168,'[9]API_NE.IMP.GNFS.ZS_DS2_en_csv_v'!$B$6:$B$271,'[9]API_NE.IMP.GNFS.ZS_DS2_en_csv_v'!$BK$6:$BK$271)</f>
        <v>142.89045627736701</v>
      </c>
      <c r="R168">
        <f>_xlfn.XLOOKUP(D168,'[10]API_NE.EXP.GNFS.ZS_DS2_en_csv_v'!$B$6:$B$271,'[10]API_NE.EXP.GNFS.ZS_DS2_en_csv_v'!$BL$6:$BL$271)</f>
        <v>163.99723662423199</v>
      </c>
      <c r="S168">
        <f>_xlfn.XLOOKUP(D168,'[11]API_EG.USE.ELEC.KH.PC_DS2_en_cs'!$B$6:$B$271,'[11]API_EG.USE.ELEC.KH.PC_DS2_en_cs'!$BG$6:$BG$271)</f>
        <v>0</v>
      </c>
      <c r="T168">
        <f>_xlfn.XLOOKUP(D168,'[12]API_EN.POP.DNST_DS2_en_csv_v2_4'!$B$6:$B$271,'[12]API_EN.POP.DNST_DS2_en_csv_v2_4'!$BM$6:$BM$271)</f>
        <v>565.63333333333298</v>
      </c>
    </row>
    <row r="169" spans="1:20" x14ac:dyDescent="0.2">
      <c r="A169" s="161" t="s">
        <v>154</v>
      </c>
      <c r="B169" s="161">
        <v>678</v>
      </c>
      <c r="C169" s="161" t="s">
        <v>846</v>
      </c>
      <c r="D169" t="str">
        <f>_xlfn.XLOOKUP(B169,'Country Code M49'!$B$2:$B$250,'Country Code M49'!$C$2:$C$250,,0)</f>
        <v>STP</v>
      </c>
      <c r="E169" s="162">
        <v>99.59129668943163</v>
      </c>
      <c r="F169" s="162">
        <v>21422.087917896744</v>
      </c>
      <c r="G169" s="160" t="s">
        <v>877</v>
      </c>
      <c r="H169" s="188">
        <f>_xlfn.XLOOKUP(D169,'[1]World Population'!$C$2:$C$267,'[1]World Population'!$BN$2:$BN$267)</f>
        <v>219161</v>
      </c>
      <c r="I169" s="188">
        <v>100</v>
      </c>
      <c r="J169" s="194">
        <f>_xlfn.XLOOKUP(D169,'[2]GDP 2015 Constant'!$B$6:$B$271,'[2]GDP 2015 Constant'!$BM$6:$BM$271)</f>
        <v>370868351.89999998</v>
      </c>
      <c r="K169" s="193">
        <f t="shared" si="4"/>
        <v>1692.2187428420202</v>
      </c>
      <c r="L169" s="194">
        <f>_xlfn.XLOOKUP(D169,'[5]Tourism Receipts'!$B$6:$B$271,'[5]Tourism Receipts'!$BK$6:$BK$271)</f>
        <v>71900000</v>
      </c>
      <c r="M169" s="195">
        <f t="shared" si="5"/>
        <v>0.19386933296316139</v>
      </c>
      <c r="N169">
        <f>_xlfn.XLOOKUP(D169,'[6]API_NV.AGR.TOTL.ZS_DS2_en_csv_v'!$B$6:$B$271,'[6]API_NV.AGR.TOTL.ZS_DS2_en_csv_v'!$BL$6:$BL$271)</f>
        <v>12.2898119898564</v>
      </c>
      <c r="O169" s="188">
        <f>_xlfn.XLOOKUP(D169,'[7]API_SP.RUR.TOTL_DS2_en_csv_v2_4'!$B$6:$B$271,'[7]API_SP.RUR.TOTL_DS2_en_csv_v2_4'!$BM$6:$BM$271)</f>
        <v>56206</v>
      </c>
      <c r="P169" s="188">
        <f>_xlfn.XLOOKUP(D169,'[8]API_AG.PRD.FOOD.XD_DS2_en_csv_v'!$B$6:$B$271,'[8]API_AG.PRD.FOOD.XD_DS2_en_csv_v'!$BM$6:$BM$271)</f>
        <v>103.51</v>
      </c>
      <c r="Q169">
        <f>_xlfn.XLOOKUP(D169,'[9]API_NE.IMP.GNFS.ZS_DS2_en_csv_v'!$B$6:$B$271,'[9]API_NE.IMP.GNFS.ZS_DS2_en_csv_v'!$BK$6:$BK$271)</f>
        <v>0</v>
      </c>
      <c r="R169">
        <f>_xlfn.XLOOKUP(D169,'[10]API_NE.EXP.GNFS.ZS_DS2_en_csv_v'!$B$6:$B$271,'[10]API_NE.EXP.GNFS.ZS_DS2_en_csv_v'!$BL$6:$BL$271)</f>
        <v>0</v>
      </c>
      <c r="S169">
        <f>_xlfn.XLOOKUP(D169,'[11]API_EG.USE.ELEC.KH.PC_DS2_en_cs'!$B$6:$B$271,'[11]API_EG.USE.ELEC.KH.PC_DS2_en_cs'!$BG$6:$BG$271)</f>
        <v>0</v>
      </c>
      <c r="T169">
        <f>_xlfn.XLOOKUP(D169,'[12]API_EN.POP.DNST_DS2_en_csv_v2_4'!$B$6:$B$271,'[12]API_EN.POP.DNST_DS2_en_csv_v2_4'!$BM$6:$BM$271)</f>
        <v>228.292708333333</v>
      </c>
    </row>
    <row r="170" spans="1:20" x14ac:dyDescent="0.2">
      <c r="A170" s="161" t="s">
        <v>148</v>
      </c>
      <c r="B170" s="161">
        <v>682</v>
      </c>
      <c r="C170" s="161" t="s">
        <v>132</v>
      </c>
      <c r="D170" t="str">
        <f>_xlfn.XLOOKUP(B170,'Country Code M49'!$B$2:$B$250,'Country Code M49'!$C$2:$C$250,,0)</f>
        <v>SAU</v>
      </c>
      <c r="E170" s="162">
        <v>104.88</v>
      </c>
      <c r="F170" s="162">
        <v>3594080.28</v>
      </c>
      <c r="G170" s="160" t="s">
        <v>870</v>
      </c>
      <c r="H170" s="188">
        <f>_xlfn.XLOOKUP(D170,'[1]World Population'!$C$2:$C$267,'[1]World Population'!$BN$2:$BN$267)</f>
        <v>34813867</v>
      </c>
      <c r="I170" s="188">
        <v>100</v>
      </c>
      <c r="J170" s="194">
        <f>_xlfn.XLOOKUP(D170,'[2]GDP 2015 Constant'!$B$6:$B$271,'[2]GDP 2015 Constant'!$BM$6:$BM$271)</f>
        <v>651027000000</v>
      </c>
      <c r="K170" s="193">
        <f t="shared" si="4"/>
        <v>18700.22080569217</v>
      </c>
      <c r="L170" s="194">
        <f>_xlfn.XLOOKUP(D170,'[5]Tourism Receipts'!$B$6:$B$271,'[5]Tourism Receipts'!$BK$6:$BK$271)</f>
        <v>16974000000</v>
      </c>
      <c r="M170" s="195">
        <f t="shared" si="5"/>
        <v>2.6072651364689944E-2</v>
      </c>
      <c r="N170">
        <f>_xlfn.XLOOKUP(D170,'[6]API_NV.AGR.TOTL.ZS_DS2_en_csv_v'!$B$6:$B$271,'[6]API_NV.AGR.TOTL.ZS_DS2_en_csv_v'!$BL$6:$BL$271)</f>
        <v>2.1968555880473302</v>
      </c>
      <c r="O170" s="188">
        <f>_xlfn.XLOOKUP(D170,'[7]API_SP.RUR.TOTL_DS2_en_csv_v2_4'!$B$6:$B$271,'[7]API_SP.RUR.TOTL_DS2_en_csv_v2_4'!$BM$6:$BM$271)</f>
        <v>5470303</v>
      </c>
      <c r="P170" s="188">
        <f>_xlfn.XLOOKUP(D170,'[8]API_AG.PRD.FOOD.XD_DS2_en_csv_v'!$B$6:$B$271,'[8]API_AG.PRD.FOOD.XD_DS2_en_csv_v'!$BM$6:$BM$271)</f>
        <v>151.13999999999999</v>
      </c>
      <c r="Q170">
        <f>_xlfn.XLOOKUP(D170,'[9]API_NE.IMP.GNFS.ZS_DS2_en_csv_v'!$B$6:$B$271,'[9]API_NE.IMP.GNFS.ZS_DS2_en_csv_v'!$BK$6:$BK$271)</f>
        <v>25.666772862630999</v>
      </c>
      <c r="R170">
        <f>_xlfn.XLOOKUP(D170,'[10]API_NE.EXP.GNFS.ZS_DS2_en_csv_v'!$B$6:$B$271,'[10]API_NE.EXP.GNFS.ZS_DS2_en_csv_v'!$BL$6:$BL$271)</f>
        <v>35.571694489276702</v>
      </c>
      <c r="S170">
        <f>_xlfn.XLOOKUP(D170,'[11]API_EG.USE.ELEC.KH.PC_DS2_en_cs'!$B$6:$B$271,'[11]API_EG.USE.ELEC.KH.PC_DS2_en_cs'!$BG$6:$BG$271)</f>
        <v>9401.4856677494608</v>
      </c>
      <c r="T170">
        <f>_xlfn.XLOOKUP(D170,'[12]API_EN.POP.DNST_DS2_en_csv_v2_4'!$B$6:$B$271,'[12]API_EN.POP.DNST_DS2_en_csv_v2_4'!$BM$6:$BM$271)</f>
        <v>16.1948313477757</v>
      </c>
    </row>
    <row r="171" spans="1:20" x14ac:dyDescent="0.2">
      <c r="A171" s="161" t="s">
        <v>154</v>
      </c>
      <c r="B171" s="161">
        <v>686</v>
      </c>
      <c r="C171" s="161" t="s">
        <v>847</v>
      </c>
      <c r="D171" t="str">
        <f>_xlfn.XLOOKUP(B171,'Country Code M49'!$B$2:$B$250,'Country Code M49'!$C$2:$C$250,,0)</f>
        <v>SEN</v>
      </c>
      <c r="E171" s="162">
        <v>99.59129668943163</v>
      </c>
      <c r="F171" s="162">
        <v>1622979.6073696534</v>
      </c>
      <c r="G171" s="160" t="s">
        <v>877</v>
      </c>
      <c r="H171" s="188">
        <f>_xlfn.XLOOKUP(D171,'[1]World Population'!$C$2:$C$267,'[1]World Population'!$BN$2:$BN$267)</f>
        <v>16743930</v>
      </c>
      <c r="I171" s="188">
        <v>100</v>
      </c>
      <c r="J171" s="194">
        <f>_xlfn.XLOOKUP(D171,'[2]GDP 2015 Constant'!$B$6:$B$271,'[2]GDP 2015 Constant'!$BM$6:$BM$271)</f>
        <v>22859676611</v>
      </c>
      <c r="K171" s="193">
        <f t="shared" si="4"/>
        <v>1365.2515634621025</v>
      </c>
      <c r="L171" s="194">
        <f>_xlfn.XLOOKUP(D171,'[5]Tourism Receipts'!$B$6:$B$271,'[5]Tourism Receipts'!$BK$6:$BK$271)</f>
        <v>557000000</v>
      </c>
      <c r="M171" s="195">
        <f t="shared" si="5"/>
        <v>2.4366048981286702E-2</v>
      </c>
      <c r="N171">
        <f>_xlfn.XLOOKUP(D171,'[6]API_NV.AGR.TOTL.ZS_DS2_en_csv_v'!$B$6:$B$271,'[6]API_NV.AGR.TOTL.ZS_DS2_en_csv_v'!$BL$6:$BL$271)</f>
        <v>14.899573080831299</v>
      </c>
      <c r="O171" s="188">
        <f>_xlfn.XLOOKUP(D171,'[7]API_SP.RUR.TOTL_DS2_en_csv_v2_4'!$B$6:$B$271,'[7]API_SP.RUR.TOTL_DS2_en_csv_v2_4'!$BM$6:$BM$271)</f>
        <v>8686416</v>
      </c>
      <c r="P171" s="188">
        <f>_xlfn.XLOOKUP(D171,'[8]API_AG.PRD.FOOD.XD_DS2_en_csv_v'!$B$6:$B$271,'[8]API_AG.PRD.FOOD.XD_DS2_en_csv_v'!$BM$6:$BM$271)</f>
        <v>181.51</v>
      </c>
      <c r="Q171">
        <f>_xlfn.XLOOKUP(D171,'[9]API_NE.IMP.GNFS.ZS_DS2_en_csv_v'!$B$6:$B$271,'[9]API_NE.IMP.GNFS.ZS_DS2_en_csv_v'!$BK$6:$BK$271)</f>
        <v>38.840415258329301</v>
      </c>
      <c r="R171">
        <f>_xlfn.XLOOKUP(D171,'[10]API_NE.EXP.GNFS.ZS_DS2_en_csv_v'!$B$6:$B$271,'[10]API_NE.EXP.GNFS.ZS_DS2_en_csv_v'!$BL$6:$BL$271)</f>
        <v>24.987932777280999</v>
      </c>
      <c r="S171">
        <f>_xlfn.XLOOKUP(D171,'[11]API_EG.USE.ELEC.KH.PC_DS2_en_cs'!$B$6:$B$271,'[11]API_EG.USE.ELEC.KH.PC_DS2_en_cs'!$BG$6:$BG$271)</f>
        <v>229.351649483518</v>
      </c>
      <c r="T171">
        <f>_xlfn.XLOOKUP(D171,'[12]API_EN.POP.DNST_DS2_en_csv_v2_4'!$B$6:$B$271,'[12]API_EN.POP.DNST_DS2_en_csv_v2_4'!$BM$6:$BM$271)</f>
        <v>86.967901106321094</v>
      </c>
    </row>
    <row r="172" spans="1:20" x14ac:dyDescent="0.2">
      <c r="A172" s="161" t="s">
        <v>155</v>
      </c>
      <c r="B172" s="161">
        <v>688</v>
      </c>
      <c r="C172" s="161" t="s">
        <v>133</v>
      </c>
      <c r="D172" t="str">
        <f>_xlfn.XLOOKUP(B172,'Country Code M49'!$B$2:$B$250,'Country Code M49'!$C$2:$C$250,,0)</f>
        <v>SRB</v>
      </c>
      <c r="E172" s="162">
        <v>82.783773370705802</v>
      </c>
      <c r="F172" s="162">
        <v>726195.81676250545</v>
      </c>
      <c r="G172" s="160" t="s">
        <v>877</v>
      </c>
      <c r="H172" s="188">
        <f>_xlfn.XLOOKUP(D172,'[1]World Population'!$C$2:$C$267,'[1]World Population'!$BN$2:$BN$267)</f>
        <v>6899126</v>
      </c>
      <c r="I172" s="188">
        <v>100</v>
      </c>
      <c r="J172" s="194">
        <f>_xlfn.XLOOKUP(D172,'[2]GDP 2015 Constant'!$B$6:$B$271,'[2]GDP 2015 Constant'!$BM$6:$BM$271)</f>
        <v>45184791299</v>
      </c>
      <c r="K172" s="193">
        <f t="shared" si="4"/>
        <v>6549.3500624571871</v>
      </c>
      <c r="L172" s="194">
        <f>_xlfn.XLOOKUP(D172,'[5]Tourism Receipts'!$B$6:$B$271,'[5]Tourism Receipts'!$BK$6:$BK$271)</f>
        <v>1941000000</v>
      </c>
      <c r="M172" s="195">
        <f t="shared" si="5"/>
        <v>4.2956931839208408E-2</v>
      </c>
      <c r="N172">
        <f>_xlfn.XLOOKUP(D172,'[6]API_NV.AGR.TOTL.ZS_DS2_en_csv_v'!$B$6:$B$271,'[6]API_NV.AGR.TOTL.ZS_DS2_en_csv_v'!$BL$6:$BL$271)</f>
        <v>5.9544163448377896</v>
      </c>
      <c r="O172" s="188">
        <f>_xlfn.XLOOKUP(D172,'[7]API_SP.RUR.TOTL_DS2_en_csv_v2_4'!$B$6:$B$271,'[7]API_SP.RUR.TOTL_DS2_en_csv_v2_4'!$BM$6:$BM$271)</f>
        <v>3004845</v>
      </c>
      <c r="P172" s="188">
        <f>_xlfn.XLOOKUP(D172,'[8]API_AG.PRD.FOOD.XD_DS2_en_csv_v'!$B$6:$B$271,'[8]API_AG.PRD.FOOD.XD_DS2_en_csv_v'!$BM$6:$BM$271)</f>
        <v>110.9</v>
      </c>
      <c r="Q172">
        <f>_xlfn.XLOOKUP(D172,'[9]API_NE.IMP.GNFS.ZS_DS2_en_csv_v'!$B$6:$B$271,'[9]API_NE.IMP.GNFS.ZS_DS2_en_csv_v'!$BK$6:$BK$271)</f>
        <v>59.0603044132937</v>
      </c>
      <c r="R172">
        <f>_xlfn.XLOOKUP(D172,'[10]API_NE.EXP.GNFS.ZS_DS2_en_csv_v'!$B$6:$B$271,'[10]API_NE.EXP.GNFS.ZS_DS2_en_csv_v'!$BL$6:$BL$271)</f>
        <v>51.010923150917101</v>
      </c>
      <c r="S172">
        <f>_xlfn.XLOOKUP(D172,'[11]API_EG.USE.ELEC.KH.PC_DS2_en_cs'!$B$6:$B$271,'[11]API_EG.USE.ELEC.KH.PC_DS2_en_cs'!$BG$6:$BG$271)</f>
        <v>4271.7446669105002</v>
      </c>
      <c r="T172">
        <f>_xlfn.XLOOKUP(D172,'[12]API_EN.POP.DNST_DS2_en_csv_v2_4'!$B$6:$B$271,'[12]API_EN.POP.DNST_DS2_en_csv_v2_4'!$BM$6:$BM$271)</f>
        <v>78.883215184084193</v>
      </c>
    </row>
    <row r="173" spans="1:20" x14ac:dyDescent="0.2">
      <c r="A173" s="161" t="s">
        <v>154</v>
      </c>
      <c r="B173" s="161">
        <v>690</v>
      </c>
      <c r="C173" s="161" t="s">
        <v>848</v>
      </c>
      <c r="D173" t="str">
        <f>_xlfn.XLOOKUP(B173,'Country Code M49'!$B$2:$B$250,'Country Code M49'!$C$2:$C$250,,0)</f>
        <v>SYC</v>
      </c>
      <c r="E173" s="162">
        <v>93.428373430018951</v>
      </c>
      <c r="F173" s="162">
        <v>9127.9520841128506</v>
      </c>
      <c r="G173" s="160" t="s">
        <v>877</v>
      </c>
      <c r="H173" s="188">
        <f>_xlfn.XLOOKUP(D173,'[1]World Population'!$C$2:$C$267,'[1]World Population'!$BN$2:$BN$267)</f>
        <v>98462</v>
      </c>
      <c r="I173" s="188">
        <v>100</v>
      </c>
      <c r="J173" s="194">
        <f>_xlfn.XLOOKUP(D173,'[2]GDP 2015 Constant'!$B$6:$B$271,'[2]GDP 2015 Constant'!$BM$6:$BM$271)</f>
        <v>1530539000</v>
      </c>
      <c r="K173" s="193">
        <f t="shared" si="4"/>
        <v>15544.463854075684</v>
      </c>
      <c r="L173" s="194">
        <f>_xlfn.XLOOKUP(D173,'[5]Tourism Receipts'!$B$6:$B$271,'[5]Tourism Receipts'!$BK$6:$BK$271)</f>
        <v>611000000</v>
      </c>
      <c r="M173" s="195">
        <f t="shared" si="5"/>
        <v>0.39920576999344676</v>
      </c>
      <c r="N173">
        <f>_xlfn.XLOOKUP(D173,'[6]API_NV.AGR.TOTL.ZS_DS2_en_csv_v'!$B$6:$B$271,'[6]API_NV.AGR.TOTL.ZS_DS2_en_csv_v'!$BL$6:$BL$271)</f>
        <v>2.6473226374221501</v>
      </c>
      <c r="O173" s="188">
        <f>_xlfn.XLOOKUP(D173,'[7]API_SP.RUR.TOTL_DS2_en_csv_v2_4'!$B$6:$B$271,'[7]API_SP.RUR.TOTL_DS2_en_csv_v2_4'!$BM$6:$BM$271)</f>
        <v>41801</v>
      </c>
      <c r="P173" s="188">
        <f>_xlfn.XLOOKUP(D173,'[8]API_AG.PRD.FOOD.XD_DS2_en_csv_v'!$B$6:$B$271,'[8]API_AG.PRD.FOOD.XD_DS2_en_csv_v'!$BM$6:$BM$271)</f>
        <v>98.43</v>
      </c>
      <c r="Q173">
        <f>_xlfn.XLOOKUP(D173,'[9]API_NE.IMP.GNFS.ZS_DS2_en_csv_v'!$B$6:$B$271,'[9]API_NE.IMP.GNFS.ZS_DS2_en_csv_v'!$BK$6:$BK$271)</f>
        <v>107.587346076291</v>
      </c>
      <c r="R173">
        <f>_xlfn.XLOOKUP(D173,'[10]API_NE.EXP.GNFS.ZS_DS2_en_csv_v'!$B$6:$B$271,'[10]API_NE.EXP.GNFS.ZS_DS2_en_csv_v'!$BL$6:$BL$271)</f>
        <v>91.375998510695894</v>
      </c>
      <c r="S173">
        <f>_xlfn.XLOOKUP(D173,'[11]API_EG.USE.ELEC.KH.PC_DS2_en_cs'!$B$6:$B$271,'[11]API_EG.USE.ELEC.KH.PC_DS2_en_cs'!$BG$6:$BG$271)</f>
        <v>0</v>
      </c>
      <c r="T173">
        <f>_xlfn.XLOOKUP(D173,'[12]API_EN.POP.DNST_DS2_en_csv_v2_4'!$B$6:$B$271,'[12]API_EN.POP.DNST_DS2_en_csv_v2_4'!$BM$6:$BM$271)</f>
        <v>214.047826086957</v>
      </c>
    </row>
    <row r="174" spans="1:20" x14ac:dyDescent="0.2">
      <c r="A174" s="161" t="s">
        <v>154</v>
      </c>
      <c r="B174" s="161">
        <v>694</v>
      </c>
      <c r="C174" s="161" t="s">
        <v>849</v>
      </c>
      <c r="D174" t="str">
        <f>_xlfn.XLOOKUP(B174,'Country Code M49'!$B$2:$B$250,'Country Code M49'!$C$2:$C$250,,0)</f>
        <v>SLE</v>
      </c>
      <c r="E174" s="162">
        <v>102.69433227860404</v>
      </c>
      <c r="F174" s="162">
        <v>802371.35695918906</v>
      </c>
      <c r="G174" s="160" t="s">
        <v>877</v>
      </c>
      <c r="H174" s="188">
        <f>_xlfn.XLOOKUP(D174,'[1]World Population'!$C$2:$C$267,'[1]World Population'!$BN$2:$BN$267)</f>
        <v>7976985</v>
      </c>
      <c r="I174" s="188">
        <v>100</v>
      </c>
      <c r="J174" s="194">
        <f>_xlfn.XLOOKUP(D174,'[2]GDP 2015 Constant'!$B$6:$B$271,'[2]GDP 2015 Constant'!$BM$6:$BM$271)</f>
        <v>4976753934</v>
      </c>
      <c r="K174" s="193">
        <f t="shared" si="4"/>
        <v>623.88909268351392</v>
      </c>
      <c r="L174" s="194">
        <f>_xlfn.XLOOKUP(D174,'[5]Tourism Receipts'!$B$6:$B$271,'[5]Tourism Receipts'!$BK$6:$BK$271)</f>
        <v>39000000</v>
      </c>
      <c r="M174" s="195">
        <f t="shared" si="5"/>
        <v>7.836433248901712E-3</v>
      </c>
      <c r="N174">
        <f>_xlfn.XLOOKUP(D174,'[6]API_NV.AGR.TOTL.ZS_DS2_en_csv_v'!$B$6:$B$271,'[6]API_NV.AGR.TOTL.ZS_DS2_en_csv_v'!$BL$6:$BL$271)</f>
        <v>58.1544724473477</v>
      </c>
      <c r="O174" s="188">
        <f>_xlfn.XLOOKUP(D174,'[7]API_SP.RUR.TOTL_DS2_en_csv_v2_4'!$B$6:$B$271,'[7]API_SP.RUR.TOTL_DS2_en_csv_v2_4'!$BM$6:$BM$271)</f>
        <v>4553024</v>
      </c>
      <c r="P174" s="188">
        <f>_xlfn.XLOOKUP(D174,'[8]API_AG.PRD.FOOD.XD_DS2_en_csv_v'!$B$6:$B$271,'[8]API_AG.PRD.FOOD.XD_DS2_en_csv_v'!$BM$6:$BM$271)</f>
        <v>108.42</v>
      </c>
      <c r="Q174">
        <f>_xlfn.XLOOKUP(D174,'[9]API_NE.IMP.GNFS.ZS_DS2_en_csv_v'!$B$6:$B$271,'[9]API_NE.IMP.GNFS.ZS_DS2_en_csv_v'!$BK$6:$BK$271)</f>
        <v>39.228531308891696</v>
      </c>
      <c r="R174">
        <f>_xlfn.XLOOKUP(D174,'[10]API_NE.EXP.GNFS.ZS_DS2_en_csv_v'!$B$6:$B$271,'[10]API_NE.EXP.GNFS.ZS_DS2_en_csv_v'!$BL$6:$BL$271)</f>
        <v>18.2469360788965</v>
      </c>
      <c r="S174">
        <f>_xlfn.XLOOKUP(D174,'[11]API_EG.USE.ELEC.KH.PC_DS2_en_cs'!$B$6:$B$271,'[11]API_EG.USE.ELEC.KH.PC_DS2_en_cs'!$BG$6:$BG$271)</f>
        <v>0</v>
      </c>
      <c r="T174">
        <f>_xlfn.XLOOKUP(D174,'[12]API_EN.POP.DNST_DS2_en_csv_v2_4'!$B$6:$B$271,'[12]API_EN.POP.DNST_DS2_en_csv_v2_4'!$BM$6:$BM$271)</f>
        <v>110.515170407315</v>
      </c>
    </row>
    <row r="175" spans="1:20" x14ac:dyDescent="0.2">
      <c r="A175" s="161" t="s">
        <v>157</v>
      </c>
      <c r="B175" s="161">
        <v>702</v>
      </c>
      <c r="C175" s="161" t="s">
        <v>794</v>
      </c>
      <c r="D175" t="str">
        <f>_xlfn.XLOOKUP(B175,'Country Code M49'!$B$2:$B$250,'Country Code M49'!$C$2:$C$250,,0)</f>
        <v>SGP</v>
      </c>
      <c r="E175" s="162">
        <v>80.17420344001772</v>
      </c>
      <c r="F175" s="162">
        <v>465355.12902689487</v>
      </c>
      <c r="G175" s="160" t="s">
        <v>872</v>
      </c>
      <c r="H175" s="188">
        <f>_xlfn.XLOOKUP(D175,'[1]World Population'!$C$2:$C$267,'[1]World Population'!$BN$2:$BN$267)</f>
        <v>5685807</v>
      </c>
      <c r="I175" s="188">
        <v>100</v>
      </c>
      <c r="J175" s="194">
        <f>_xlfn.XLOOKUP(D175,'[2]GDP 2015 Constant'!$B$6:$B$271,'[2]GDP 2015 Constant'!$BM$6:$BM$271)</f>
        <v>335363000000</v>
      </c>
      <c r="K175" s="193">
        <f t="shared" si="4"/>
        <v>58982.480411311888</v>
      </c>
      <c r="L175" s="194">
        <f>_xlfn.XLOOKUP(D175,'[5]Tourism Receipts'!$B$6:$B$271,'[5]Tourism Receipts'!$BK$6:$BK$271)</f>
        <v>20416000000</v>
      </c>
      <c r="M175" s="195">
        <f t="shared" si="5"/>
        <v>6.0877318010633251E-2</v>
      </c>
      <c r="N175">
        <f>_xlfn.XLOOKUP(D175,'[6]API_NV.AGR.TOTL.ZS_DS2_en_csv_v'!$B$6:$B$271,'[6]API_NV.AGR.TOTL.ZS_DS2_en_csv_v'!$BL$6:$BL$271)</f>
        <v>3.2290818845577801E-2</v>
      </c>
      <c r="O175" s="188">
        <f>_xlfn.XLOOKUP(D175,'[7]API_SP.RUR.TOTL_DS2_en_csv_v2_4'!$B$6:$B$271,'[7]API_SP.RUR.TOTL_DS2_en_csv_v2_4'!$BM$6:$BM$271)</f>
        <v>0</v>
      </c>
      <c r="P175" s="188">
        <f>_xlfn.XLOOKUP(D175,'[8]API_AG.PRD.FOOD.XD_DS2_en_csv_v'!$B$6:$B$271,'[8]API_AG.PRD.FOOD.XD_DS2_en_csv_v'!$BM$6:$BM$271)</f>
        <v>160.27000000000001</v>
      </c>
      <c r="Q175">
        <f>_xlfn.XLOOKUP(D175,'[9]API_NE.IMP.GNFS.ZS_DS2_en_csv_v'!$B$6:$B$271,'[9]API_NE.IMP.GNFS.ZS_DS2_en_csv_v'!$BK$6:$BK$271)</f>
        <v>147.728267194708</v>
      </c>
      <c r="R175">
        <f>_xlfn.XLOOKUP(D175,'[10]API_NE.EXP.GNFS.ZS_DS2_en_csv_v'!$B$6:$B$271,'[10]API_NE.EXP.GNFS.ZS_DS2_en_csv_v'!$BL$6:$BL$271)</f>
        <v>175.27411566789999</v>
      </c>
      <c r="S175">
        <f>_xlfn.XLOOKUP(D175,'[11]API_EG.USE.ELEC.KH.PC_DS2_en_cs'!$B$6:$B$271,'[11]API_EG.USE.ELEC.KH.PC_DS2_en_cs'!$BG$6:$BG$271)</f>
        <v>8844.6875930120095</v>
      </c>
      <c r="T175">
        <f>_xlfn.XLOOKUP(D175,'[12]API_EN.POP.DNST_DS2_en_csv_v2_4'!$B$6:$B$271,'[12]API_EN.POP.DNST_DS2_en_csv_v2_4'!$BM$6:$BM$271)</f>
        <v>7918.9512534818896</v>
      </c>
    </row>
    <row r="176" spans="1:20" x14ac:dyDescent="0.2">
      <c r="A176" s="161" t="s">
        <v>150</v>
      </c>
      <c r="B176" s="161">
        <v>534</v>
      </c>
      <c r="C176" s="161" t="s">
        <v>745</v>
      </c>
      <c r="D176" t="str">
        <f>_xlfn.XLOOKUP(B176,'Country Code M49'!$B$2:$B$250,'Country Code M49'!$C$2:$C$250,,0)</f>
        <v>SXM</v>
      </c>
      <c r="E176" s="162">
        <v>73.920769675063781</v>
      </c>
      <c r="F176" s="162">
        <v>3134.2406342227046</v>
      </c>
      <c r="G176" s="160" t="s">
        <v>872</v>
      </c>
      <c r="H176" s="188">
        <f>_xlfn.XLOOKUP(D176,'[1]World Population'!$C$2:$C$267,'[1]World Population'!$BN$2:$BN$267)</f>
        <v>42310</v>
      </c>
      <c r="I176" s="188">
        <v>100</v>
      </c>
      <c r="J176" s="194" t="e">
        <f>_xlfn.XLOOKUP(D176,'[2]GDP 2015 Constant'!$B$6:$B$271,'[2]GDP 2015 Constant'!$BM$6:$BM$271)</f>
        <v>#REF!</v>
      </c>
      <c r="K176" s="193" t="e">
        <f t="shared" si="4"/>
        <v>#REF!</v>
      </c>
      <c r="L176" s="194">
        <f>_xlfn.XLOOKUP(D176,'[5]Tourism Receipts'!$B$6:$B$271,'[5]Tourism Receipts'!$BK$6:$BK$271)</f>
        <v>468000000</v>
      </c>
      <c r="M176" s="195" t="e">
        <f t="shared" si="5"/>
        <v>#REF!</v>
      </c>
      <c r="N176">
        <f>_xlfn.XLOOKUP(D176,'[6]API_NV.AGR.TOTL.ZS_DS2_en_csv_v'!$B$6:$B$271,'[6]API_NV.AGR.TOTL.ZS_DS2_en_csv_v'!$BL$6:$BL$271)</f>
        <v>0</v>
      </c>
      <c r="O176" s="188">
        <f>_xlfn.XLOOKUP(D176,'[7]API_SP.RUR.TOTL_DS2_en_csv_v2_4'!$B$6:$B$271,'[7]API_SP.RUR.TOTL_DS2_en_csv_v2_4'!$BM$6:$BM$271)</f>
        <v>0</v>
      </c>
      <c r="P176" s="188">
        <f>_xlfn.XLOOKUP(D176,'[8]API_AG.PRD.FOOD.XD_DS2_en_csv_v'!$B$6:$B$271,'[8]API_AG.PRD.FOOD.XD_DS2_en_csv_v'!$BM$6:$BM$271)</f>
        <v>0</v>
      </c>
      <c r="Q176">
        <f>_xlfn.XLOOKUP(D176,'[9]API_NE.IMP.GNFS.ZS_DS2_en_csv_v'!$B$6:$B$271,'[9]API_NE.IMP.GNFS.ZS_DS2_en_csv_v'!$BK$6:$BK$271)</f>
        <v>104.24128180961399</v>
      </c>
      <c r="R176">
        <f>_xlfn.XLOOKUP(D176,'[10]API_NE.EXP.GNFS.ZS_DS2_en_csv_v'!$B$6:$B$271,'[10]API_NE.EXP.GNFS.ZS_DS2_en_csv_v'!$BL$6:$BL$271)</f>
        <v>0</v>
      </c>
      <c r="S176">
        <f>_xlfn.XLOOKUP(D176,'[11]API_EG.USE.ELEC.KH.PC_DS2_en_cs'!$B$6:$B$271,'[11]API_EG.USE.ELEC.KH.PC_DS2_en_cs'!$BG$6:$BG$271)</f>
        <v>0</v>
      </c>
      <c r="T176">
        <f>_xlfn.XLOOKUP(D176,'[12]API_EN.POP.DNST_DS2_en_csv_v2_4'!$B$6:$B$271,'[12]API_EN.POP.DNST_DS2_en_csv_v2_4'!$BM$6:$BM$271)</f>
        <v>1244.4117647058799</v>
      </c>
    </row>
    <row r="177" spans="1:20" x14ac:dyDescent="0.2">
      <c r="A177" s="161" t="s">
        <v>156</v>
      </c>
      <c r="B177" s="161">
        <v>703</v>
      </c>
      <c r="C177" s="161" t="s">
        <v>705</v>
      </c>
      <c r="D177" t="str">
        <f>_xlfn.XLOOKUP(B177,'Country Code M49'!$B$2:$B$250,'Country Code M49'!$C$2:$C$250,,0)</f>
        <v>SVK</v>
      </c>
      <c r="E177" s="162">
        <v>69.868672442313738</v>
      </c>
      <c r="F177" s="162">
        <v>381273.34551770607</v>
      </c>
      <c r="G177" s="160" t="s">
        <v>872</v>
      </c>
      <c r="H177" s="188">
        <f>_xlfn.XLOOKUP(D177,'[1]World Population'!$C$2:$C$267,'[1]World Population'!$BN$2:$BN$267)</f>
        <v>5458827</v>
      </c>
      <c r="I177" s="188">
        <v>100</v>
      </c>
      <c r="J177" s="194">
        <f>_xlfn.XLOOKUP(D177,'[2]GDP 2015 Constant'!$B$6:$B$271,'[2]GDP 2015 Constant'!$BM$6:$BM$271)</f>
        <v>94769119000</v>
      </c>
      <c r="K177" s="193">
        <f t="shared" si="4"/>
        <v>17360.711193082323</v>
      </c>
      <c r="L177" s="194">
        <f>_xlfn.XLOOKUP(D177,'[5]Tourism Receipts'!$B$6:$B$271,'[5]Tourism Receipts'!$BK$6:$BK$271)</f>
        <v>3318000000</v>
      </c>
      <c r="M177" s="195">
        <f t="shared" si="5"/>
        <v>3.5011404928223508E-2</v>
      </c>
      <c r="N177">
        <f>_xlfn.XLOOKUP(D177,'[6]API_NV.AGR.TOTL.ZS_DS2_en_csv_v'!$B$6:$B$271,'[6]API_NV.AGR.TOTL.ZS_DS2_en_csv_v'!$BL$6:$BL$271)</f>
        <v>1.6674607112729301</v>
      </c>
      <c r="O177" s="188">
        <f>_xlfn.XLOOKUP(D177,'[7]API_SP.RUR.TOTL_DS2_en_csv_v2_4'!$B$6:$B$271,'[7]API_SP.RUR.TOTL_DS2_en_csv_v2_4'!$BM$6:$BM$271)</f>
        <v>2524162</v>
      </c>
      <c r="P177" s="188">
        <f>_xlfn.XLOOKUP(D177,'[8]API_AG.PRD.FOOD.XD_DS2_en_csv_v'!$B$6:$B$271,'[8]API_AG.PRD.FOOD.XD_DS2_en_csv_v'!$BM$6:$BM$271)</f>
        <v>101.26</v>
      </c>
      <c r="Q177">
        <f>_xlfn.XLOOKUP(D177,'[9]API_NE.IMP.GNFS.ZS_DS2_en_csv_v'!$B$6:$B$271,'[9]API_NE.IMP.GNFS.ZS_DS2_en_csv_v'!$BK$6:$BK$271)</f>
        <v>94.409808177848404</v>
      </c>
      <c r="R177">
        <f>_xlfn.XLOOKUP(D177,'[10]API_NE.EXP.GNFS.ZS_DS2_en_csv_v'!$B$6:$B$271,'[10]API_NE.EXP.GNFS.ZS_DS2_en_csv_v'!$BL$6:$BL$271)</f>
        <v>92.264785590996894</v>
      </c>
      <c r="S177">
        <f>_xlfn.XLOOKUP(D177,'[11]API_EG.USE.ELEC.KH.PC_DS2_en_cs'!$B$6:$B$271,'[11]API_EG.USE.ELEC.KH.PC_DS2_en_cs'!$BG$6:$BG$271)</f>
        <v>5137.0738351939799</v>
      </c>
      <c r="T177">
        <f>_xlfn.XLOOKUP(D177,'[12]API_EN.POP.DNST_DS2_en_csv_v2_4'!$B$6:$B$271,'[12]API_EN.POP.DNST_DS2_en_csv_v2_4'!$BM$6:$BM$271)</f>
        <v>113.536335274542</v>
      </c>
    </row>
    <row r="178" spans="1:20" x14ac:dyDescent="0.2">
      <c r="A178" s="161" t="s">
        <v>155</v>
      </c>
      <c r="B178" s="161">
        <v>705</v>
      </c>
      <c r="C178" s="161" t="s">
        <v>134</v>
      </c>
      <c r="D178" t="str">
        <f>_xlfn.XLOOKUP(B178,'Country Code M49'!$B$2:$B$250,'Country Code M49'!$C$2:$C$250,,0)</f>
        <v>SVN</v>
      </c>
      <c r="E178" s="162">
        <v>34.207218234128007</v>
      </c>
      <c r="F178" s="162">
        <v>71106.544543281881</v>
      </c>
      <c r="G178" s="160" t="s">
        <v>873</v>
      </c>
      <c r="H178" s="188">
        <f>_xlfn.XLOOKUP(D178,'[1]World Population'!$C$2:$C$267,'[1]World Population'!$BN$2:$BN$267)</f>
        <v>2102419</v>
      </c>
      <c r="I178" s="188">
        <v>100</v>
      </c>
      <c r="J178" s="194">
        <f>_xlfn.XLOOKUP(D178,'[2]GDP 2015 Constant'!$B$6:$B$271,'[2]GDP 2015 Constant'!$BM$6:$BM$271)</f>
        <v>48144051030</v>
      </c>
      <c r="K178" s="193">
        <f t="shared" si="4"/>
        <v>22899.360703075839</v>
      </c>
      <c r="L178" s="194">
        <f>_xlfn.XLOOKUP(D178,'[5]Tourism Receipts'!$B$6:$B$271,'[5]Tourism Receipts'!$BK$6:$BK$271)</f>
        <v>3377500000</v>
      </c>
      <c r="M178" s="195">
        <f t="shared" si="5"/>
        <v>7.0154046610979598E-2</v>
      </c>
      <c r="N178">
        <f>_xlfn.XLOOKUP(D178,'[6]API_NV.AGR.TOTL.ZS_DS2_en_csv_v'!$B$6:$B$271,'[6]API_NV.AGR.TOTL.ZS_DS2_en_csv_v'!$BL$6:$BL$271)</f>
        <v>1.9568088364693399</v>
      </c>
      <c r="O178" s="188">
        <f>_xlfn.XLOOKUP(D178,'[7]API_SP.RUR.TOTL_DS2_en_csv_v2_4'!$B$6:$B$271,'[7]API_SP.RUR.TOTL_DS2_en_csv_v2_4'!$BM$6:$BM$271)</f>
        <v>943608</v>
      </c>
      <c r="P178" s="188">
        <f>_xlfn.XLOOKUP(D178,'[8]API_AG.PRD.FOOD.XD_DS2_en_csv_v'!$B$6:$B$271,'[8]API_AG.PRD.FOOD.XD_DS2_en_csv_v'!$BM$6:$BM$271)</f>
        <v>104.9</v>
      </c>
      <c r="Q178">
        <f>_xlfn.XLOOKUP(D178,'[9]API_NE.IMP.GNFS.ZS_DS2_en_csv_v'!$B$6:$B$271,'[9]API_NE.IMP.GNFS.ZS_DS2_en_csv_v'!$BK$6:$BK$271)</f>
        <v>76.369871443877798</v>
      </c>
      <c r="R178">
        <f>_xlfn.XLOOKUP(D178,'[10]API_NE.EXP.GNFS.ZS_DS2_en_csv_v'!$B$6:$B$271,'[10]API_NE.EXP.GNFS.ZS_DS2_en_csv_v'!$BL$6:$BL$271)</f>
        <v>83.963468174124699</v>
      </c>
      <c r="S178">
        <f>_xlfn.XLOOKUP(D178,'[11]API_EG.USE.ELEC.KH.PC_DS2_en_cs'!$B$6:$B$271,'[11]API_EG.USE.ELEC.KH.PC_DS2_en_cs'!$BG$6:$BG$271)</f>
        <v>6727.9993016421104</v>
      </c>
      <c r="T178">
        <f>_xlfn.XLOOKUP(D178,'[12]API_EN.POP.DNST_DS2_en_csv_v2_4'!$B$6:$B$271,'[12]API_EN.POP.DNST_DS2_en_csv_v2_4'!$BM$6:$BM$271)</f>
        <v>104.408881428657</v>
      </c>
    </row>
    <row r="179" spans="1:20" x14ac:dyDescent="0.2">
      <c r="A179" s="161" t="s">
        <v>874</v>
      </c>
      <c r="B179" s="161">
        <v>90</v>
      </c>
      <c r="C179" s="161" t="s">
        <v>755</v>
      </c>
      <c r="D179" t="str">
        <f>_xlfn.XLOOKUP(B179,'Country Code M49'!$B$2:$B$250,'Country Code M49'!$C$2:$C$250,,0)</f>
        <v>SLB</v>
      </c>
      <c r="E179" s="162">
        <v>91.016179554931128</v>
      </c>
      <c r="F179" s="162">
        <v>60962.637065892864</v>
      </c>
      <c r="G179" s="160" t="s">
        <v>872</v>
      </c>
      <c r="H179" s="188">
        <f>_xlfn.XLOOKUP(D179,'[1]World Population'!$C$2:$C$267,'[1]World Population'!$BN$2:$BN$267)</f>
        <v>686878</v>
      </c>
      <c r="I179" s="188">
        <v>100</v>
      </c>
      <c r="J179" s="194">
        <f>_xlfn.XLOOKUP(D179,'[2]GDP 2015 Constant'!$B$6:$B$271,'[2]GDP 2015 Constant'!$BM$6:$BM$271)</f>
        <v>1467328739</v>
      </c>
      <c r="K179" s="193">
        <f t="shared" si="4"/>
        <v>2136.2290523207907</v>
      </c>
      <c r="L179" s="194">
        <f>_xlfn.XLOOKUP(D179,'[5]Tourism Receipts'!$B$6:$B$271,'[5]Tourism Receipts'!$BK$6:$BK$271)</f>
        <v>92000000</v>
      </c>
      <c r="M179" s="195">
        <f t="shared" si="5"/>
        <v>6.2698969600158569E-2</v>
      </c>
      <c r="N179">
        <f>_xlfn.XLOOKUP(D179,'[6]API_NV.AGR.TOTL.ZS_DS2_en_csv_v'!$B$6:$B$271,'[6]API_NV.AGR.TOTL.ZS_DS2_en_csv_v'!$BL$6:$BL$271)</f>
        <v>0</v>
      </c>
      <c r="O179" s="188">
        <f>_xlfn.XLOOKUP(D179,'[7]API_SP.RUR.TOTL_DS2_en_csv_v2_4'!$B$6:$B$271,'[7]API_SP.RUR.TOTL_DS2_en_csv_v2_4'!$BM$6:$BM$271)</f>
        <v>517425</v>
      </c>
      <c r="P179" s="188">
        <f>_xlfn.XLOOKUP(D179,'[8]API_AG.PRD.FOOD.XD_DS2_en_csv_v'!$B$6:$B$271,'[8]API_AG.PRD.FOOD.XD_DS2_en_csv_v'!$BM$6:$BM$271)</f>
        <v>105.85</v>
      </c>
      <c r="Q179">
        <f>_xlfn.XLOOKUP(D179,'[9]API_NE.IMP.GNFS.ZS_DS2_en_csv_v'!$B$6:$B$271,'[9]API_NE.IMP.GNFS.ZS_DS2_en_csv_v'!$BK$6:$BK$271)</f>
        <v>47.574869062751802</v>
      </c>
      <c r="R179">
        <f>_xlfn.XLOOKUP(D179,'[10]API_NE.EXP.GNFS.ZS_DS2_en_csv_v'!$B$6:$B$271,'[10]API_NE.EXP.GNFS.ZS_DS2_en_csv_v'!$BL$6:$BL$271)</f>
        <v>37.641599781812502</v>
      </c>
      <c r="S179">
        <f>_xlfn.XLOOKUP(D179,'[11]API_EG.USE.ELEC.KH.PC_DS2_en_cs'!$B$6:$B$271,'[11]API_EG.USE.ELEC.KH.PC_DS2_en_cs'!$BG$6:$BG$271)</f>
        <v>0</v>
      </c>
      <c r="T179">
        <f>_xlfn.XLOOKUP(D179,'[12]API_EN.POP.DNST_DS2_en_csv_v2_4'!$B$6:$B$271,'[12]API_EN.POP.DNST_DS2_en_csv_v2_4'!$BM$6:$BM$271)</f>
        <v>24.540121471954301</v>
      </c>
    </row>
    <row r="180" spans="1:20" x14ac:dyDescent="0.2">
      <c r="A180" s="161" t="s">
        <v>154</v>
      </c>
      <c r="B180" s="161">
        <v>706</v>
      </c>
      <c r="C180" s="161" t="s">
        <v>850</v>
      </c>
      <c r="D180" t="str">
        <f>_xlfn.XLOOKUP(B180,'Country Code M49'!$B$2:$B$250,'Country Code M49'!$C$2:$C$250,,0)</f>
        <v>SOM</v>
      </c>
      <c r="E180" s="162">
        <v>102.69433227860404</v>
      </c>
      <c r="F180" s="162">
        <v>1585898.3039452543</v>
      </c>
      <c r="G180" s="160" t="s">
        <v>877</v>
      </c>
      <c r="H180" s="188">
        <f>_xlfn.XLOOKUP(D180,'[1]World Population'!$C$2:$C$267,'[1]World Population'!$BN$2:$BN$267)</f>
        <v>15893219</v>
      </c>
      <c r="I180" s="188">
        <v>100</v>
      </c>
      <c r="J180" s="194">
        <f>_xlfn.XLOOKUP(D180,'[2]GDP 2015 Constant'!$B$6:$B$271,'[2]GDP 2015 Constant'!$BM$6:$BM$271)</f>
        <v>7069119939</v>
      </c>
      <c r="K180" s="193">
        <f t="shared" si="4"/>
        <v>444.78843077667273</v>
      </c>
      <c r="L180" s="194">
        <f>_xlfn.XLOOKUP(D180,'[5]Tourism Receipts'!$B$6:$B$271,'[5]Tourism Receipts'!$BK$6:$BK$271)</f>
        <v>0</v>
      </c>
      <c r="M180" s="195">
        <f t="shared" si="5"/>
        <v>0</v>
      </c>
      <c r="N180">
        <f>_xlfn.XLOOKUP(D180,'[6]API_NV.AGR.TOTL.ZS_DS2_en_csv_v'!$B$6:$B$271,'[6]API_NV.AGR.TOTL.ZS_DS2_en_csv_v'!$BL$6:$BL$271)</f>
        <v>0</v>
      </c>
      <c r="O180" s="188">
        <f>_xlfn.XLOOKUP(D180,'[7]API_SP.RUR.TOTL_DS2_en_csv_v2_4'!$B$6:$B$271,'[7]API_SP.RUR.TOTL_DS2_en_csv_v2_4'!$BM$6:$BM$271)</f>
        <v>8559929</v>
      </c>
      <c r="P180" s="188">
        <f>_xlfn.XLOOKUP(D180,'[8]API_AG.PRD.FOOD.XD_DS2_en_csv_v'!$B$6:$B$271,'[8]API_AG.PRD.FOOD.XD_DS2_en_csv_v'!$BM$6:$BM$271)</f>
        <v>99.55</v>
      </c>
      <c r="Q180">
        <f>_xlfn.XLOOKUP(D180,'[9]API_NE.IMP.GNFS.ZS_DS2_en_csv_v'!$B$6:$B$271,'[9]API_NE.IMP.GNFS.ZS_DS2_en_csv_v'!$BK$6:$BK$271)</f>
        <v>87.562511937012601</v>
      </c>
      <c r="R180">
        <f>_xlfn.XLOOKUP(D180,'[10]API_NE.EXP.GNFS.ZS_DS2_en_csv_v'!$B$6:$B$271,'[10]API_NE.EXP.GNFS.ZS_DS2_en_csv_v'!$BL$6:$BL$271)</f>
        <v>17.462665198879801</v>
      </c>
      <c r="S180">
        <f>_xlfn.XLOOKUP(D180,'[11]API_EG.USE.ELEC.KH.PC_DS2_en_cs'!$B$6:$B$271,'[11]API_EG.USE.ELEC.KH.PC_DS2_en_cs'!$BG$6:$BG$271)</f>
        <v>0</v>
      </c>
      <c r="T180">
        <f>_xlfn.XLOOKUP(D180,'[12]API_EN.POP.DNST_DS2_en_csv_v2_4'!$B$6:$B$271,'[12]API_EN.POP.DNST_DS2_en_csv_v2_4'!$BM$6:$BM$271)</f>
        <v>25.334298785347698</v>
      </c>
    </row>
    <row r="181" spans="1:20" x14ac:dyDescent="0.2">
      <c r="A181" s="161" t="s">
        <v>154</v>
      </c>
      <c r="B181" s="161">
        <v>710</v>
      </c>
      <c r="C181" s="161" t="s">
        <v>135</v>
      </c>
      <c r="D181" t="str">
        <f>_xlfn.XLOOKUP(B181,'Country Code M49'!$B$2:$B$250,'Country Code M49'!$C$2:$C$250,,0)</f>
        <v>ZAF</v>
      </c>
      <c r="E181" s="162">
        <v>39.776225349883873</v>
      </c>
      <c r="F181" s="162">
        <v>2329228.1369061051</v>
      </c>
      <c r="G181" s="160" t="s">
        <v>873</v>
      </c>
      <c r="H181" s="188">
        <f>_xlfn.XLOOKUP(D181,'[1]World Population'!$C$2:$C$267,'[1]World Population'!$BN$2:$BN$267)</f>
        <v>59308690</v>
      </c>
      <c r="I181" s="188">
        <v>100</v>
      </c>
      <c r="J181" s="194">
        <f>_xlfn.XLOOKUP(D181,'[2]GDP 2015 Constant'!$B$6:$B$271,'[2]GDP 2015 Constant'!$BM$6:$BM$271)</f>
        <v>335640000000</v>
      </c>
      <c r="K181" s="193">
        <f t="shared" si="4"/>
        <v>5659.2044100114163</v>
      </c>
      <c r="L181" s="194">
        <f>_xlfn.XLOOKUP(D181,'[5]Tourism Receipts'!$B$6:$B$271,'[5]Tourism Receipts'!$BK$6:$BK$271)</f>
        <v>9789000000</v>
      </c>
      <c r="M181" s="195">
        <f t="shared" si="5"/>
        <v>2.9165176975330713E-2</v>
      </c>
      <c r="N181">
        <f>_xlfn.XLOOKUP(D181,'[6]API_NV.AGR.TOTL.ZS_DS2_en_csv_v'!$B$6:$B$271,'[6]API_NV.AGR.TOTL.ZS_DS2_en_csv_v'!$BL$6:$BL$271)</f>
        <v>1.96430245840516</v>
      </c>
      <c r="O181" s="188">
        <f>_xlfn.XLOOKUP(D181,'[7]API_SP.RUR.TOTL_DS2_en_csv_v2_4'!$B$6:$B$271,'[7]API_SP.RUR.TOTL_DS2_en_csv_v2_4'!$BM$6:$BM$271)</f>
        <v>19361915</v>
      </c>
      <c r="P181" s="188">
        <f>_xlfn.XLOOKUP(D181,'[8]API_AG.PRD.FOOD.XD_DS2_en_csv_v'!$B$6:$B$271,'[8]API_AG.PRD.FOOD.XD_DS2_en_csv_v'!$BM$6:$BM$271)</f>
        <v>111</v>
      </c>
      <c r="Q181">
        <f>_xlfn.XLOOKUP(D181,'[9]API_NE.IMP.GNFS.ZS_DS2_en_csv_v'!$B$6:$B$271,'[9]API_NE.IMP.GNFS.ZS_DS2_en_csv_v'!$BK$6:$BK$271)</f>
        <v>27.018995448259901</v>
      </c>
      <c r="R181">
        <f>_xlfn.XLOOKUP(D181,'[10]API_NE.EXP.GNFS.ZS_DS2_en_csv_v'!$B$6:$B$271,'[10]API_NE.EXP.GNFS.ZS_DS2_en_csv_v'!$BL$6:$BL$271)</f>
        <v>27.342180492264799</v>
      </c>
      <c r="S181">
        <f>_xlfn.XLOOKUP(D181,'[11]API_EG.USE.ELEC.KH.PC_DS2_en_cs'!$B$6:$B$271,'[11]API_EG.USE.ELEC.KH.PC_DS2_en_cs'!$BG$6:$BG$271)</f>
        <v>4198.0461198209496</v>
      </c>
      <c r="T181">
        <f>_xlfn.XLOOKUP(D181,'[12]API_EN.POP.DNST_DS2_en_csv_v2_4'!$B$6:$B$271,'[12]API_EN.POP.DNST_DS2_en_csv_v2_4'!$BM$6:$BM$271)</f>
        <v>48.890593443190497</v>
      </c>
    </row>
    <row r="182" spans="1:20" x14ac:dyDescent="0.2">
      <c r="A182" s="161" t="s">
        <v>154</v>
      </c>
      <c r="B182" s="161">
        <v>728</v>
      </c>
      <c r="C182" s="161" t="s">
        <v>851</v>
      </c>
      <c r="D182" t="str">
        <f>_xlfn.XLOOKUP(B182,'Country Code M49'!$B$2:$B$250,'Country Code M49'!$C$2:$C$250,,0)</f>
        <v>SSD</v>
      </c>
      <c r="E182" s="162">
        <v>102.69433227860404</v>
      </c>
      <c r="F182" s="162">
        <v>1136014.9730991456</v>
      </c>
      <c r="G182" s="160" t="s">
        <v>877</v>
      </c>
      <c r="H182" s="188">
        <f>_xlfn.XLOOKUP(D182,'[1]World Population'!$C$2:$C$267,'[1]World Population'!$BN$2:$BN$267)</f>
        <v>11193729</v>
      </c>
      <c r="I182" s="188">
        <v>100</v>
      </c>
      <c r="J182" s="194" t="e">
        <f>_xlfn.XLOOKUP(D182,'[2]GDP 2015 Constant'!$B$6:$B$271,'[2]GDP 2015 Constant'!$BM$6:$BM$271)</f>
        <v>#REF!</v>
      </c>
      <c r="K182" s="193" t="e">
        <f t="shared" si="4"/>
        <v>#REF!</v>
      </c>
      <c r="L182" s="194">
        <f>_xlfn.XLOOKUP(D182,'[5]Tourism Receipts'!$B$6:$B$271,'[5]Tourism Receipts'!$BK$6:$BK$271)</f>
        <v>12000000</v>
      </c>
      <c r="M182" s="195" t="e">
        <f t="shared" si="5"/>
        <v>#REF!</v>
      </c>
      <c r="N182">
        <f>_xlfn.XLOOKUP(D182,'[6]API_NV.AGR.TOTL.ZS_DS2_en_csv_v'!$B$6:$B$271,'[6]API_NV.AGR.TOTL.ZS_DS2_en_csv_v'!$BL$6:$BL$271)</f>
        <v>10.2201185288727</v>
      </c>
      <c r="O182" s="188">
        <f>_xlfn.XLOOKUP(D182,'[7]API_SP.RUR.TOTL_DS2_en_csv_v2_4'!$B$6:$B$271,'[7]API_SP.RUR.TOTL_DS2_en_csv_v2_4'!$BM$6:$BM$271)</f>
        <v>8932708</v>
      </c>
      <c r="P182" s="188">
        <f>_xlfn.XLOOKUP(D182,'[8]API_AG.PRD.FOOD.XD_DS2_en_csv_v'!$B$6:$B$271,'[8]API_AG.PRD.FOOD.XD_DS2_en_csv_v'!$BM$6:$BM$271)</f>
        <v>102.53</v>
      </c>
      <c r="Q182">
        <f>_xlfn.XLOOKUP(D182,'[9]API_NE.IMP.GNFS.ZS_DS2_en_csv_v'!$B$6:$B$271,'[9]API_NE.IMP.GNFS.ZS_DS2_en_csv_v'!$BK$6:$BK$271)</f>
        <v>0</v>
      </c>
      <c r="R182">
        <f>_xlfn.XLOOKUP(D182,'[10]API_NE.EXP.GNFS.ZS_DS2_en_csv_v'!$B$6:$B$271,'[10]API_NE.EXP.GNFS.ZS_DS2_en_csv_v'!$BL$6:$BL$271)</f>
        <v>0</v>
      </c>
      <c r="S182">
        <f>_xlfn.XLOOKUP(D182,'[11]API_EG.USE.ELEC.KH.PC_DS2_en_cs'!$B$6:$B$271,'[11]API_EG.USE.ELEC.KH.PC_DS2_en_cs'!$BG$6:$BG$271)</f>
        <v>43.581728341444297</v>
      </c>
      <c r="T182">
        <f>_xlfn.XLOOKUP(D182,'[12]API_EN.POP.DNST_DS2_en_csv_v2_4'!$B$6:$B$271,'[12]API_EN.POP.DNST_DS2_en_csv_v2_4'!$BM$6:$BM$271)</f>
        <v>17.713558463753898</v>
      </c>
    </row>
    <row r="183" spans="1:20" x14ac:dyDescent="0.2">
      <c r="A183" s="161" t="s">
        <v>155</v>
      </c>
      <c r="B183" s="161">
        <v>724</v>
      </c>
      <c r="C183" s="161" t="s">
        <v>136</v>
      </c>
      <c r="D183" t="str">
        <f>_xlfn.XLOOKUP(B183,'Country Code M49'!$B$2:$B$250,'Country Code M49'!$C$2:$C$250,,0)</f>
        <v>ESP</v>
      </c>
      <c r="E183" s="162">
        <v>77.325664727760767</v>
      </c>
      <c r="F183" s="162">
        <v>3613954.1272484092</v>
      </c>
      <c r="G183" s="160" t="s">
        <v>873</v>
      </c>
      <c r="H183" s="188">
        <f>_xlfn.XLOOKUP(D183,'[1]World Population'!$C$2:$C$267,'[1]World Population'!$BN$2:$BN$267)</f>
        <v>47363419</v>
      </c>
      <c r="I183" s="188">
        <v>100</v>
      </c>
      <c r="J183" s="194">
        <f>_xlfn.XLOOKUP(D183,'[2]GDP 2015 Constant'!$B$6:$B$271,'[2]GDP 2015 Constant'!$BM$6:$BM$271)</f>
        <v>1181210000000</v>
      </c>
      <c r="K183" s="193">
        <f t="shared" si="4"/>
        <v>24939.289116775966</v>
      </c>
      <c r="L183" s="194">
        <f>_xlfn.XLOOKUP(D183,'[5]Tourism Receipts'!$B$6:$B$271,'[5]Tourism Receipts'!$BK$6:$BK$271)</f>
        <v>0</v>
      </c>
      <c r="M183" s="195">
        <f t="shared" si="5"/>
        <v>0</v>
      </c>
      <c r="N183">
        <f>_xlfn.XLOOKUP(D183,'[6]API_NV.AGR.TOTL.ZS_DS2_en_csv_v'!$B$6:$B$271,'[6]API_NV.AGR.TOTL.ZS_DS2_en_csv_v'!$BL$6:$BL$271)</f>
        <v>2.5946358613761902</v>
      </c>
      <c r="O183" s="188">
        <f>_xlfn.XLOOKUP(D183,'[7]API_SP.RUR.TOTL_DS2_en_csv_v2_4'!$B$6:$B$271,'[7]API_SP.RUR.TOTL_DS2_en_csv_v2_4'!$BM$6:$BM$271)</f>
        <v>9089040</v>
      </c>
      <c r="P183" s="188">
        <f>_xlfn.XLOOKUP(D183,'[8]API_AG.PRD.FOOD.XD_DS2_en_csv_v'!$B$6:$B$271,'[8]API_AG.PRD.FOOD.XD_DS2_en_csv_v'!$BM$6:$BM$271)</f>
        <v>117.59</v>
      </c>
      <c r="Q183">
        <f>_xlfn.XLOOKUP(D183,'[9]API_NE.IMP.GNFS.ZS_DS2_en_csv_v'!$B$6:$B$271,'[9]API_NE.IMP.GNFS.ZS_DS2_en_csv_v'!$BK$6:$BK$271)</f>
        <v>32.445549960565401</v>
      </c>
      <c r="R183">
        <f>_xlfn.XLOOKUP(D183,'[10]API_NE.EXP.GNFS.ZS_DS2_en_csv_v'!$B$6:$B$271,'[10]API_NE.EXP.GNFS.ZS_DS2_en_csv_v'!$BL$6:$BL$271)</f>
        <v>34.954655951783003</v>
      </c>
      <c r="S183">
        <f>_xlfn.XLOOKUP(D183,'[11]API_EG.USE.ELEC.KH.PC_DS2_en_cs'!$B$6:$B$271,'[11]API_EG.USE.ELEC.KH.PC_DS2_en_cs'!$BG$6:$BG$271)</f>
        <v>5355.9870055822103</v>
      </c>
      <c r="T183">
        <f>_xlfn.XLOOKUP(D183,'[12]API_EN.POP.DNST_DS2_en_csv_v2_4'!$B$6:$B$271,'[12]API_EN.POP.DNST_DS2_en_csv_v2_4'!$BM$6:$BM$271)</f>
        <v>94.810907780037596</v>
      </c>
    </row>
    <row r="184" spans="1:20" x14ac:dyDescent="0.2">
      <c r="A184" s="161" t="s">
        <v>149</v>
      </c>
      <c r="B184" s="161">
        <v>144</v>
      </c>
      <c r="C184" s="161" t="s">
        <v>137</v>
      </c>
      <c r="D184" t="str">
        <f>_xlfn.XLOOKUP(B184,'Country Code M49'!$B$2:$B$250,'Country Code M49'!$C$2:$C$250,,0)</f>
        <v>LKA</v>
      </c>
      <c r="E184" s="162">
        <v>75.865712250000001</v>
      </c>
      <c r="F184" s="162">
        <v>1617737.6883053251</v>
      </c>
      <c r="G184" s="160" t="s">
        <v>873</v>
      </c>
      <c r="H184" s="188">
        <f>_xlfn.XLOOKUP(D184,'[1]World Population'!$C$2:$C$267,'[1]World Population'!$BN$2:$BN$267)</f>
        <v>21919000</v>
      </c>
      <c r="I184" s="188">
        <v>100</v>
      </c>
      <c r="J184" s="194">
        <f>_xlfn.XLOOKUP(D184,'[2]GDP 2015 Constant'!$B$6:$B$271,'[2]GDP 2015 Constant'!$BM$6:$BM$271)</f>
        <v>88853624203</v>
      </c>
      <c r="K184" s="193">
        <f t="shared" si="4"/>
        <v>4053.7261829006798</v>
      </c>
      <c r="L184" s="194">
        <f>_xlfn.XLOOKUP(D184,'[5]Tourism Receipts'!$B$6:$B$271,'[5]Tourism Receipts'!$BK$6:$BK$271)</f>
        <v>5608000000</v>
      </c>
      <c r="M184" s="195">
        <f t="shared" si="5"/>
        <v>6.3115039485476102E-2</v>
      </c>
      <c r="N184">
        <f>_xlfn.XLOOKUP(D184,'[6]API_NV.AGR.TOTL.ZS_DS2_en_csv_v'!$B$6:$B$271,'[6]API_NV.AGR.TOTL.ZS_DS2_en_csv_v'!$BL$6:$BL$271)</f>
        <v>7.5788705994159802</v>
      </c>
      <c r="O184" s="188">
        <f>_xlfn.XLOOKUP(D184,'[7]API_SP.RUR.TOTL_DS2_en_csv_v2_4'!$B$6:$B$271,'[7]API_SP.RUR.TOTL_DS2_en_csv_v2_4'!$BM$6:$BM$271)</f>
        <v>17817298</v>
      </c>
      <c r="P184" s="188">
        <f>_xlfn.XLOOKUP(D184,'[8]API_AG.PRD.FOOD.XD_DS2_en_csv_v'!$B$6:$B$271,'[8]API_AG.PRD.FOOD.XD_DS2_en_csv_v'!$BM$6:$BM$271)</f>
        <v>126.18</v>
      </c>
      <c r="Q184">
        <f>_xlfn.XLOOKUP(D184,'[9]API_NE.IMP.GNFS.ZS_DS2_en_csv_v'!$B$6:$B$271,'[9]API_NE.IMP.GNFS.ZS_DS2_en_csv_v'!$BK$6:$BK$271)</f>
        <v>30.468966506444598</v>
      </c>
      <c r="R184">
        <f>_xlfn.XLOOKUP(D184,'[10]API_NE.EXP.GNFS.ZS_DS2_en_csv_v'!$B$6:$B$271,'[10]API_NE.EXP.GNFS.ZS_DS2_en_csv_v'!$BL$6:$BL$271)</f>
        <v>23.153299138717902</v>
      </c>
      <c r="S184">
        <f>_xlfn.XLOOKUP(D184,'[11]API_EG.USE.ELEC.KH.PC_DS2_en_cs'!$B$6:$B$271,'[11]API_EG.USE.ELEC.KH.PC_DS2_en_cs'!$BG$6:$BG$271)</f>
        <v>531.09057657137396</v>
      </c>
      <c r="T184">
        <f>_xlfn.XLOOKUP(D184,'[12]API_EN.POP.DNST_DS2_en_csv_v2_4'!$B$6:$B$271,'[12]API_EN.POP.DNST_DS2_en_csv_v2_4'!$BM$6:$BM$271)</f>
        <v>354.33236340122897</v>
      </c>
    </row>
    <row r="185" spans="1:20" x14ac:dyDescent="0.2">
      <c r="A185" s="161" t="s">
        <v>148</v>
      </c>
      <c r="B185" s="161">
        <v>275</v>
      </c>
      <c r="C185" s="161" t="s">
        <v>863</v>
      </c>
      <c r="D185" t="str">
        <f>_xlfn.XLOOKUP(B185,'Country Code M49'!$B$2:$B$250,'Country Code M49'!$C$2:$C$250,,0)</f>
        <v>PSE</v>
      </c>
      <c r="E185" s="162">
        <v>100.69494601436261</v>
      </c>
      <c r="F185" s="162">
        <v>501601.80407594593</v>
      </c>
      <c r="G185" s="160" t="s">
        <v>877</v>
      </c>
      <c r="H185" s="188">
        <f>_xlfn.XLOOKUP(D185,'[1]World Population'!$C$2:$C$267,'[1]World Population'!$BN$2:$BN$267)</f>
        <v>4803269</v>
      </c>
      <c r="I185" s="188">
        <v>100</v>
      </c>
      <c r="J185" s="194">
        <f>_xlfn.XLOOKUP(D185,'[2]GDP 2015 Constant'!$B$6:$B$271,'[2]GDP 2015 Constant'!$BM$6:$BM$271)</f>
        <v>14037400000</v>
      </c>
      <c r="K185" s="193">
        <f t="shared" si="4"/>
        <v>2922.4680108484449</v>
      </c>
      <c r="L185" s="194">
        <f>_xlfn.XLOOKUP(D185,'[5]Tourism Receipts'!$B$6:$B$271,'[5]Tourism Receipts'!$BK$6:$BK$271)</f>
        <v>245000000</v>
      </c>
      <c r="M185" s="195">
        <f t="shared" si="5"/>
        <v>1.745337455654181E-2</v>
      </c>
      <c r="N185">
        <f>_xlfn.XLOOKUP(D185,'[6]API_NV.AGR.TOTL.ZS_DS2_en_csv_v'!$B$6:$B$271,'[6]API_NV.AGR.TOTL.ZS_DS2_en_csv_v'!$BL$6:$BL$271)</f>
        <v>7.0540169842705804</v>
      </c>
      <c r="O185" s="188">
        <f>_xlfn.XLOOKUP(D185,'[7]API_SP.RUR.TOTL_DS2_en_csv_v2_4'!$B$6:$B$271,'[7]API_SP.RUR.TOTL_DS2_en_csv_v2_4'!$BM$6:$BM$271)</f>
        <v>1118249</v>
      </c>
      <c r="P185" s="188">
        <f>_xlfn.XLOOKUP(D185,'[8]API_AG.PRD.FOOD.XD_DS2_en_csv_v'!$B$6:$B$271,'[8]API_AG.PRD.FOOD.XD_DS2_en_csv_v'!$BM$6:$BM$271)</f>
        <v>107.64</v>
      </c>
      <c r="Q185">
        <f>_xlfn.XLOOKUP(D185,'[9]API_NE.IMP.GNFS.ZS_DS2_en_csv_v'!$B$6:$B$271,'[9]API_NE.IMP.GNFS.ZS_DS2_en_csv_v'!$BK$6:$BK$271)</f>
        <v>55.439710996153998</v>
      </c>
      <c r="R185">
        <f>_xlfn.XLOOKUP(D185,'[10]API_NE.EXP.GNFS.ZS_DS2_en_csv_v'!$B$6:$B$271,'[10]API_NE.EXP.GNFS.ZS_DS2_en_csv_v'!$BL$6:$BL$271)</f>
        <v>15.521055242653301</v>
      </c>
      <c r="S185">
        <f>_xlfn.XLOOKUP(D185,'[11]API_EG.USE.ELEC.KH.PC_DS2_en_cs'!$B$6:$B$271,'[11]API_EG.USE.ELEC.KH.PC_DS2_en_cs'!$BG$6:$BG$271)</f>
        <v>0</v>
      </c>
      <c r="T185">
        <f>_xlfn.XLOOKUP(D185,'[12]API_EN.POP.DNST_DS2_en_csv_v2_4'!$B$6:$B$271,'[12]API_EN.POP.DNST_DS2_en_csv_v2_4'!$BM$6:$BM$271)</f>
        <v>797.88521594684403</v>
      </c>
    </row>
    <row r="186" spans="1:20" x14ac:dyDescent="0.2">
      <c r="A186" s="161" t="s">
        <v>876</v>
      </c>
      <c r="B186" s="161">
        <v>729</v>
      </c>
      <c r="C186" s="161" t="s">
        <v>768</v>
      </c>
      <c r="D186" t="str">
        <f>_xlfn.XLOOKUP(B186,'Country Code M49'!$B$2:$B$250,'Country Code M49'!$C$2:$C$250,,0)</f>
        <v>SDN</v>
      </c>
      <c r="E186" s="162">
        <v>97.222250733275928</v>
      </c>
      <c r="F186" s="162">
        <v>4162395.6650938885</v>
      </c>
      <c r="G186" s="160" t="s">
        <v>872</v>
      </c>
      <c r="H186" s="188">
        <f>_xlfn.XLOOKUP(D186,'[1]World Population'!$C$2:$C$267,'[1]World Population'!$BN$2:$BN$267)</f>
        <v>43849269</v>
      </c>
      <c r="I186" s="188">
        <v>100</v>
      </c>
      <c r="J186" s="194">
        <f>_xlfn.XLOOKUP(D186,'[2]GDP 2015 Constant'!$B$6:$B$271,'[2]GDP 2015 Constant'!$BM$6:$BM$271)</f>
        <v>81244318743</v>
      </c>
      <c r="K186" s="193">
        <f t="shared" si="4"/>
        <v>1852.8089657093258</v>
      </c>
      <c r="L186" s="194">
        <f>_xlfn.XLOOKUP(D186,'[5]Tourism Receipts'!$B$6:$B$271,'[5]Tourism Receipts'!$BK$6:$BK$271)</f>
        <v>1043000000</v>
      </c>
      <c r="M186" s="195">
        <f t="shared" si="5"/>
        <v>1.283782073795609E-2</v>
      </c>
      <c r="N186">
        <f>_xlfn.XLOOKUP(D186,'[6]API_NV.AGR.TOTL.ZS_DS2_en_csv_v'!$B$6:$B$271,'[6]API_NV.AGR.TOTL.ZS_DS2_en_csv_v'!$BL$6:$BL$271)</f>
        <v>20.164015348444298</v>
      </c>
      <c r="O186" s="188">
        <f>_xlfn.XLOOKUP(D186,'[7]API_SP.RUR.TOTL_DS2_en_csv_v2_4'!$B$6:$B$271,'[7]API_SP.RUR.TOTL_DS2_en_csv_v2_4'!$BM$6:$BM$271)</f>
        <v>28391086</v>
      </c>
      <c r="P186" s="188">
        <f>_xlfn.XLOOKUP(D186,'[8]API_AG.PRD.FOOD.XD_DS2_en_csv_v'!$B$6:$B$271,'[8]API_AG.PRD.FOOD.XD_DS2_en_csv_v'!$BM$6:$BM$271)</f>
        <v>114.82</v>
      </c>
      <c r="Q186">
        <f>_xlfn.XLOOKUP(D186,'[9]API_NE.IMP.GNFS.ZS_DS2_en_csv_v'!$B$6:$B$271,'[9]API_NE.IMP.GNFS.ZS_DS2_en_csv_v'!$BK$6:$BK$271)</f>
        <v>0.683885496149084</v>
      </c>
      <c r="R186">
        <f>_xlfn.XLOOKUP(D186,'[10]API_NE.EXP.GNFS.ZS_DS2_en_csv_v'!$B$6:$B$271,'[10]API_NE.EXP.GNFS.ZS_DS2_en_csv_v'!$BL$6:$BL$271)</f>
        <v>0.63057414727658201</v>
      </c>
      <c r="S186">
        <f>_xlfn.XLOOKUP(D186,'[11]API_EG.USE.ELEC.KH.PC_DS2_en_cs'!$B$6:$B$271,'[11]API_EG.USE.ELEC.KH.PC_DS2_en_cs'!$BG$6:$BG$271)</f>
        <v>256.75622906384098</v>
      </c>
      <c r="T186">
        <f>_xlfn.XLOOKUP(D186,'[12]API_EN.POP.DNST_DS2_en_csv_v2_4'!$B$6:$B$271,'[12]API_EN.POP.DNST_DS2_en_csv_v2_4'!$BM$6:$BM$271)</f>
        <v>23.473912740899401</v>
      </c>
    </row>
    <row r="187" spans="1:20" x14ac:dyDescent="0.2">
      <c r="A187" s="161" t="s">
        <v>150</v>
      </c>
      <c r="B187" s="161">
        <v>740</v>
      </c>
      <c r="C187" s="161" t="s">
        <v>746</v>
      </c>
      <c r="D187" t="str">
        <f>_xlfn.XLOOKUP(B187,'Country Code M49'!$B$2:$B$250,'Country Code M49'!$C$2:$C$250,,0)</f>
        <v>SUR</v>
      </c>
      <c r="E187" s="162">
        <v>72.432162730095172</v>
      </c>
      <c r="F187" s="162">
        <v>42112.059411277332</v>
      </c>
      <c r="G187" s="160" t="s">
        <v>872</v>
      </c>
      <c r="H187" s="188">
        <f>_xlfn.XLOOKUP(D187,'[1]World Population'!$C$2:$C$267,'[1]World Population'!$BN$2:$BN$267)</f>
        <v>586634</v>
      </c>
      <c r="I187" s="188">
        <v>100</v>
      </c>
      <c r="J187" s="194">
        <f>_xlfn.XLOOKUP(D187,'[2]GDP 2015 Constant'!$B$6:$B$271,'[2]GDP 2015 Constant'!$BM$6:$BM$271)</f>
        <v>4417127638</v>
      </c>
      <c r="K187" s="193">
        <f t="shared" si="4"/>
        <v>7529.6141001033011</v>
      </c>
      <c r="L187" s="194">
        <f>_xlfn.XLOOKUP(D187,'[5]Tourism Receipts'!$B$6:$B$271,'[5]Tourism Receipts'!$BK$6:$BK$271)</f>
        <v>73000000</v>
      </c>
      <c r="M187" s="195">
        <f t="shared" si="5"/>
        <v>1.6526576993607808E-2</v>
      </c>
      <c r="N187">
        <f>_xlfn.XLOOKUP(D187,'[6]API_NV.AGR.TOTL.ZS_DS2_en_csv_v'!$B$6:$B$271,'[6]API_NV.AGR.TOTL.ZS_DS2_en_csv_v'!$BL$6:$BL$271)</f>
        <v>8.6649938061811103</v>
      </c>
      <c r="O187" s="188">
        <f>_xlfn.XLOOKUP(D187,'[7]API_SP.RUR.TOTL_DS2_en_csv_v2_4'!$B$6:$B$271,'[7]API_SP.RUR.TOTL_DS2_en_csv_v2_4'!$BM$6:$BM$271)</f>
        <v>198581</v>
      </c>
      <c r="P187" s="188">
        <f>_xlfn.XLOOKUP(D187,'[8]API_AG.PRD.FOOD.XD_DS2_en_csv_v'!$B$6:$B$271,'[8]API_AG.PRD.FOOD.XD_DS2_en_csv_v'!$BM$6:$BM$271)</f>
        <v>99.78</v>
      </c>
      <c r="Q187">
        <f>_xlfn.XLOOKUP(D187,'[9]API_NE.IMP.GNFS.ZS_DS2_en_csv_v'!$B$6:$B$271,'[9]API_NE.IMP.GNFS.ZS_DS2_en_csv_v'!$BK$6:$BK$271)</f>
        <v>0</v>
      </c>
      <c r="R187">
        <f>_xlfn.XLOOKUP(D187,'[10]API_NE.EXP.GNFS.ZS_DS2_en_csv_v'!$B$6:$B$271,'[10]API_NE.EXP.GNFS.ZS_DS2_en_csv_v'!$BL$6:$BL$271)</f>
        <v>0</v>
      </c>
      <c r="S187">
        <f>_xlfn.XLOOKUP(D187,'[11]API_EG.USE.ELEC.KH.PC_DS2_en_cs'!$B$6:$B$271,'[11]API_EG.USE.ELEC.KH.PC_DS2_en_cs'!$BG$6:$BG$271)</f>
        <v>3596.7452166903399</v>
      </c>
      <c r="T187">
        <f>_xlfn.XLOOKUP(D187,'[12]API_EN.POP.DNST_DS2_en_csv_v2_4'!$B$6:$B$271,'[12]API_EN.POP.DNST_DS2_en_csv_v2_4'!$BM$6:$BM$271)</f>
        <v>3.7604743589743599</v>
      </c>
    </row>
    <row r="188" spans="1:20" x14ac:dyDescent="0.2">
      <c r="A188" s="161" t="s">
        <v>153</v>
      </c>
      <c r="B188" s="161">
        <v>752</v>
      </c>
      <c r="C188" s="161" t="s">
        <v>138</v>
      </c>
      <c r="D188" t="str">
        <f>_xlfn.XLOOKUP(B188,'Country Code M49'!$B$2:$B$250,'Country Code M49'!$C$2:$C$250,,0)</f>
        <v>SWE</v>
      </c>
      <c r="E188" s="162">
        <v>81</v>
      </c>
      <c r="F188" s="162">
        <v>812948.4</v>
      </c>
      <c r="G188" s="160" t="s">
        <v>870</v>
      </c>
      <c r="H188" s="188">
        <f>_xlfn.XLOOKUP(D188,'[1]World Population'!$C$2:$C$267,'[1]World Population'!$BN$2:$BN$267)</f>
        <v>10353442</v>
      </c>
      <c r="I188" s="188">
        <v>100</v>
      </c>
      <c r="J188" s="194">
        <f>_xlfn.XLOOKUP(D188,'[2]GDP 2015 Constant'!$B$6:$B$271,'[2]GDP 2015 Constant'!$BM$6:$BM$271)</f>
        <v>533634000000</v>
      </c>
      <c r="K188" s="193">
        <f t="shared" si="4"/>
        <v>51541.699852087841</v>
      </c>
      <c r="L188" s="194">
        <f>_xlfn.XLOOKUP(D188,'[5]Tourism Receipts'!$B$6:$B$271,'[5]Tourism Receipts'!$BK$6:$BK$271)</f>
        <v>0</v>
      </c>
      <c r="M188" s="195">
        <f t="shared" si="5"/>
        <v>0</v>
      </c>
      <c r="N188">
        <f>_xlfn.XLOOKUP(D188,'[6]API_NV.AGR.TOTL.ZS_DS2_en_csv_v'!$B$6:$B$271,'[6]API_NV.AGR.TOTL.ZS_DS2_en_csv_v'!$BL$6:$BL$271)</f>
        <v>1.39212483159621</v>
      </c>
      <c r="O188" s="188">
        <f>_xlfn.XLOOKUP(D188,'[7]API_SP.RUR.TOTL_DS2_en_csv_v2_4'!$B$6:$B$271,'[7]API_SP.RUR.TOTL_DS2_en_csv_v2_4'!$BM$6:$BM$271)</f>
        <v>1244794</v>
      </c>
      <c r="P188" s="188">
        <f>_xlfn.XLOOKUP(D188,'[8]API_AG.PRD.FOOD.XD_DS2_en_csv_v'!$B$6:$B$271,'[8]API_AG.PRD.FOOD.XD_DS2_en_csv_v'!$BM$6:$BM$271)</f>
        <v>101.23</v>
      </c>
      <c r="Q188">
        <f>_xlfn.XLOOKUP(D188,'[9]API_NE.IMP.GNFS.ZS_DS2_en_csv_v'!$B$6:$B$271,'[9]API_NE.IMP.GNFS.ZS_DS2_en_csv_v'!$BK$6:$BK$271)</f>
        <v>43.448136882790799</v>
      </c>
      <c r="R188">
        <f>_xlfn.XLOOKUP(D188,'[10]API_NE.EXP.GNFS.ZS_DS2_en_csv_v'!$B$6:$B$271,'[10]API_NE.EXP.GNFS.ZS_DS2_en_csv_v'!$BL$6:$BL$271)</f>
        <v>47.809210952351101</v>
      </c>
      <c r="S188">
        <f>_xlfn.XLOOKUP(D188,'[11]API_EG.USE.ELEC.KH.PC_DS2_en_cs'!$B$6:$B$271,'[11]API_EG.USE.ELEC.KH.PC_DS2_en_cs'!$BG$6:$BG$271)</f>
        <v>13480.148224391</v>
      </c>
      <c r="T188">
        <f>_xlfn.XLOOKUP(D188,'[12]API_EN.POP.DNST_DS2_en_csv_v2_4'!$B$6:$B$271,'[12]API_EN.POP.DNST_DS2_en_csv_v2_4'!$BM$6:$BM$271)</f>
        <v>25.420723369684399</v>
      </c>
    </row>
    <row r="189" spans="1:20" x14ac:dyDescent="0.2">
      <c r="A189" s="161" t="s">
        <v>147</v>
      </c>
      <c r="B189" s="161">
        <v>756</v>
      </c>
      <c r="C189" s="161" t="s">
        <v>139</v>
      </c>
      <c r="D189" t="str">
        <f>_xlfn.XLOOKUP(B189,'Country Code M49'!$B$2:$B$250,'Country Code M49'!$C$2:$C$250,,0)</f>
        <v>CHE</v>
      </c>
      <c r="E189" s="162">
        <v>71.675140154584682</v>
      </c>
      <c r="F189" s="162">
        <v>615789.79912409873</v>
      </c>
      <c r="G189" s="160" t="s">
        <v>877</v>
      </c>
      <c r="H189" s="188">
        <f>_xlfn.XLOOKUP(D189,'[1]World Population'!$C$2:$C$267,'[1]World Population'!$BN$2:$BN$267)</f>
        <v>8636561</v>
      </c>
      <c r="I189" s="188">
        <v>100</v>
      </c>
      <c r="J189" s="194">
        <f>_xlfn.XLOOKUP(D189,'[2]GDP 2015 Constant'!$B$6:$B$271,'[2]GDP 2015 Constant'!$BM$6:$BM$271)</f>
        <v>740026000000</v>
      </c>
      <c r="K189" s="193">
        <f t="shared" si="4"/>
        <v>85685.26291888635</v>
      </c>
      <c r="L189" s="194">
        <f>_xlfn.XLOOKUP(D189,'[5]Tourism Receipts'!$B$6:$B$271,'[5]Tourism Receipts'!$BK$6:$BK$271)</f>
        <v>21294000000</v>
      </c>
      <c r="M189" s="195">
        <f t="shared" si="5"/>
        <v>2.8774664673943889E-2</v>
      </c>
      <c r="N189">
        <f>_xlfn.XLOOKUP(D189,'[6]API_NV.AGR.TOTL.ZS_DS2_en_csv_v'!$B$6:$B$271,'[6]API_NV.AGR.TOTL.ZS_DS2_en_csv_v'!$BL$6:$BL$271)</f>
        <v>0.63051050855248003</v>
      </c>
      <c r="O189" s="188">
        <f>_xlfn.XLOOKUP(D189,'[7]API_SP.RUR.TOTL_DS2_en_csv_v2_4'!$B$6:$B$271,'[7]API_SP.RUR.TOTL_DS2_en_csv_v2_4'!$BM$6:$BM$271)</f>
        <v>2252847</v>
      </c>
      <c r="P189" s="188">
        <f>_xlfn.XLOOKUP(D189,'[8]API_AG.PRD.FOOD.XD_DS2_en_csv_v'!$B$6:$B$271,'[8]API_AG.PRD.FOOD.XD_DS2_en_csv_v'!$BM$6:$BM$271)</f>
        <v>98.27</v>
      </c>
      <c r="Q189">
        <f>_xlfn.XLOOKUP(D189,'[9]API_NE.IMP.GNFS.ZS_DS2_en_csv_v'!$B$6:$B$271,'[9]API_NE.IMP.GNFS.ZS_DS2_en_csv_v'!$BK$6:$BK$271)</f>
        <v>53.820979875051997</v>
      </c>
      <c r="R189">
        <f>_xlfn.XLOOKUP(D189,'[10]API_NE.EXP.GNFS.ZS_DS2_en_csv_v'!$B$6:$B$271,'[10]API_NE.EXP.GNFS.ZS_DS2_en_csv_v'!$BL$6:$BL$271)</f>
        <v>65.531704279317694</v>
      </c>
      <c r="S189">
        <f>_xlfn.XLOOKUP(D189,'[11]API_EG.USE.ELEC.KH.PC_DS2_en_cs'!$B$6:$B$271,'[11]API_EG.USE.ELEC.KH.PC_DS2_en_cs'!$BG$6:$BG$271)</f>
        <v>7520.1660249450197</v>
      </c>
      <c r="T189">
        <f>_xlfn.XLOOKUP(D189,'[12]API_EN.POP.DNST_DS2_en_csv_v2_4'!$B$6:$B$271,'[12]API_EN.POP.DNST_DS2_en_csv_v2_4'!$BM$6:$BM$271)</f>
        <v>218.55841793823899</v>
      </c>
    </row>
    <row r="190" spans="1:20" x14ac:dyDescent="0.2">
      <c r="A190" s="161" t="s">
        <v>148</v>
      </c>
      <c r="B190" s="161">
        <v>760</v>
      </c>
      <c r="C190" s="161" t="s">
        <v>864</v>
      </c>
      <c r="D190" t="str">
        <f>_xlfn.XLOOKUP(B190,'Country Code M49'!$B$2:$B$250,'Country Code M49'!$C$2:$C$250,,0)</f>
        <v>SYR</v>
      </c>
      <c r="E190" s="162">
        <v>103.79798160353502</v>
      </c>
      <c r="F190" s="162">
        <v>1771841.9257705032</v>
      </c>
      <c r="G190" s="160" t="s">
        <v>872</v>
      </c>
      <c r="H190" s="188">
        <f>_xlfn.XLOOKUP(D190,'[1]World Population'!$C$2:$C$267,'[1]World Population'!$BN$2:$BN$267)</f>
        <v>17500657</v>
      </c>
      <c r="I190" s="188">
        <v>100</v>
      </c>
      <c r="J190" s="194" t="e">
        <f>_xlfn.XLOOKUP(D190,'[2]GDP 2015 Constant'!$B$6:$B$271,'[2]GDP 2015 Constant'!$BM$6:$BM$271)</f>
        <v>#REF!</v>
      </c>
      <c r="K190" s="193" t="e">
        <f t="shared" si="4"/>
        <v>#REF!</v>
      </c>
      <c r="L190" s="194">
        <f>_xlfn.XLOOKUP(D190,'[5]Tourism Receipts'!$B$6:$B$271,'[5]Tourism Receipts'!$BK$6:$BK$271)</f>
        <v>0</v>
      </c>
      <c r="M190" s="195" t="e">
        <f t="shared" si="5"/>
        <v>#REF!</v>
      </c>
      <c r="N190">
        <f>_xlfn.XLOOKUP(D190,'[6]API_NV.AGR.TOTL.ZS_DS2_en_csv_v'!$B$6:$B$271,'[6]API_NV.AGR.TOTL.ZS_DS2_en_csv_v'!$BL$6:$BL$271)</f>
        <v>0</v>
      </c>
      <c r="O190" s="188">
        <f>_xlfn.XLOOKUP(D190,'[7]API_SP.RUR.TOTL_DS2_en_csv_v2_4'!$B$6:$B$271,'[7]API_SP.RUR.TOTL_DS2_en_csv_v2_4'!$BM$6:$BM$271)</f>
        <v>7792168</v>
      </c>
      <c r="P190" s="188">
        <f>_xlfn.XLOOKUP(D190,'[8]API_AG.PRD.FOOD.XD_DS2_en_csv_v'!$B$6:$B$271,'[8]API_AG.PRD.FOOD.XD_DS2_en_csv_v'!$BM$6:$BM$271)</f>
        <v>123.2</v>
      </c>
      <c r="Q190">
        <f>_xlfn.XLOOKUP(D190,'[9]API_NE.IMP.GNFS.ZS_DS2_en_csv_v'!$B$6:$B$271,'[9]API_NE.IMP.GNFS.ZS_DS2_en_csv_v'!$BK$6:$BK$271)</f>
        <v>35.714346114258397</v>
      </c>
      <c r="R190">
        <f>_xlfn.XLOOKUP(D190,'[10]API_NE.EXP.GNFS.ZS_DS2_en_csv_v'!$B$6:$B$271,'[10]API_NE.EXP.GNFS.ZS_DS2_en_csv_v'!$BL$6:$BL$271)</f>
        <v>12.6938729291338</v>
      </c>
      <c r="S190">
        <f>_xlfn.XLOOKUP(D190,'[11]API_EG.USE.ELEC.KH.PC_DS2_en_cs'!$B$6:$B$271,'[11]API_EG.USE.ELEC.KH.PC_DS2_en_cs'!$BG$6:$BG$271)</f>
        <v>974.57547177122206</v>
      </c>
      <c r="T190">
        <f>_xlfn.XLOOKUP(D190,'[12]API_EN.POP.DNST_DS2_en_csv_v2_4'!$B$6:$B$271,'[12]API_EN.POP.DNST_DS2_en_csv_v2_4'!$BM$6:$BM$271)</f>
        <v>95.3039100364864</v>
      </c>
    </row>
    <row r="191" spans="1:20" x14ac:dyDescent="0.2">
      <c r="A191" s="161" t="s">
        <v>871</v>
      </c>
      <c r="B191" s="161">
        <v>762</v>
      </c>
      <c r="C191" s="161" t="s">
        <v>692</v>
      </c>
      <c r="D191" t="str">
        <f>_xlfn.XLOOKUP(B191,'Country Code M49'!$B$2:$B$250,'Country Code M49'!$C$2:$C$250,,0)</f>
        <v>TJK</v>
      </c>
      <c r="E191" s="162">
        <v>97.222250733275928</v>
      </c>
      <c r="F191" s="162">
        <v>906208.59908486495</v>
      </c>
      <c r="G191" s="160" t="s">
        <v>872</v>
      </c>
      <c r="H191" s="188">
        <f>_xlfn.XLOOKUP(D191,'[1]World Population'!$C$2:$C$267,'[1]World Population'!$BN$2:$BN$267)</f>
        <v>9537642</v>
      </c>
      <c r="I191" s="188">
        <v>100</v>
      </c>
      <c r="J191" s="194">
        <f>_xlfn.XLOOKUP(D191,'[2]GDP 2015 Constant'!$B$6:$B$271,'[2]GDP 2015 Constant'!$BM$6:$BM$271)</f>
        <v>11425168167</v>
      </c>
      <c r="K191" s="193">
        <f t="shared" si="4"/>
        <v>1197.9028115125311</v>
      </c>
      <c r="L191" s="194">
        <f>_xlfn.XLOOKUP(D191,'[5]Tourism Receipts'!$B$6:$B$271,'[5]Tourism Receipts'!$BK$6:$BK$271)</f>
        <v>170899993.90000001</v>
      </c>
      <c r="M191" s="195">
        <f t="shared" si="5"/>
        <v>1.4958203800765115E-2</v>
      </c>
      <c r="N191">
        <f>_xlfn.XLOOKUP(D191,'[6]API_NV.AGR.TOTL.ZS_DS2_en_csv_v'!$B$6:$B$271,'[6]API_NV.AGR.TOTL.ZS_DS2_en_csv_v'!$BL$6:$BL$271)</f>
        <v>20.867073358800099</v>
      </c>
      <c r="O191" s="188">
        <f>_xlfn.XLOOKUP(D191,'[7]API_SP.RUR.TOTL_DS2_en_csv_v2_4'!$B$6:$B$271,'[7]API_SP.RUR.TOTL_DS2_en_csv_v2_4'!$BM$6:$BM$271)</f>
        <v>6914218</v>
      </c>
      <c r="P191" s="188">
        <f>_xlfn.XLOOKUP(D191,'[8]API_AG.PRD.FOOD.XD_DS2_en_csv_v'!$B$6:$B$271,'[8]API_AG.PRD.FOOD.XD_DS2_en_csv_v'!$BM$6:$BM$271)</f>
        <v>135.55000000000001</v>
      </c>
      <c r="Q191">
        <f>_xlfn.XLOOKUP(D191,'[9]API_NE.IMP.GNFS.ZS_DS2_en_csv_v'!$B$6:$B$271,'[9]API_NE.IMP.GNFS.ZS_DS2_en_csv_v'!$BK$6:$BK$271)</f>
        <v>41.470632937044002</v>
      </c>
      <c r="R191">
        <f>_xlfn.XLOOKUP(D191,'[10]API_NE.EXP.GNFS.ZS_DS2_en_csv_v'!$B$6:$B$271,'[10]API_NE.EXP.GNFS.ZS_DS2_en_csv_v'!$BL$6:$BL$271)</f>
        <v>14.9799392742745</v>
      </c>
      <c r="S191">
        <f>_xlfn.XLOOKUP(D191,'[11]API_EG.USE.ELEC.KH.PC_DS2_en_cs'!$B$6:$B$271,'[11]API_EG.USE.ELEC.KH.PC_DS2_en_cs'!$BG$6:$BG$271)</f>
        <v>1499.4859943767201</v>
      </c>
      <c r="T191">
        <f>_xlfn.XLOOKUP(D191,'[12]API_EN.POP.DNST_DS2_en_csv_v2_4'!$B$6:$B$271,'[12]API_EN.POP.DNST_DS2_en_csv_v2_4'!$BM$6:$BM$271)</f>
        <v>68.719951005115604</v>
      </c>
    </row>
    <row r="192" spans="1:20" x14ac:dyDescent="0.2">
      <c r="A192" s="161" t="s">
        <v>157</v>
      </c>
      <c r="B192" s="161">
        <v>764</v>
      </c>
      <c r="C192" s="161" t="s">
        <v>795</v>
      </c>
      <c r="D192" t="str">
        <f>_xlfn.XLOOKUP(B192,'Country Code M49'!$B$2:$B$250,'Country Code M49'!$C$2:$C$250,,0)</f>
        <v>THA</v>
      </c>
      <c r="E192" s="162">
        <v>78.685596495049097</v>
      </c>
      <c r="F192" s="162">
        <v>5478531.8673256906</v>
      </c>
      <c r="G192" s="160" t="s">
        <v>872</v>
      </c>
      <c r="H192" s="188">
        <f>_xlfn.XLOOKUP(D192,'[1]World Population'!$C$2:$C$267,'[1]World Population'!$BN$2:$BN$267)</f>
        <v>69799978</v>
      </c>
      <c r="I192" s="188">
        <v>100</v>
      </c>
      <c r="J192" s="194">
        <f>_xlfn.XLOOKUP(D192,'[2]GDP 2015 Constant'!$B$6:$B$271,'[2]GDP 2015 Constant'!$BM$6:$BM$271)</f>
        <v>431857000000</v>
      </c>
      <c r="K192" s="193">
        <f t="shared" si="4"/>
        <v>6187.0649873270731</v>
      </c>
      <c r="L192" s="194">
        <f>_xlfn.XLOOKUP(D192,'[5]Tourism Receipts'!$B$6:$B$271,'[5]Tourism Receipts'!$BK$6:$BK$271)</f>
        <v>61383000000</v>
      </c>
      <c r="M192" s="195">
        <f t="shared" si="5"/>
        <v>0.14213732786547398</v>
      </c>
      <c r="N192">
        <f>_xlfn.XLOOKUP(D192,'[6]API_NV.AGR.TOTL.ZS_DS2_en_csv_v'!$B$6:$B$271,'[6]API_NV.AGR.TOTL.ZS_DS2_en_csv_v'!$BL$6:$BL$271)</f>
        <v>8.1258797219650898</v>
      </c>
      <c r="O192" s="188">
        <f>_xlfn.XLOOKUP(D192,'[7]API_SP.RUR.TOTL_DS2_en_csv_v2_4'!$B$6:$B$271,'[7]API_SP.RUR.TOTL_DS2_en_csv_v2_4'!$BM$6:$BM$271)</f>
        <v>33901849</v>
      </c>
      <c r="P192" s="188">
        <f>_xlfn.XLOOKUP(D192,'[8]API_AG.PRD.FOOD.XD_DS2_en_csv_v'!$B$6:$B$271,'[8]API_AG.PRD.FOOD.XD_DS2_en_csv_v'!$BM$6:$BM$271)</f>
        <v>94.25</v>
      </c>
      <c r="Q192">
        <f>_xlfn.XLOOKUP(D192,'[9]API_NE.IMP.GNFS.ZS_DS2_en_csv_v'!$B$6:$B$271,'[9]API_NE.IMP.GNFS.ZS_DS2_en_csv_v'!$BK$6:$BK$271)</f>
        <v>56.0037678316517</v>
      </c>
      <c r="R192">
        <f>_xlfn.XLOOKUP(D192,'[10]API_NE.EXP.GNFS.ZS_DS2_en_csv_v'!$B$6:$B$271,'[10]API_NE.EXP.GNFS.ZS_DS2_en_csv_v'!$BL$6:$BL$271)</f>
        <v>59.507485343566401</v>
      </c>
      <c r="S192">
        <f>_xlfn.XLOOKUP(D192,'[11]API_EG.USE.ELEC.KH.PC_DS2_en_cs'!$B$6:$B$271,'[11]API_EG.USE.ELEC.KH.PC_DS2_en_cs'!$BG$6:$BG$271)</f>
        <v>2538.7957126275901</v>
      </c>
      <c r="T192">
        <f>_xlfn.XLOOKUP(D192,'[12]API_EN.POP.DNST_DS2_en_csv_v2_4'!$B$6:$B$271,'[12]API_EN.POP.DNST_DS2_en_csv_v2_4'!$BM$6:$BM$271)</f>
        <v>136.62427919904499</v>
      </c>
    </row>
    <row r="193" spans="1:20" x14ac:dyDescent="0.2">
      <c r="A193" s="161" t="s">
        <v>157</v>
      </c>
      <c r="B193" s="161">
        <v>626</v>
      </c>
      <c r="C193" s="161" t="s">
        <v>796</v>
      </c>
      <c r="D193" t="str">
        <f>_xlfn.XLOOKUP(B193,'Country Code M49'!$B$2:$B$250,'Country Code M49'!$C$2:$C$250,,0)</f>
        <v>TLS</v>
      </c>
      <c r="E193" s="162">
        <v>86.337126699430399</v>
      </c>
      <c r="F193" s="162">
        <v>111642.53853503345</v>
      </c>
      <c r="G193" s="160" t="s">
        <v>872</v>
      </c>
      <c r="H193" s="188">
        <f>_xlfn.XLOOKUP(D193,'[1]World Population'!$C$2:$C$267,'[1]World Population'!$BN$2:$BN$267)</f>
        <v>1318442</v>
      </c>
      <c r="I193" s="188">
        <v>100</v>
      </c>
      <c r="J193" s="194">
        <f>_xlfn.XLOOKUP(D193,'[2]GDP 2015 Constant'!$B$6:$B$271,'[2]GDP 2015 Constant'!$BM$6:$BM$271)</f>
        <v>2093497569</v>
      </c>
      <c r="K193" s="193">
        <f t="shared" si="4"/>
        <v>1587.8571594351515</v>
      </c>
      <c r="L193" s="194">
        <f>_xlfn.XLOOKUP(D193,'[5]Tourism Receipts'!$B$6:$B$271,'[5]Tourism Receipts'!$BK$6:$BK$271)</f>
        <v>78000000</v>
      </c>
      <c r="M193" s="195">
        <f t="shared" si="5"/>
        <v>3.7258223345947437E-2</v>
      </c>
      <c r="N193">
        <f>_xlfn.XLOOKUP(D193,'[6]API_NV.AGR.TOTL.ZS_DS2_en_csv_v'!$B$6:$B$271,'[6]API_NV.AGR.TOTL.ZS_DS2_en_csv_v'!$BL$6:$BL$271)</f>
        <v>13.9725948868314</v>
      </c>
      <c r="O193" s="188">
        <f>_xlfn.XLOOKUP(D193,'[7]API_SP.RUR.TOTL_DS2_en_csv_v2_4'!$B$6:$B$271,'[7]API_SP.RUR.TOTL_DS2_en_csv_v2_4'!$BM$6:$BM$271)</f>
        <v>905506</v>
      </c>
      <c r="P193" s="188">
        <f>_xlfn.XLOOKUP(D193,'[8]API_AG.PRD.FOOD.XD_DS2_en_csv_v'!$B$6:$B$271,'[8]API_AG.PRD.FOOD.XD_DS2_en_csv_v'!$BM$6:$BM$271)</f>
        <v>97.34</v>
      </c>
      <c r="Q193">
        <f>_xlfn.XLOOKUP(D193,'[9]API_NE.IMP.GNFS.ZS_DS2_en_csv_v'!$B$6:$B$271,'[9]API_NE.IMP.GNFS.ZS_DS2_en_csv_v'!$BK$6:$BK$271)</f>
        <v>59.535997826092697</v>
      </c>
      <c r="R193">
        <f>_xlfn.XLOOKUP(D193,'[10]API_NE.EXP.GNFS.ZS_DS2_en_csv_v'!$B$6:$B$271,'[10]API_NE.EXP.GNFS.ZS_DS2_en_csv_v'!$BL$6:$BL$271)</f>
        <v>27.739572564846799</v>
      </c>
      <c r="S193">
        <f>_xlfn.XLOOKUP(D193,'[11]API_EG.USE.ELEC.KH.PC_DS2_en_cs'!$B$6:$B$271,'[11]API_EG.USE.ELEC.KH.PC_DS2_en_cs'!$BG$6:$BG$271)</f>
        <v>0</v>
      </c>
      <c r="T193">
        <f>_xlfn.XLOOKUP(D193,'[12]API_EN.POP.DNST_DS2_en_csv_v2_4'!$B$6:$B$271,'[12]API_EN.POP.DNST_DS2_en_csv_v2_4'!$BM$6:$BM$271)</f>
        <v>88.664559515803603</v>
      </c>
    </row>
    <row r="194" spans="1:20" x14ac:dyDescent="0.2">
      <c r="A194" s="161" t="s">
        <v>154</v>
      </c>
      <c r="B194" s="161">
        <v>768</v>
      </c>
      <c r="C194" s="161" t="s">
        <v>852</v>
      </c>
      <c r="D194" t="str">
        <f>_xlfn.XLOOKUP(B194,'Country Code M49'!$B$2:$B$250,'Country Code M49'!$C$2:$C$250,,0)</f>
        <v>TGO</v>
      </c>
      <c r="E194" s="162">
        <v>102.69433227860404</v>
      </c>
      <c r="F194" s="162">
        <v>830016.67120858934</v>
      </c>
      <c r="G194" s="160" t="s">
        <v>877</v>
      </c>
      <c r="H194" s="188">
        <f>_xlfn.XLOOKUP(D194,'[1]World Population'!$C$2:$C$267,'[1]World Population'!$BN$2:$BN$267)</f>
        <v>8278737</v>
      </c>
      <c r="I194" s="188">
        <v>99.400001525878906</v>
      </c>
      <c r="J194" s="194">
        <f>_xlfn.XLOOKUP(D194,'[2]GDP 2015 Constant'!$B$6:$B$271,'[2]GDP 2015 Constant'!$BM$6:$BM$271)</f>
        <v>5187639195</v>
      </c>
      <c r="K194" s="193">
        <f t="shared" si="4"/>
        <v>626.62205539323213</v>
      </c>
      <c r="L194" s="194">
        <f>_xlfn.XLOOKUP(D194,'[5]Tourism Receipts'!$B$6:$B$271,'[5]Tourism Receipts'!$BK$6:$BK$271)</f>
        <v>269000000</v>
      </c>
      <c r="M194" s="195">
        <f t="shared" si="5"/>
        <v>5.1854030299422163E-2</v>
      </c>
      <c r="N194">
        <f>_xlfn.XLOOKUP(D194,'[6]API_NV.AGR.TOTL.ZS_DS2_en_csv_v'!$B$6:$B$271,'[6]API_NV.AGR.TOTL.ZS_DS2_en_csv_v'!$BL$6:$BL$271)</f>
        <v>19.7552067611722</v>
      </c>
      <c r="O194" s="188">
        <f>_xlfn.XLOOKUP(D194,'[7]API_SP.RUR.TOTL_DS2_en_csv_v2_4'!$B$6:$B$271,'[7]API_SP.RUR.TOTL_DS2_en_csv_v2_4'!$BM$6:$BM$271)</f>
        <v>4735438</v>
      </c>
      <c r="P194" s="188">
        <f>_xlfn.XLOOKUP(D194,'[8]API_AG.PRD.FOOD.XD_DS2_en_csv_v'!$B$6:$B$271,'[8]API_AG.PRD.FOOD.XD_DS2_en_csv_v'!$BM$6:$BM$271)</f>
        <v>111.04</v>
      </c>
      <c r="Q194">
        <f>_xlfn.XLOOKUP(D194,'[9]API_NE.IMP.GNFS.ZS_DS2_en_csv_v'!$B$6:$B$271,'[9]API_NE.IMP.GNFS.ZS_DS2_en_csv_v'!$BK$6:$BK$271)</f>
        <v>32.745458931609498</v>
      </c>
      <c r="R194">
        <f>_xlfn.XLOOKUP(D194,'[10]API_NE.EXP.GNFS.ZS_DS2_en_csv_v'!$B$6:$B$271,'[10]API_NE.EXP.GNFS.ZS_DS2_en_csv_v'!$BL$6:$BL$271)</f>
        <v>23.0615819514862</v>
      </c>
      <c r="S194">
        <f>_xlfn.XLOOKUP(D194,'[11]API_EG.USE.ELEC.KH.PC_DS2_en_cs'!$B$6:$B$271,'[11]API_EG.USE.ELEC.KH.PC_DS2_en_cs'!$BG$6:$BG$271)</f>
        <v>154.665237320778</v>
      </c>
      <c r="T194">
        <f>_xlfn.XLOOKUP(D194,'[12]API_EN.POP.DNST_DS2_en_csv_v2_4'!$B$6:$B$271,'[12]API_EN.POP.DNST_DS2_en_csv_v2_4'!$BM$6:$BM$271)</f>
        <v>152.210645339217</v>
      </c>
    </row>
    <row r="195" spans="1:20" x14ac:dyDescent="0.2">
      <c r="A195" s="161" t="s">
        <v>878</v>
      </c>
      <c r="B195" s="161">
        <v>776</v>
      </c>
      <c r="C195" s="161" t="s">
        <v>786</v>
      </c>
      <c r="D195" t="str">
        <f>_xlfn.XLOOKUP(B195,'Country Code M49'!$B$2:$B$250,'Country Code M49'!$C$2:$C$250,,0)</f>
        <v>TON</v>
      </c>
      <c r="E195" s="162">
        <v>75.713119146168523</v>
      </c>
      <c r="F195" s="162">
        <v>7912.0209507746113</v>
      </c>
      <c r="G195" s="160" t="s">
        <v>872</v>
      </c>
      <c r="H195" s="188">
        <f>_xlfn.XLOOKUP(D195,'[1]World Population'!$C$2:$C$267,'[1]World Population'!$BN$2:$BN$267)</f>
        <v>105697</v>
      </c>
      <c r="I195" s="188">
        <v>100</v>
      </c>
      <c r="J195" s="194">
        <f>_xlfn.XLOOKUP(D195,'[2]GDP 2015 Constant'!$B$6:$B$271,'[2]GDP 2015 Constant'!$BM$6:$BM$271)</f>
        <v>489364573.39999998</v>
      </c>
      <c r="K195" s="193">
        <f t="shared" ref="K195:K216" si="6">J195/H195</f>
        <v>4629.8813911463903</v>
      </c>
      <c r="L195" s="194">
        <f>_xlfn.XLOOKUP(D195,'[5]Tourism Receipts'!$B$6:$B$271,'[5]Tourism Receipts'!$BK$6:$BK$271)</f>
        <v>48099998.469999999</v>
      </c>
      <c r="M195" s="195">
        <f t="shared" ref="M195:M216" si="7">L195/J195</f>
        <v>9.8290724512016758E-2</v>
      </c>
      <c r="N195">
        <f>_xlfn.XLOOKUP(D195,'[6]API_NV.AGR.TOTL.ZS_DS2_en_csv_v'!$B$6:$B$271,'[6]API_NV.AGR.TOTL.ZS_DS2_en_csv_v'!$BL$6:$BL$271)</f>
        <v>19.621856583300399</v>
      </c>
      <c r="O195" s="188">
        <f>_xlfn.XLOOKUP(D195,'[7]API_SP.RUR.TOTL_DS2_en_csv_v2_4'!$B$6:$B$271,'[7]API_SP.RUR.TOTL_DS2_en_csv_v2_4'!$BM$6:$BM$271)</f>
        <v>81282</v>
      </c>
      <c r="P195" s="188">
        <f>_xlfn.XLOOKUP(D195,'[8]API_AG.PRD.FOOD.XD_DS2_en_csv_v'!$B$6:$B$271,'[8]API_AG.PRD.FOOD.XD_DS2_en_csv_v'!$BM$6:$BM$271)</f>
        <v>94.13</v>
      </c>
      <c r="Q195">
        <f>_xlfn.XLOOKUP(D195,'[9]API_NE.IMP.GNFS.ZS_DS2_en_csv_v'!$B$6:$B$271,'[9]API_NE.IMP.GNFS.ZS_DS2_en_csv_v'!$BK$6:$BK$271)</f>
        <v>66.137807398576101</v>
      </c>
      <c r="R195">
        <f>_xlfn.XLOOKUP(D195,'[10]API_NE.EXP.GNFS.ZS_DS2_en_csv_v'!$B$6:$B$271,'[10]API_NE.EXP.GNFS.ZS_DS2_en_csv_v'!$BL$6:$BL$271)</f>
        <v>21.959271589261299</v>
      </c>
      <c r="S195">
        <f>_xlfn.XLOOKUP(D195,'[11]API_EG.USE.ELEC.KH.PC_DS2_en_cs'!$B$6:$B$271,'[11]API_EG.USE.ELEC.KH.PC_DS2_en_cs'!$BG$6:$BG$271)</f>
        <v>0</v>
      </c>
      <c r="T195">
        <f>_xlfn.XLOOKUP(D195,'[12]API_EN.POP.DNST_DS2_en_csv_v2_4'!$B$6:$B$271,'[12]API_EN.POP.DNST_DS2_en_csv_v2_4'!$BM$6:$BM$271)</f>
        <v>146.80138888888899</v>
      </c>
    </row>
    <row r="196" spans="1:20" x14ac:dyDescent="0.2">
      <c r="A196" s="161" t="s">
        <v>150</v>
      </c>
      <c r="B196" s="161">
        <v>780</v>
      </c>
      <c r="C196" s="161" t="s">
        <v>747</v>
      </c>
      <c r="D196" t="str">
        <f>_xlfn.XLOOKUP(B196,'Country Code M49'!$B$2:$B$250,'Country Code M49'!$C$2:$C$250,,0)</f>
        <v>TTO</v>
      </c>
      <c r="E196" s="162">
        <v>73.920769675063781</v>
      </c>
      <c r="F196" s="162">
        <v>103119.47369671398</v>
      </c>
      <c r="G196" s="160" t="s">
        <v>872</v>
      </c>
      <c r="H196" s="188">
        <f>_xlfn.XLOOKUP(D196,'[1]World Population'!$C$2:$C$267,'[1]World Population'!$BN$2:$BN$267)</f>
        <v>1399491</v>
      </c>
      <c r="I196" s="188">
        <v>100</v>
      </c>
      <c r="J196" s="194">
        <f>_xlfn.XLOOKUP(D196,'[2]GDP 2015 Constant'!$B$6:$B$271,'[2]GDP 2015 Constant'!$BM$6:$BM$271)</f>
        <v>21087122855</v>
      </c>
      <c r="K196" s="193">
        <f t="shared" si="6"/>
        <v>15067.708799127682</v>
      </c>
      <c r="L196" s="194">
        <f>_xlfn.XLOOKUP(D196,'[5]Tourism Receipts'!$B$6:$B$271,'[5]Tourism Receipts'!$BK$6:$BK$271)</f>
        <v>541000000</v>
      </c>
      <c r="M196" s="195">
        <f t="shared" si="7"/>
        <v>2.5655467733556769E-2</v>
      </c>
      <c r="N196">
        <f>_xlfn.XLOOKUP(D196,'[6]API_NV.AGR.TOTL.ZS_DS2_en_csv_v'!$B$6:$B$271,'[6]API_NV.AGR.TOTL.ZS_DS2_en_csv_v'!$BL$6:$BL$271)</f>
        <v>0.99844341344009802</v>
      </c>
      <c r="O196" s="188">
        <f>_xlfn.XLOOKUP(D196,'[7]API_SP.RUR.TOTL_DS2_en_csv_v2_4'!$B$6:$B$271,'[7]API_SP.RUR.TOTL_DS2_en_csv_v2_4'!$BM$6:$BM$271)</f>
        <v>654766</v>
      </c>
      <c r="P196" s="188">
        <f>_xlfn.XLOOKUP(D196,'[8]API_AG.PRD.FOOD.XD_DS2_en_csv_v'!$B$6:$B$271,'[8]API_AG.PRD.FOOD.XD_DS2_en_csv_v'!$BM$6:$BM$271)</f>
        <v>103.87</v>
      </c>
      <c r="Q196">
        <f>_xlfn.XLOOKUP(D196,'[9]API_NE.IMP.GNFS.ZS_DS2_en_csv_v'!$B$6:$B$271,'[9]API_NE.IMP.GNFS.ZS_DS2_en_csv_v'!$BK$6:$BK$271)</f>
        <v>0</v>
      </c>
      <c r="R196">
        <f>_xlfn.XLOOKUP(D196,'[10]API_NE.EXP.GNFS.ZS_DS2_en_csv_v'!$B$6:$B$271,'[10]API_NE.EXP.GNFS.ZS_DS2_en_csv_v'!$BL$6:$BL$271)</f>
        <v>0</v>
      </c>
      <c r="S196">
        <f>_xlfn.XLOOKUP(D196,'[11]API_EG.USE.ELEC.KH.PC_DS2_en_cs'!$B$6:$B$271,'[11]API_EG.USE.ELEC.KH.PC_DS2_en_cs'!$BG$6:$BG$271)</f>
        <v>7092.9586438597798</v>
      </c>
      <c r="T196">
        <f>_xlfn.XLOOKUP(D196,'[12]API_EN.POP.DNST_DS2_en_csv_v2_4'!$B$6:$B$271,'[12]API_EN.POP.DNST_DS2_en_csv_v2_4'!$BM$6:$BM$271)</f>
        <v>272.80526315789501</v>
      </c>
    </row>
    <row r="197" spans="1:20" x14ac:dyDescent="0.2">
      <c r="A197" s="161" t="s">
        <v>876</v>
      </c>
      <c r="B197" s="161">
        <v>788</v>
      </c>
      <c r="C197" s="161" t="s">
        <v>769</v>
      </c>
      <c r="D197" t="str">
        <f>_xlfn.XLOOKUP(B197,'Country Code M49'!$B$2:$B$250,'Country Code M49'!$C$2:$C$250,,0)</f>
        <v>TUN</v>
      </c>
      <c r="E197" s="162">
        <v>91.016179554931128</v>
      </c>
      <c r="F197" s="162">
        <v>1064406.915041053</v>
      </c>
      <c r="G197" s="160" t="s">
        <v>872</v>
      </c>
      <c r="H197" s="188">
        <f>_xlfn.XLOOKUP(D197,'[1]World Population'!$C$2:$C$267,'[1]World Population'!$BN$2:$BN$267)</f>
        <v>11818618</v>
      </c>
      <c r="I197" s="188">
        <v>100</v>
      </c>
      <c r="J197" s="194">
        <f>_xlfn.XLOOKUP(D197,'[2]GDP 2015 Constant'!$B$6:$B$271,'[2]GDP 2015 Constant'!$BM$6:$BM$271)</f>
        <v>44913489643</v>
      </c>
      <c r="K197" s="193">
        <f t="shared" si="6"/>
        <v>3800.2319427702969</v>
      </c>
      <c r="L197" s="194">
        <f>_xlfn.XLOOKUP(D197,'[5]Tourism Receipts'!$B$6:$B$271,'[5]Tourism Receipts'!$BK$6:$BK$271)</f>
        <v>2320000000</v>
      </c>
      <c r="M197" s="195">
        <f t="shared" si="7"/>
        <v>5.1654859563146506E-2</v>
      </c>
      <c r="N197">
        <f>_xlfn.XLOOKUP(D197,'[6]API_NV.AGR.TOTL.ZS_DS2_en_csv_v'!$B$6:$B$271,'[6]API_NV.AGR.TOTL.ZS_DS2_en_csv_v'!$BL$6:$BL$271)</f>
        <v>9.6423187119427194</v>
      </c>
      <c r="O197" s="188">
        <f>_xlfn.XLOOKUP(D197,'[7]API_SP.RUR.TOTL_DS2_en_csv_v2_4'!$B$6:$B$271,'[7]API_SP.RUR.TOTL_DS2_en_csv_v2_4'!$BM$6:$BM$271)</f>
        <v>3596642</v>
      </c>
      <c r="P197" s="188">
        <f>_xlfn.XLOOKUP(D197,'[8]API_AG.PRD.FOOD.XD_DS2_en_csv_v'!$B$6:$B$271,'[8]API_AG.PRD.FOOD.XD_DS2_en_csv_v'!$BM$6:$BM$271)</f>
        <v>122.48</v>
      </c>
      <c r="Q197">
        <f>_xlfn.XLOOKUP(D197,'[9]API_NE.IMP.GNFS.ZS_DS2_en_csv_v'!$B$6:$B$271,'[9]API_NE.IMP.GNFS.ZS_DS2_en_csv_v'!$BK$6:$BK$271)</f>
        <v>58.386076089409698</v>
      </c>
      <c r="R197">
        <f>_xlfn.XLOOKUP(D197,'[10]API_NE.EXP.GNFS.ZS_DS2_en_csv_v'!$B$6:$B$271,'[10]API_NE.EXP.GNFS.ZS_DS2_en_csv_v'!$BL$6:$BL$271)</f>
        <v>46.096865353112797</v>
      </c>
      <c r="S197">
        <f>_xlfn.XLOOKUP(D197,'[11]API_EG.USE.ELEC.KH.PC_DS2_en_cs'!$B$6:$B$271,'[11]API_EG.USE.ELEC.KH.PC_DS2_en_cs'!$BG$6:$BG$271)</f>
        <v>1454.6430755310701</v>
      </c>
      <c r="T197">
        <f>_xlfn.XLOOKUP(D197,'[12]API_EN.POP.DNST_DS2_en_csv_v2_4'!$B$6:$B$271,'[12]API_EN.POP.DNST_DS2_en_csv_v2_4'!$BM$6:$BM$271)</f>
        <v>76.072463954685901</v>
      </c>
    </row>
    <row r="198" spans="1:20" x14ac:dyDescent="0.2">
      <c r="A198" s="161" t="s">
        <v>148</v>
      </c>
      <c r="B198" s="161">
        <v>792</v>
      </c>
      <c r="C198" s="161" t="s">
        <v>865</v>
      </c>
      <c r="D198" t="str">
        <f>_xlfn.XLOOKUP(B198,'Country Code M49'!$B$2:$B$250,'Country Code M49'!$C$2:$C$250,,0)</f>
        <v>TUR</v>
      </c>
      <c r="E198" s="162">
        <v>93.043415809981326</v>
      </c>
      <c r="F198" s="162">
        <v>7762574.9636604181</v>
      </c>
      <c r="G198" s="160" t="s">
        <v>877</v>
      </c>
      <c r="H198" s="188">
        <f>_xlfn.XLOOKUP(D198,'[1]World Population'!$C$2:$C$267,'[1]World Population'!$BN$2:$BN$267)</f>
        <v>84339067</v>
      </c>
      <c r="I198" s="188">
        <v>100</v>
      </c>
      <c r="J198" s="194">
        <f>_xlfn.XLOOKUP(D198,'[2]GDP 2015 Constant'!$B$6:$B$271,'[2]GDP 2015 Constant'!$BM$6:$BM$271)</f>
        <v>1015330000000</v>
      </c>
      <c r="K198" s="193">
        <f t="shared" si="6"/>
        <v>12038.667679356709</v>
      </c>
      <c r="L198" s="194">
        <f>_xlfn.XLOOKUP(D198,'[5]Tourism Receipts'!$B$6:$B$271,'[5]Tourism Receipts'!$BK$6:$BK$271)</f>
        <v>36791000000</v>
      </c>
      <c r="M198" s="195">
        <f t="shared" si="7"/>
        <v>3.6235509637260792E-2</v>
      </c>
      <c r="N198">
        <f>_xlfn.XLOOKUP(D198,'[6]API_NV.AGR.TOTL.ZS_DS2_en_csv_v'!$B$6:$B$271,'[6]API_NV.AGR.TOTL.ZS_DS2_en_csv_v'!$BL$6:$BL$271)</f>
        <v>6.4007749284690796</v>
      </c>
      <c r="O198" s="188">
        <f>_xlfn.XLOOKUP(D198,'[7]API_SP.RUR.TOTL_DS2_en_csv_v2_4'!$B$6:$B$271,'[7]API_SP.RUR.TOTL_DS2_en_csv_v2_4'!$BM$6:$BM$271)</f>
        <v>20152820</v>
      </c>
      <c r="P198" s="188">
        <f>_xlfn.XLOOKUP(D198,'[8]API_AG.PRD.FOOD.XD_DS2_en_csv_v'!$B$6:$B$271,'[8]API_AG.PRD.FOOD.XD_DS2_en_csv_v'!$BM$6:$BM$271)</f>
        <v>115.6</v>
      </c>
      <c r="Q198">
        <f>_xlfn.XLOOKUP(D198,'[9]API_NE.IMP.GNFS.ZS_DS2_en_csv_v'!$B$6:$B$271,'[9]API_NE.IMP.GNFS.ZS_DS2_en_csv_v'!$BK$6:$BK$271)</f>
        <v>31.401491384798</v>
      </c>
      <c r="R198">
        <f>_xlfn.XLOOKUP(D198,'[10]API_NE.EXP.GNFS.ZS_DS2_en_csv_v'!$B$6:$B$271,'[10]API_NE.EXP.GNFS.ZS_DS2_en_csv_v'!$BL$6:$BL$271)</f>
        <v>32.5973545785751</v>
      </c>
      <c r="S198">
        <f>_xlfn.XLOOKUP(D198,'[11]API_EG.USE.ELEC.KH.PC_DS2_en_cs'!$B$6:$B$271,'[11]API_EG.USE.ELEC.KH.PC_DS2_en_cs'!$BG$6:$BG$271)</f>
        <v>2847.2238929332302</v>
      </c>
      <c r="T198">
        <f>_xlfn.XLOOKUP(D198,'[12]API_EN.POP.DNST_DS2_en_csv_v2_4'!$B$6:$B$271,'[12]API_EN.POP.DNST_DS2_en_csv_v2_4'!$BM$6:$BM$271)</f>
        <v>109.583913049128</v>
      </c>
    </row>
    <row r="199" spans="1:20" x14ac:dyDescent="0.2">
      <c r="A199" s="161" t="s">
        <v>871</v>
      </c>
      <c r="B199" s="161">
        <v>795</v>
      </c>
      <c r="C199" s="161" t="s">
        <v>693</v>
      </c>
      <c r="D199" t="str">
        <f>_xlfn.XLOOKUP(B199,'Country Code M49'!$B$2:$B$250,'Country Code M49'!$C$2:$C$250,,0)</f>
        <v>TKM</v>
      </c>
      <c r="E199" s="162">
        <v>75.713119146168523</v>
      </c>
      <c r="F199" s="162">
        <v>449894.92527844798</v>
      </c>
      <c r="G199" s="160" t="s">
        <v>872</v>
      </c>
      <c r="H199" s="188">
        <f>_xlfn.XLOOKUP(D199,'[1]World Population'!$C$2:$C$267,'[1]World Population'!$BN$2:$BN$267)</f>
        <v>6031187</v>
      </c>
      <c r="I199" s="188">
        <v>100</v>
      </c>
      <c r="J199" s="194" t="e">
        <f>_xlfn.XLOOKUP(D199,'[2]GDP 2015 Constant'!$B$6:$B$271,'[2]GDP 2015 Constant'!$BM$6:$BM$271)</f>
        <v>#REF!</v>
      </c>
      <c r="K199" s="193" t="e">
        <f t="shared" si="6"/>
        <v>#REF!</v>
      </c>
      <c r="L199" s="194">
        <f>_xlfn.XLOOKUP(D199,'[5]Tourism Receipts'!$B$6:$B$271,'[5]Tourism Receipts'!$BK$6:$BK$271)</f>
        <v>0</v>
      </c>
      <c r="M199" s="195" t="e">
        <f t="shared" si="7"/>
        <v>#REF!</v>
      </c>
      <c r="N199">
        <f>_xlfn.XLOOKUP(D199,'[6]API_NV.AGR.TOTL.ZS_DS2_en_csv_v'!$B$6:$B$271,'[6]API_NV.AGR.TOTL.ZS_DS2_en_csv_v'!$BL$6:$BL$271)</f>
        <v>10.791485060956401</v>
      </c>
      <c r="O199" s="188">
        <f>_xlfn.XLOOKUP(D199,'[7]API_SP.RUR.TOTL_DS2_en_csv_v2_4'!$B$6:$B$271,'[7]API_SP.RUR.TOTL_DS2_en_csv_v2_4'!$BM$6:$BM$271)</f>
        <v>2863849</v>
      </c>
      <c r="P199" s="188">
        <f>_xlfn.XLOOKUP(D199,'[8]API_AG.PRD.FOOD.XD_DS2_en_csv_v'!$B$6:$B$271,'[8]API_AG.PRD.FOOD.XD_DS2_en_csv_v'!$BM$6:$BM$271)</f>
        <v>96.59</v>
      </c>
      <c r="Q199">
        <f>_xlfn.XLOOKUP(D199,'[9]API_NE.IMP.GNFS.ZS_DS2_en_csv_v'!$B$6:$B$271,'[9]API_NE.IMP.GNFS.ZS_DS2_en_csv_v'!$BK$6:$BK$271)</f>
        <v>12.4958823653095</v>
      </c>
      <c r="R199">
        <f>_xlfn.XLOOKUP(D199,'[10]API_NE.EXP.GNFS.ZS_DS2_en_csv_v'!$B$6:$B$271,'[10]API_NE.EXP.GNFS.ZS_DS2_en_csv_v'!$BL$6:$BL$271)</f>
        <v>0</v>
      </c>
      <c r="S199">
        <f>_xlfn.XLOOKUP(D199,'[11]API_EG.USE.ELEC.KH.PC_DS2_en_cs'!$B$6:$B$271,'[11]API_EG.USE.ELEC.KH.PC_DS2_en_cs'!$BG$6:$BG$271)</f>
        <v>2678.7654738358001</v>
      </c>
      <c r="T199">
        <f>_xlfn.XLOOKUP(D199,'[12]API_EN.POP.DNST_DS2_en_csv_v2_4'!$B$6:$B$271,'[12]API_EN.POP.DNST_DS2_en_csv_v2_4'!$BM$6:$BM$271)</f>
        <v>12.8342242461643</v>
      </c>
    </row>
    <row r="200" spans="1:20" x14ac:dyDescent="0.2">
      <c r="A200" s="161" t="s">
        <v>150</v>
      </c>
      <c r="B200" s="161">
        <v>796</v>
      </c>
      <c r="C200" s="161" t="s">
        <v>748</v>
      </c>
      <c r="D200" t="str">
        <f>_xlfn.XLOOKUP(B200,'Country Code M49'!$B$2:$B$250,'Country Code M49'!$C$2:$C$250,,0)</f>
        <v>TCA</v>
      </c>
      <c r="E200" s="162">
        <v>73.920769675063781</v>
      </c>
      <c r="F200" s="162">
        <v>2823.7734015874366</v>
      </c>
      <c r="G200" s="160" t="s">
        <v>872</v>
      </c>
      <c r="H200" s="188">
        <f>_xlfn.XLOOKUP(D200,'[1]World Population'!$C$2:$C$267,'[1]World Population'!$BN$2:$BN$267)</f>
        <v>38718</v>
      </c>
      <c r="I200" s="188">
        <v>100</v>
      </c>
      <c r="J200" s="194">
        <f>_xlfn.XLOOKUP(D200,'[2]GDP 2015 Constant'!$B$6:$B$271,'[2]GDP 2015 Constant'!$BM$6:$BM$271)</f>
        <v>802388490.20000005</v>
      </c>
      <c r="K200" s="193">
        <f t="shared" si="6"/>
        <v>20723.913688723591</v>
      </c>
      <c r="L200" s="194">
        <f>_xlfn.XLOOKUP(D200,'[5]Tourism Receipts'!$B$6:$B$271,'[5]Tourism Receipts'!$BK$6:$BK$271)</f>
        <v>0</v>
      </c>
      <c r="M200" s="195">
        <f t="shared" si="7"/>
        <v>0</v>
      </c>
      <c r="N200">
        <f>_xlfn.XLOOKUP(D200,'[6]API_NV.AGR.TOTL.ZS_DS2_en_csv_v'!$B$6:$B$271,'[6]API_NV.AGR.TOTL.ZS_DS2_en_csv_v'!$BL$6:$BL$271)</f>
        <v>0.36035960798887601</v>
      </c>
      <c r="O200" s="188">
        <f>_xlfn.XLOOKUP(D200,'[7]API_SP.RUR.TOTL_DS2_en_csv_v2_4'!$B$6:$B$271,'[7]API_SP.RUR.TOTL_DS2_en_csv_v2_4'!$BM$6:$BM$271)</f>
        <v>2476</v>
      </c>
      <c r="P200" s="188">
        <f>_xlfn.XLOOKUP(D200,'[8]API_AG.PRD.FOOD.XD_DS2_en_csv_v'!$B$6:$B$271,'[8]API_AG.PRD.FOOD.XD_DS2_en_csv_v'!$BM$6:$BM$271)</f>
        <v>0</v>
      </c>
      <c r="Q200">
        <f>_xlfn.XLOOKUP(D200,'[9]API_NE.IMP.GNFS.ZS_DS2_en_csv_v'!$B$6:$B$271,'[9]API_NE.IMP.GNFS.ZS_DS2_en_csv_v'!$BK$6:$BK$271)</f>
        <v>0</v>
      </c>
      <c r="R200">
        <f>_xlfn.XLOOKUP(D200,'[10]API_NE.EXP.GNFS.ZS_DS2_en_csv_v'!$B$6:$B$271,'[10]API_NE.EXP.GNFS.ZS_DS2_en_csv_v'!$BL$6:$BL$271)</f>
        <v>0</v>
      </c>
      <c r="S200">
        <f>_xlfn.XLOOKUP(D200,'[11]API_EG.USE.ELEC.KH.PC_DS2_en_cs'!$B$6:$B$271,'[11]API_EG.USE.ELEC.KH.PC_DS2_en_cs'!$BG$6:$BG$271)</f>
        <v>0</v>
      </c>
      <c r="T200">
        <f>_xlfn.XLOOKUP(D200,'[12]API_EN.POP.DNST_DS2_en_csv_v2_4'!$B$6:$B$271,'[12]API_EN.POP.DNST_DS2_en_csv_v2_4'!$BM$6:$BM$271)</f>
        <v>40.755789473684203</v>
      </c>
    </row>
    <row r="201" spans="1:20" x14ac:dyDescent="0.2">
      <c r="A201" s="161" t="s">
        <v>878</v>
      </c>
      <c r="B201" s="161">
        <v>798</v>
      </c>
      <c r="C201" s="161" t="s">
        <v>787</v>
      </c>
      <c r="D201" t="str">
        <f>_xlfn.XLOOKUP(B201,'Country Code M49'!$B$2:$B$250,'Country Code M49'!$C$2:$C$250,,0)</f>
        <v>TUV</v>
      </c>
      <c r="E201" s="162">
        <v>75.713119146168523</v>
      </c>
      <c r="F201" s="162">
        <v>878.27218209555485</v>
      </c>
      <c r="G201" s="160" t="s">
        <v>872</v>
      </c>
      <c r="H201" s="188">
        <f>_xlfn.XLOOKUP(D201,'[1]World Population'!$C$2:$C$267,'[1]World Population'!$BN$2:$BN$267)</f>
        <v>11792</v>
      </c>
      <c r="I201" s="188">
        <v>100</v>
      </c>
      <c r="J201" s="194">
        <f>_xlfn.XLOOKUP(D201,'[2]GDP 2015 Constant'!$B$6:$B$271,'[2]GDP 2015 Constant'!$BM$6:$BM$271)</f>
        <v>46535494.119999997</v>
      </c>
      <c r="K201" s="193">
        <f t="shared" si="6"/>
        <v>3946.3614416553592</v>
      </c>
      <c r="L201" s="194">
        <f>_xlfn.XLOOKUP(D201,'[5]Tourism Receipts'!$B$6:$B$271,'[5]Tourism Receipts'!$BK$6:$BK$271)</f>
        <v>0</v>
      </c>
      <c r="M201" s="195">
        <f t="shared" si="7"/>
        <v>0</v>
      </c>
      <c r="N201">
        <f>_xlfn.XLOOKUP(D201,'[6]API_NV.AGR.TOTL.ZS_DS2_en_csv_v'!$B$6:$B$271,'[6]API_NV.AGR.TOTL.ZS_DS2_en_csv_v'!$BL$6:$BL$271)</f>
        <v>0</v>
      </c>
      <c r="O201" s="188">
        <f>_xlfn.XLOOKUP(D201,'[7]API_SP.RUR.TOTL_DS2_en_csv_v2_4'!$B$6:$B$271,'[7]API_SP.RUR.TOTL_DS2_en_csv_v2_4'!$BM$6:$BM$271)</f>
        <v>4243</v>
      </c>
      <c r="P201" s="188">
        <f>_xlfn.XLOOKUP(D201,'[8]API_AG.PRD.FOOD.XD_DS2_en_csv_v'!$B$6:$B$271,'[8]API_AG.PRD.FOOD.XD_DS2_en_csv_v'!$BM$6:$BM$271)</f>
        <v>101.84</v>
      </c>
      <c r="Q201">
        <f>_xlfn.XLOOKUP(D201,'[9]API_NE.IMP.GNFS.ZS_DS2_en_csv_v'!$B$6:$B$271,'[9]API_NE.IMP.GNFS.ZS_DS2_en_csv_v'!$BK$6:$BK$271)</f>
        <v>0</v>
      </c>
      <c r="R201">
        <f>_xlfn.XLOOKUP(D201,'[10]API_NE.EXP.GNFS.ZS_DS2_en_csv_v'!$B$6:$B$271,'[10]API_NE.EXP.GNFS.ZS_DS2_en_csv_v'!$BL$6:$BL$271)</f>
        <v>0</v>
      </c>
      <c r="S201">
        <f>_xlfn.XLOOKUP(D201,'[11]API_EG.USE.ELEC.KH.PC_DS2_en_cs'!$B$6:$B$271,'[11]API_EG.USE.ELEC.KH.PC_DS2_en_cs'!$BG$6:$BG$271)</f>
        <v>0</v>
      </c>
      <c r="T201">
        <f>_xlfn.XLOOKUP(D201,'[12]API_EN.POP.DNST_DS2_en_csv_v2_4'!$B$6:$B$271,'[12]API_EN.POP.DNST_DS2_en_csv_v2_4'!$BM$6:$BM$271)</f>
        <v>393.066666666667</v>
      </c>
    </row>
    <row r="202" spans="1:20" x14ac:dyDescent="0.2">
      <c r="A202" s="161" t="s">
        <v>154</v>
      </c>
      <c r="B202" s="161">
        <v>800</v>
      </c>
      <c r="C202" s="161" t="s">
        <v>853</v>
      </c>
      <c r="D202" t="str">
        <f>_xlfn.XLOOKUP(B202,'Country Code M49'!$B$2:$B$250,'Country Code M49'!$C$2:$C$250,,0)</f>
        <v>UGA</v>
      </c>
      <c r="E202" s="162">
        <v>102.69433227860404</v>
      </c>
      <c r="F202" s="162">
        <v>4546237.0122408895</v>
      </c>
      <c r="G202" s="160" t="s">
        <v>877</v>
      </c>
      <c r="H202" s="188">
        <f>_xlfn.XLOOKUP(D202,'[1]World Population'!$C$2:$C$267,'[1]World Population'!$BN$2:$BN$267)</f>
        <v>45741000</v>
      </c>
      <c r="I202" s="188">
        <v>100</v>
      </c>
      <c r="J202" s="194">
        <f>_xlfn.XLOOKUP(D202,'[2]GDP 2015 Constant'!$B$6:$B$271,'[2]GDP 2015 Constant'!$BM$6:$BM$271)</f>
        <v>40768765940</v>
      </c>
      <c r="K202" s="193">
        <f t="shared" si="6"/>
        <v>891.29590389366217</v>
      </c>
      <c r="L202" s="194">
        <f>_xlfn.XLOOKUP(D202,'[5]Tourism Receipts'!$B$6:$B$271,'[5]Tourism Receipts'!$BK$6:$BK$271)</f>
        <v>1522000000</v>
      </c>
      <c r="M202" s="195">
        <f t="shared" si="7"/>
        <v>3.733250111715302E-2</v>
      </c>
      <c r="N202">
        <f>_xlfn.XLOOKUP(D202,'[6]API_NV.AGR.TOTL.ZS_DS2_en_csv_v'!$B$6:$B$271,'[6]API_NV.AGR.TOTL.ZS_DS2_en_csv_v'!$BL$6:$BL$271)</f>
        <v>22.945508806922501</v>
      </c>
      <c r="O202" s="188">
        <f>_xlfn.XLOOKUP(D202,'[7]API_SP.RUR.TOTL_DS2_en_csv_v2_4'!$B$6:$B$271,'[7]API_SP.RUR.TOTL_DS2_en_csv_v2_4'!$BM$6:$BM$271)</f>
        <v>34326791</v>
      </c>
      <c r="P202" s="188">
        <f>_xlfn.XLOOKUP(D202,'[8]API_AG.PRD.FOOD.XD_DS2_en_csv_v'!$B$6:$B$271,'[8]API_AG.PRD.FOOD.XD_DS2_en_csv_v'!$BM$6:$BM$271)</f>
        <v>116.23</v>
      </c>
      <c r="Q202">
        <f>_xlfn.XLOOKUP(D202,'[9]API_NE.IMP.GNFS.ZS_DS2_en_csv_v'!$B$6:$B$271,'[9]API_NE.IMP.GNFS.ZS_DS2_en_csv_v'!$BK$6:$BK$271)</f>
        <v>21.551352539379401</v>
      </c>
      <c r="R202">
        <f>_xlfn.XLOOKUP(D202,'[10]API_NE.EXP.GNFS.ZS_DS2_en_csv_v'!$B$6:$B$271,'[10]API_NE.EXP.GNFS.ZS_DS2_en_csv_v'!$BL$6:$BL$271)</f>
        <v>17.109058016917601</v>
      </c>
      <c r="S202">
        <f>_xlfn.XLOOKUP(D202,'[11]API_EG.USE.ELEC.KH.PC_DS2_en_cs'!$B$6:$B$271,'[11]API_EG.USE.ELEC.KH.PC_DS2_en_cs'!$BG$6:$BG$271)</f>
        <v>0</v>
      </c>
      <c r="T202">
        <f>_xlfn.XLOOKUP(D202,'[12]API_EN.POP.DNST_DS2_en_csv_v2_4'!$B$6:$B$271,'[12]API_EN.POP.DNST_DS2_en_csv_v2_4'!$BM$6:$BM$271)</f>
        <v>228.11190903650501</v>
      </c>
    </row>
    <row r="203" spans="1:20" x14ac:dyDescent="0.2">
      <c r="A203" s="161" t="s">
        <v>156</v>
      </c>
      <c r="B203" s="161">
        <v>804</v>
      </c>
      <c r="C203" s="161" t="s">
        <v>706</v>
      </c>
      <c r="D203" t="str">
        <f>_xlfn.XLOOKUP(B203,'Country Code M49'!$B$2:$B$250,'Country Code M49'!$C$2:$C$250,,0)</f>
        <v>UKR</v>
      </c>
      <c r="E203" s="162">
        <v>76.031595701726417</v>
      </c>
      <c r="F203" s="162">
        <v>3344903.6086634714</v>
      </c>
      <c r="G203" s="160" t="s">
        <v>872</v>
      </c>
      <c r="H203" s="188">
        <f>_xlfn.XLOOKUP(D203,'[1]World Population'!$C$2:$C$267,'[1]World Population'!$BN$2:$BN$267)</f>
        <v>44132049</v>
      </c>
      <c r="I203" s="188">
        <v>71.437942504882798</v>
      </c>
      <c r="J203" s="194">
        <f>_xlfn.XLOOKUP(D203,'[2]GDP 2015 Constant'!$B$6:$B$271,'[2]GDP 2015 Constant'!$BM$6:$BM$271)</f>
        <v>98118346734</v>
      </c>
      <c r="K203" s="193">
        <f t="shared" si="6"/>
        <v>2223.290079597256</v>
      </c>
      <c r="L203" s="194">
        <f>_xlfn.XLOOKUP(D203,'[5]Tourism Receipts'!$B$6:$B$271,'[5]Tourism Receipts'!$BK$6:$BK$271)</f>
        <v>2269000000</v>
      </c>
      <c r="M203" s="195">
        <f t="shared" si="7"/>
        <v>2.3125134855271113E-2</v>
      </c>
      <c r="N203">
        <f>_xlfn.XLOOKUP(D203,'[6]API_NV.AGR.TOTL.ZS_DS2_en_csv_v'!$B$6:$B$271,'[6]API_NV.AGR.TOTL.ZS_DS2_en_csv_v'!$BL$6:$BL$271)</f>
        <v>8.9651810143724298</v>
      </c>
      <c r="O203" s="188">
        <f>_xlfn.XLOOKUP(D203,'[7]API_SP.RUR.TOTL_DS2_en_csv_v2_4'!$B$6:$B$271,'[7]API_SP.RUR.TOTL_DS2_en_csv_v2_4'!$BM$6:$BM$271)</f>
        <v>13412612</v>
      </c>
      <c r="P203" s="188">
        <f>_xlfn.XLOOKUP(D203,'[8]API_AG.PRD.FOOD.XD_DS2_en_csv_v'!$B$6:$B$271,'[8]API_AG.PRD.FOOD.XD_DS2_en_csv_v'!$BM$6:$BM$271)</f>
        <v>99.34</v>
      </c>
      <c r="Q203">
        <f>_xlfn.XLOOKUP(D203,'[9]API_NE.IMP.GNFS.ZS_DS2_en_csv_v'!$B$6:$B$271,'[9]API_NE.IMP.GNFS.ZS_DS2_en_csv_v'!$BK$6:$BK$271)</f>
        <v>53.964579409274798</v>
      </c>
      <c r="R203">
        <f>_xlfn.XLOOKUP(D203,'[10]API_NE.EXP.GNFS.ZS_DS2_en_csv_v'!$B$6:$B$271,'[10]API_NE.EXP.GNFS.ZS_DS2_en_csv_v'!$BL$6:$BL$271)</f>
        <v>41.2316912560049</v>
      </c>
      <c r="S203">
        <f>_xlfn.XLOOKUP(D203,'[11]API_EG.USE.ELEC.KH.PC_DS2_en_cs'!$B$6:$B$271,'[11]API_EG.USE.ELEC.KH.PC_DS2_en_cs'!$BG$6:$BG$271)</f>
        <v>3418.5693170559298</v>
      </c>
      <c r="T203">
        <f>_xlfn.XLOOKUP(D203,'[12]API_EN.POP.DNST_DS2_en_csv_v2_4'!$B$6:$B$271,'[12]API_EN.POP.DNST_DS2_en_csv_v2_4'!$BM$6:$BM$271)</f>
        <v>76.168534691059705</v>
      </c>
    </row>
    <row r="204" spans="1:20" x14ac:dyDescent="0.2">
      <c r="A204" s="161" t="s">
        <v>148</v>
      </c>
      <c r="B204" s="161">
        <v>784</v>
      </c>
      <c r="C204" s="161" t="s">
        <v>866</v>
      </c>
      <c r="D204" t="str">
        <f>_xlfn.XLOOKUP(B204,'Country Code M49'!$B$2:$B$250,'Country Code M49'!$C$2:$C$250,,0)</f>
        <v>ARE</v>
      </c>
      <c r="E204" s="162">
        <v>94.532022754949935</v>
      </c>
      <c r="F204" s="162">
        <v>923625.12832723837</v>
      </c>
      <c r="G204" s="160" t="s">
        <v>877</v>
      </c>
      <c r="H204" s="188">
        <f>_xlfn.XLOOKUP(D204,'[1]World Population'!$C$2:$C$267,'[1]World Population'!$BN$2:$BN$267)</f>
        <v>9890400</v>
      </c>
      <c r="I204" s="188">
        <v>100</v>
      </c>
      <c r="J204" s="194">
        <f>_xlfn.XLOOKUP(D204,'[2]GDP 2015 Constant'!$B$6:$B$271,'[2]GDP 2015 Constant'!$BM$6:$BM$271)</f>
        <v>370866000000</v>
      </c>
      <c r="K204" s="193">
        <f t="shared" si="6"/>
        <v>37497.573404513467</v>
      </c>
      <c r="L204" s="194">
        <f>_xlfn.XLOOKUP(D204,'[5]Tourism Receipts'!$B$6:$B$271,'[5]Tourism Receipts'!$BK$6:$BK$271)</f>
        <v>34609500000</v>
      </c>
      <c r="M204" s="195">
        <f t="shared" si="7"/>
        <v>9.3320768148064254E-2</v>
      </c>
      <c r="N204">
        <f>_xlfn.XLOOKUP(D204,'[6]API_NV.AGR.TOTL.ZS_DS2_en_csv_v'!$B$6:$B$271,'[6]API_NV.AGR.TOTL.ZS_DS2_en_csv_v'!$BL$6:$BL$271)</f>
        <v>0.74717752816713601</v>
      </c>
      <c r="O204" s="188">
        <f>_xlfn.XLOOKUP(D204,'[7]API_SP.RUR.TOTL_DS2_en_csv_v2_4'!$B$6:$B$271,'[7]API_SP.RUR.TOTL_DS2_en_csv_v2_4'!$BM$6:$BM$271)</f>
        <v>1281005</v>
      </c>
      <c r="P204" s="188">
        <f>_xlfn.XLOOKUP(D204,'[8]API_AG.PRD.FOOD.XD_DS2_en_csv_v'!$B$6:$B$271,'[8]API_AG.PRD.FOOD.XD_DS2_en_csv_v'!$BM$6:$BM$271)</f>
        <v>108.27</v>
      </c>
      <c r="Q204">
        <f>_xlfn.XLOOKUP(D204,'[9]API_NE.IMP.GNFS.ZS_DS2_en_csv_v'!$B$6:$B$271,'[9]API_NE.IMP.GNFS.ZS_DS2_en_csv_v'!$BK$6:$BK$271)</f>
        <v>66.680650743091604</v>
      </c>
      <c r="R204">
        <f>_xlfn.XLOOKUP(D204,'[10]API_NE.EXP.GNFS.ZS_DS2_en_csv_v'!$B$6:$B$271,'[10]API_NE.EXP.GNFS.ZS_DS2_en_csv_v'!$BL$6:$BL$271)</f>
        <v>96.843533463725095</v>
      </c>
      <c r="S204">
        <f>_xlfn.XLOOKUP(D204,'[11]API_EG.USE.ELEC.KH.PC_DS2_en_cs'!$B$6:$B$271,'[11]API_EG.USE.ELEC.KH.PC_DS2_en_cs'!$BG$6:$BG$271)</f>
        <v>11088.341862576601</v>
      </c>
      <c r="T204">
        <f>_xlfn.XLOOKUP(D204,'[12]API_EN.POP.DNST_DS2_en_csv_v2_4'!$B$6:$B$271,'[12]API_EN.POP.DNST_DS2_en_csv_v2_4'!$BM$6:$BM$271)</f>
        <v>139.262179667699</v>
      </c>
    </row>
    <row r="205" spans="1:20" x14ac:dyDescent="0.2">
      <c r="A205" s="161" t="s">
        <v>153</v>
      </c>
      <c r="B205" s="161">
        <v>826</v>
      </c>
      <c r="C205" s="161" t="s">
        <v>779</v>
      </c>
      <c r="D205" t="str">
        <f>_xlfn.XLOOKUP(B205,'Country Code M49'!$B$2:$B$250,'Country Code M49'!$C$2:$C$250,,0)</f>
        <v>GBR</v>
      </c>
      <c r="E205" s="162">
        <v>77</v>
      </c>
      <c r="F205" s="162">
        <v>5199825.4000000004</v>
      </c>
      <c r="G205" s="160" t="s">
        <v>870</v>
      </c>
      <c r="H205" s="188">
        <f>_xlfn.XLOOKUP(D205,'[1]World Population'!$C$2:$C$267,'[1]World Population'!$BN$2:$BN$267)</f>
        <v>67081000</v>
      </c>
      <c r="I205" s="188">
        <v>100</v>
      </c>
      <c r="J205" s="194">
        <f>_xlfn.XLOOKUP(D205,'[2]GDP 2015 Constant'!$B$6:$B$271,'[2]GDP 2015 Constant'!$BM$6:$BM$271)</f>
        <v>2895630000000</v>
      </c>
      <c r="K205" s="193">
        <f t="shared" si="6"/>
        <v>43166.172239531312</v>
      </c>
      <c r="L205" s="194">
        <f>_xlfn.XLOOKUP(D205,'[5]Tourism Receipts'!$B$6:$B$271,'[5]Tourism Receipts'!$BK$6:$BK$271)</f>
        <v>0</v>
      </c>
      <c r="M205" s="195">
        <f t="shared" si="7"/>
        <v>0</v>
      </c>
      <c r="N205">
        <f>_xlfn.XLOOKUP(D205,'[6]API_NV.AGR.TOTL.ZS_DS2_en_csv_v'!$B$6:$B$271,'[6]API_NV.AGR.TOTL.ZS_DS2_en_csv_v'!$BL$6:$BL$271)</f>
        <v>0.61198528078294401</v>
      </c>
      <c r="O205" s="188">
        <f>_xlfn.XLOOKUP(D205,'[7]API_SP.RUR.TOTL_DS2_en_csv_v2_4'!$B$6:$B$271,'[7]API_SP.RUR.TOTL_DS2_en_csv_v2_4'!$BM$6:$BM$271)</f>
        <v>10798029</v>
      </c>
      <c r="P205" s="188">
        <f>_xlfn.XLOOKUP(D205,'[8]API_AG.PRD.FOOD.XD_DS2_en_csv_v'!$B$6:$B$271,'[8]API_AG.PRD.FOOD.XD_DS2_en_csv_v'!$BM$6:$BM$271)</f>
        <v>96.84</v>
      </c>
      <c r="Q205">
        <f>_xlfn.XLOOKUP(D205,'[9]API_NE.IMP.GNFS.ZS_DS2_en_csv_v'!$B$6:$B$271,'[9]API_NE.IMP.GNFS.ZS_DS2_en_csv_v'!$BK$6:$BK$271)</f>
        <v>31.8078256790441</v>
      </c>
      <c r="R205">
        <f>_xlfn.XLOOKUP(D205,'[10]API_NE.EXP.GNFS.ZS_DS2_en_csv_v'!$B$6:$B$271,'[10]API_NE.EXP.GNFS.ZS_DS2_en_csv_v'!$BL$6:$BL$271)</f>
        <v>31.004978089224299</v>
      </c>
      <c r="S205">
        <f>_xlfn.XLOOKUP(D205,'[11]API_EG.USE.ELEC.KH.PC_DS2_en_cs'!$B$6:$B$271,'[11]API_EG.USE.ELEC.KH.PC_DS2_en_cs'!$BG$6:$BG$271)</f>
        <v>5130.3902533002802</v>
      </c>
      <c r="T205">
        <f>_xlfn.XLOOKUP(D205,'[12]API_EN.POP.DNST_DS2_en_csv_v2_4'!$B$6:$B$271,'[12]API_EN.POP.DNST_DS2_en_csv_v2_4'!$BM$6:$BM$271)</f>
        <v>277.274418220146</v>
      </c>
    </row>
    <row r="206" spans="1:20" x14ac:dyDescent="0.2">
      <c r="A206" s="161" t="s">
        <v>154</v>
      </c>
      <c r="B206" s="161">
        <v>834</v>
      </c>
      <c r="C206" s="161" t="s">
        <v>854</v>
      </c>
      <c r="D206" t="str">
        <f>_xlfn.XLOOKUP(B206,'Country Code M49'!$B$2:$B$250,'Country Code M49'!$C$2:$C$250,,0)</f>
        <v>TZA</v>
      </c>
      <c r="E206" s="162">
        <v>119.08611000000001</v>
      </c>
      <c r="F206" s="162">
        <v>6907649.3536050003</v>
      </c>
      <c r="G206" s="160" t="s">
        <v>873</v>
      </c>
      <c r="H206" s="188">
        <f>_xlfn.XLOOKUP(D206,'[1]World Population'!$C$2:$C$267,'[1]World Population'!$BN$2:$BN$267)</f>
        <v>59734213</v>
      </c>
      <c r="I206" s="188">
        <v>100</v>
      </c>
      <c r="J206" s="194">
        <f>_xlfn.XLOOKUP(D206,'[2]GDP 2015 Constant'!$B$6:$B$271,'[2]GDP 2015 Constant'!$BM$6:$BM$271)</f>
        <v>61522709092</v>
      </c>
      <c r="K206" s="193">
        <f t="shared" si="6"/>
        <v>1029.9408998993592</v>
      </c>
      <c r="L206" s="194">
        <f>_xlfn.XLOOKUP(D206,'[5]Tourism Receipts'!$B$6:$B$271,'[5]Tourism Receipts'!$BK$6:$BK$271)</f>
        <v>2465000000</v>
      </c>
      <c r="M206" s="195">
        <f t="shared" si="7"/>
        <v>4.0066506114252567E-2</v>
      </c>
      <c r="N206">
        <f>_xlfn.XLOOKUP(D206,'[6]API_NV.AGR.TOTL.ZS_DS2_en_csv_v'!$B$6:$B$271,'[6]API_NV.AGR.TOTL.ZS_DS2_en_csv_v'!$BL$6:$BL$271)</f>
        <v>26.546415165034801</v>
      </c>
      <c r="O206" s="188">
        <f>_xlfn.XLOOKUP(D206,'[7]API_SP.RUR.TOTL_DS2_en_csv_v2_4'!$B$6:$B$271,'[7]API_SP.RUR.TOTL_DS2_en_csv_v2_4'!$BM$6:$BM$271)</f>
        <v>38691642</v>
      </c>
      <c r="P206" s="188">
        <f>_xlfn.XLOOKUP(D206,'[8]API_AG.PRD.FOOD.XD_DS2_en_csv_v'!$B$6:$B$271,'[8]API_AG.PRD.FOOD.XD_DS2_en_csv_v'!$BM$6:$BM$271)</f>
        <v>116.24</v>
      </c>
      <c r="Q206">
        <f>_xlfn.XLOOKUP(D206,'[9]API_NE.IMP.GNFS.ZS_DS2_en_csv_v'!$B$6:$B$271,'[9]API_NE.IMP.GNFS.ZS_DS2_en_csv_v'!$BK$6:$BK$271)</f>
        <v>17.903466554378301</v>
      </c>
      <c r="R206">
        <f>_xlfn.XLOOKUP(D206,'[10]API_NE.EXP.GNFS.ZS_DS2_en_csv_v'!$B$6:$B$271,'[10]API_NE.EXP.GNFS.ZS_DS2_en_csv_v'!$BL$6:$BL$271)</f>
        <v>16.007863881448198</v>
      </c>
      <c r="S206">
        <f>_xlfn.XLOOKUP(D206,'[11]API_EG.USE.ELEC.KH.PC_DS2_en_cs'!$B$6:$B$271,'[11]API_EG.USE.ELEC.KH.PC_DS2_en_cs'!$BG$6:$BG$271)</f>
        <v>103.681777965553</v>
      </c>
      <c r="T206">
        <f>_xlfn.XLOOKUP(D206,'[12]API_EN.POP.DNST_DS2_en_csv_v2_4'!$B$6:$B$271,'[12]API_EN.POP.DNST_DS2_en_csv_v2_4'!$BM$6:$BM$271)</f>
        <v>67.435327387672203</v>
      </c>
    </row>
    <row r="207" spans="1:20" x14ac:dyDescent="0.2">
      <c r="A207" s="161" t="s">
        <v>151</v>
      </c>
      <c r="B207" s="161">
        <v>840</v>
      </c>
      <c r="C207" s="161" t="s">
        <v>142</v>
      </c>
      <c r="D207" t="str">
        <f>_xlfn.XLOOKUP(B207,'Country Code M49'!$B$2:$B$250,'Country Code M49'!$C$2:$C$250,,0)</f>
        <v>USA</v>
      </c>
      <c r="E207" s="162">
        <v>58.833231191673804</v>
      </c>
      <c r="F207" s="162">
        <v>19359951.338765021</v>
      </c>
      <c r="G207" s="160" t="s">
        <v>870</v>
      </c>
      <c r="H207" s="188">
        <f>_xlfn.XLOOKUP(D207,'[1]World Population'!$C$2:$C$267,'[1]World Population'!$BN$2:$BN$267)</f>
        <v>331501080</v>
      </c>
      <c r="I207" s="188">
        <v>100</v>
      </c>
      <c r="J207" s="194">
        <f>_xlfn.XLOOKUP(D207,'[2]GDP 2015 Constant'!$B$6:$B$271,'[2]GDP 2015 Constant'!$BM$6:$BM$271)</f>
        <v>19247100000000</v>
      </c>
      <c r="K207" s="193">
        <f t="shared" si="6"/>
        <v>58060.444327964178</v>
      </c>
      <c r="L207" s="194">
        <f>_xlfn.XLOOKUP(D207,'[5]Tourism Receipts'!$B$6:$B$271,'[5]Tourism Receipts'!$BK$6:$BK$271)</f>
        <v>241984000000</v>
      </c>
      <c r="M207" s="195">
        <f t="shared" si="7"/>
        <v>1.2572491440268924E-2</v>
      </c>
      <c r="N207">
        <f>_xlfn.XLOOKUP(D207,'[6]API_NV.AGR.TOTL.ZS_DS2_en_csv_v'!$B$6:$B$271,'[6]API_NV.AGR.TOTL.ZS_DS2_en_csv_v'!$BL$6:$BL$271)</f>
        <v>0.85368615564561701</v>
      </c>
      <c r="O207" s="188">
        <f>_xlfn.XLOOKUP(D207,'[7]API_SP.RUR.TOTL_DS2_en_csv_v2_4'!$B$6:$B$271,'[7]API_SP.RUR.TOTL_DS2_en_csv_v2_4'!$BM$6:$BM$271)</f>
        <v>57469027</v>
      </c>
      <c r="P207" s="188">
        <f>_xlfn.XLOOKUP(D207,'[8]API_AG.PRD.FOOD.XD_DS2_en_csv_v'!$B$6:$B$271,'[8]API_AG.PRD.FOOD.XD_DS2_en_csv_v'!$BM$6:$BM$271)</f>
        <v>104.45</v>
      </c>
      <c r="Q207">
        <f>_xlfn.XLOOKUP(D207,'[9]API_NE.IMP.GNFS.ZS_DS2_en_csv_v'!$B$6:$B$271,'[9]API_NE.IMP.GNFS.ZS_DS2_en_csv_v'!$BK$6:$BK$271)</f>
        <v>15.246617680675699</v>
      </c>
      <c r="R207">
        <f>_xlfn.XLOOKUP(D207,'[10]API_NE.EXP.GNFS.ZS_DS2_en_csv_v'!$B$6:$B$271,'[10]API_NE.EXP.GNFS.ZS_DS2_en_csv_v'!$BL$6:$BL$271)</f>
        <v>11.7895354311111</v>
      </c>
      <c r="S207">
        <f>_xlfn.XLOOKUP(D207,'[11]API_EG.USE.ELEC.KH.PC_DS2_en_cs'!$B$6:$B$271,'[11]API_EG.USE.ELEC.KH.PC_DS2_en_cs'!$BG$6:$BG$271)</f>
        <v>12993.9655794706</v>
      </c>
      <c r="T207">
        <f>_xlfn.XLOOKUP(D207,'[12]API_EN.POP.DNST_DS2_en_csv_v2_4'!$B$6:$B$271,'[12]API_EN.POP.DNST_DS2_en_csv_v2_4'!$BM$6:$BM$271)</f>
        <v>36.239844677515599</v>
      </c>
    </row>
    <row r="208" spans="1:20" x14ac:dyDescent="0.2">
      <c r="A208" s="161" t="s">
        <v>150</v>
      </c>
      <c r="B208" s="161">
        <v>850</v>
      </c>
      <c r="C208" s="161" t="s">
        <v>749</v>
      </c>
      <c r="D208" t="str">
        <f>_xlfn.XLOOKUP(B208,'Country Code M49'!$B$2:$B$250,'Country Code M49'!$C$2:$C$250,,0)</f>
        <v>VIR</v>
      </c>
      <c r="E208" s="162">
        <v>73.920769675063781</v>
      </c>
      <c r="F208" s="162">
        <v>7732.1125080116717</v>
      </c>
      <c r="G208" s="160" t="s">
        <v>872</v>
      </c>
      <c r="H208" s="188">
        <f>_xlfn.XLOOKUP(D208,'[1]World Population'!$C$2:$C$267,'[1]World Population'!$BN$2:$BN$267)</f>
        <v>106290</v>
      </c>
      <c r="I208" s="188">
        <v>100</v>
      </c>
      <c r="J208" s="194">
        <f>_xlfn.XLOOKUP(D208,'[2]GDP 2015 Constant'!$B$6:$B$271,'[2]GDP 2015 Constant'!$BM$6:$BM$271)</f>
        <v>3786142476</v>
      </c>
      <c r="K208" s="193">
        <f t="shared" si="6"/>
        <v>35620.871916454984</v>
      </c>
      <c r="L208" s="194">
        <f>_xlfn.XLOOKUP(D208,'[5]Tourism Receipts'!$B$6:$B$271,'[5]Tourism Receipts'!$BK$6:$BK$271)</f>
        <v>993000000</v>
      </c>
      <c r="M208" s="195">
        <f t="shared" si="7"/>
        <v>0.26227222200287847</v>
      </c>
      <c r="N208">
        <f>_xlfn.XLOOKUP(D208,'[6]API_NV.AGR.TOTL.ZS_DS2_en_csv_v'!$B$6:$B$271,'[6]API_NV.AGR.TOTL.ZS_DS2_en_csv_v'!$BL$6:$BL$271)</f>
        <v>0</v>
      </c>
      <c r="O208" s="188">
        <f>_xlfn.XLOOKUP(D208,'[7]API_SP.RUR.TOTL_DS2_en_csv_v2_4'!$B$6:$B$271,'[7]API_SP.RUR.TOTL_DS2_en_csv_v2_4'!$BM$6:$BM$271)</f>
        <v>4316</v>
      </c>
      <c r="P208" s="188">
        <f>_xlfn.XLOOKUP(D208,'[8]API_AG.PRD.FOOD.XD_DS2_en_csv_v'!$B$6:$B$271,'[8]API_AG.PRD.FOOD.XD_DS2_en_csv_v'!$BM$6:$BM$271)</f>
        <v>0</v>
      </c>
      <c r="Q208">
        <f>_xlfn.XLOOKUP(D208,'[9]API_NE.IMP.GNFS.ZS_DS2_en_csv_v'!$B$6:$B$271,'[9]API_NE.IMP.GNFS.ZS_DS2_en_csv_v'!$BK$6:$BK$271)</f>
        <v>106.144824069352</v>
      </c>
      <c r="R208">
        <f>_xlfn.XLOOKUP(D208,'[10]API_NE.EXP.GNFS.ZS_DS2_en_csv_v'!$B$6:$B$271,'[10]API_NE.EXP.GNFS.ZS_DS2_en_csv_v'!$BL$6:$BL$271)</f>
        <v>55.015788195287797</v>
      </c>
      <c r="S208">
        <f>_xlfn.XLOOKUP(D208,'[11]API_EG.USE.ELEC.KH.PC_DS2_en_cs'!$B$6:$B$271,'[11]API_EG.USE.ELEC.KH.PC_DS2_en_cs'!$BG$6:$BG$271)</f>
        <v>0</v>
      </c>
      <c r="T208">
        <f>_xlfn.XLOOKUP(D208,'[12]API_EN.POP.DNST_DS2_en_csv_v2_4'!$B$6:$B$271,'[12]API_EN.POP.DNST_DS2_en_csv_v2_4'!$BM$6:$BM$271)</f>
        <v>303.68571428571403</v>
      </c>
    </row>
    <row r="209" spans="1:20" x14ac:dyDescent="0.2">
      <c r="A209" s="161" t="s">
        <v>150</v>
      </c>
      <c r="B209" s="161">
        <v>858</v>
      </c>
      <c r="C209" s="161" t="s">
        <v>750</v>
      </c>
      <c r="D209" t="str">
        <f>_xlfn.XLOOKUP(B209,'Country Code M49'!$B$2:$B$250,'Country Code M49'!$C$2:$C$250,,0)</f>
        <v>URY</v>
      </c>
      <c r="E209" s="162">
        <v>73.920769675063781</v>
      </c>
      <c r="F209" s="162">
        <v>255891.52838416828</v>
      </c>
      <c r="G209" s="160" t="s">
        <v>872</v>
      </c>
      <c r="H209" s="188">
        <f>_xlfn.XLOOKUP(D209,'[1]World Population'!$C$2:$C$267,'[1]World Population'!$BN$2:$BN$267)</f>
        <v>3473727</v>
      </c>
      <c r="I209" s="188">
        <v>100</v>
      </c>
      <c r="J209" s="194">
        <f>_xlfn.XLOOKUP(D209,'[2]GDP 2015 Constant'!$B$6:$B$271,'[2]GDP 2015 Constant'!$BM$6:$BM$271)</f>
        <v>52115108175</v>
      </c>
      <c r="K209" s="193">
        <f t="shared" si="6"/>
        <v>15002.649366228261</v>
      </c>
      <c r="L209" s="194">
        <f>_xlfn.XLOOKUP(D209,'[5]Tourism Receipts'!$B$6:$B$271,'[5]Tourism Receipts'!$BK$6:$BK$271)</f>
        <v>2708000000</v>
      </c>
      <c r="M209" s="195">
        <f t="shared" si="7"/>
        <v>5.1961899242474324E-2</v>
      </c>
      <c r="N209">
        <f>_xlfn.XLOOKUP(D209,'[6]API_NV.AGR.TOTL.ZS_DS2_en_csv_v'!$B$6:$B$271,'[6]API_NV.AGR.TOTL.ZS_DS2_en_csv_v'!$BL$6:$BL$271)</f>
        <v>6.4526702032424899</v>
      </c>
      <c r="O209" s="188">
        <f>_xlfn.XLOOKUP(D209,'[7]API_SP.RUR.TOTL_DS2_en_csv_v2_4'!$B$6:$B$271,'[7]API_SP.RUR.TOTL_DS2_en_csv_v2_4'!$BM$6:$BM$271)</f>
        <v>155797</v>
      </c>
      <c r="P209" s="188">
        <f>_xlfn.XLOOKUP(D209,'[8]API_AG.PRD.FOOD.XD_DS2_en_csv_v'!$B$6:$B$271,'[8]API_AG.PRD.FOOD.XD_DS2_en_csv_v'!$BM$6:$BM$271)</f>
        <v>91.98</v>
      </c>
      <c r="Q209">
        <f>_xlfn.XLOOKUP(D209,'[9]API_NE.IMP.GNFS.ZS_DS2_en_csv_v'!$B$6:$B$271,'[9]API_NE.IMP.GNFS.ZS_DS2_en_csv_v'!$BK$6:$BK$271)</f>
        <v>21.428914038492799</v>
      </c>
      <c r="R209">
        <f>_xlfn.XLOOKUP(D209,'[10]API_NE.EXP.GNFS.ZS_DS2_en_csv_v'!$B$6:$B$271,'[10]API_NE.EXP.GNFS.ZS_DS2_en_csv_v'!$BL$6:$BL$271)</f>
        <v>27.750190305701</v>
      </c>
      <c r="S209">
        <f>_xlfn.XLOOKUP(D209,'[11]API_EG.USE.ELEC.KH.PC_DS2_en_cs'!$B$6:$B$271,'[11]API_EG.USE.ELEC.KH.PC_DS2_en_cs'!$BG$6:$BG$271)</f>
        <v>3085.1898828357198</v>
      </c>
      <c r="T209">
        <f>_xlfn.XLOOKUP(D209,'[12]API_EN.POP.DNST_DS2_en_csv_v2_4'!$B$6:$B$271,'[12]API_EN.POP.DNST_DS2_en_csv_v2_4'!$BM$6:$BM$271)</f>
        <v>19.8476002742544</v>
      </c>
    </row>
    <row r="210" spans="1:20" x14ac:dyDescent="0.2">
      <c r="A210" s="161" t="s">
        <v>871</v>
      </c>
      <c r="B210" s="161">
        <v>860</v>
      </c>
      <c r="C210" s="161" t="s">
        <v>694</v>
      </c>
      <c r="D210" t="str">
        <f>_xlfn.XLOOKUP(B210,'Country Code M49'!$B$2:$B$250,'Country Code M49'!$C$2:$C$250,,0)</f>
        <v>UZB</v>
      </c>
      <c r="E210" s="162">
        <v>91.016179554931128</v>
      </c>
      <c r="F210" s="162">
        <v>3001868.3292268715</v>
      </c>
      <c r="G210" s="160" t="s">
        <v>872</v>
      </c>
      <c r="H210" s="188">
        <f>_xlfn.XLOOKUP(D210,'[1]World Population'!$C$2:$C$267,'[1]World Population'!$BN$2:$BN$267)</f>
        <v>34232050</v>
      </c>
      <c r="I210" s="188">
        <v>100</v>
      </c>
      <c r="J210" s="194">
        <f>_xlfn.XLOOKUP(D210,'[2]GDP 2015 Constant'!$B$6:$B$271,'[2]GDP 2015 Constant'!$BM$6:$BM$271)</f>
        <v>108164000000</v>
      </c>
      <c r="K210" s="193">
        <f t="shared" si="6"/>
        <v>3159.7289674442518</v>
      </c>
      <c r="L210" s="194">
        <f>_xlfn.XLOOKUP(D210,'[5]Tourism Receipts'!$B$6:$B$271,'[5]Tourism Receipts'!$BK$6:$BK$271)</f>
        <v>1314000000</v>
      </c>
      <c r="M210" s="195">
        <f t="shared" si="7"/>
        <v>1.2148219370585408E-2</v>
      </c>
      <c r="N210">
        <f>_xlfn.XLOOKUP(D210,'[6]API_NV.AGR.TOTL.ZS_DS2_en_csv_v'!$B$6:$B$271,'[6]API_NV.AGR.TOTL.ZS_DS2_en_csv_v'!$BL$6:$BL$271)</f>
        <v>24.614478303231198</v>
      </c>
      <c r="O210" s="188">
        <f>_xlfn.XLOOKUP(D210,'[7]API_SP.RUR.TOTL_DS2_en_csv_v2_4'!$B$6:$B$271,'[7]API_SP.RUR.TOTL_DS2_en_csv_v2_4'!$BM$6:$BM$271)</f>
        <v>16973620</v>
      </c>
      <c r="P210" s="188">
        <f>_xlfn.XLOOKUP(D210,'[8]API_AG.PRD.FOOD.XD_DS2_en_csv_v'!$B$6:$B$271,'[8]API_AG.PRD.FOOD.XD_DS2_en_csv_v'!$BM$6:$BM$271)</f>
        <v>106.28</v>
      </c>
      <c r="Q210">
        <f>_xlfn.XLOOKUP(D210,'[9]API_NE.IMP.GNFS.ZS_DS2_en_csv_v'!$B$6:$B$271,'[9]API_NE.IMP.GNFS.ZS_DS2_en_csv_v'!$BK$6:$BK$271)</f>
        <v>44.5642456264655</v>
      </c>
      <c r="R210">
        <f>_xlfn.XLOOKUP(D210,'[10]API_NE.EXP.GNFS.ZS_DS2_en_csv_v'!$B$6:$B$271,'[10]API_NE.EXP.GNFS.ZS_DS2_en_csv_v'!$BL$6:$BL$271)</f>
        <v>28.421391859257401</v>
      </c>
      <c r="S210">
        <f>_xlfn.XLOOKUP(D210,'[11]API_EG.USE.ELEC.KH.PC_DS2_en_cs'!$B$6:$B$271,'[11]API_EG.USE.ELEC.KH.PC_DS2_en_cs'!$BG$6:$BG$271)</f>
        <v>1645.44162925056</v>
      </c>
      <c r="T210">
        <f>_xlfn.XLOOKUP(D210,'[12]API_EN.POP.DNST_DS2_en_csv_v2_4'!$B$6:$B$271,'[12]API_EN.POP.DNST_DS2_en_csv_v2_4'!$BM$6:$BM$271)</f>
        <v>77.685351185748303</v>
      </c>
    </row>
    <row r="211" spans="1:20" x14ac:dyDescent="0.2">
      <c r="A211" s="161" t="s">
        <v>874</v>
      </c>
      <c r="B211" s="161">
        <v>548</v>
      </c>
      <c r="C211" s="161" t="s">
        <v>756</v>
      </c>
      <c r="D211" t="str">
        <f>_xlfn.XLOOKUP(B211,'Country Code M49'!$B$2:$B$250,'Country Code M49'!$C$2:$C$250,,0)</f>
        <v>VUT</v>
      </c>
      <c r="E211" s="162">
        <v>91.016179554931128</v>
      </c>
      <c r="F211" s="162">
        <v>27295.752248523848</v>
      </c>
      <c r="G211" s="160" t="s">
        <v>872</v>
      </c>
      <c r="H211" s="188">
        <f>_xlfn.XLOOKUP(D211,'[1]World Population'!$C$2:$C$267,'[1]World Population'!$BN$2:$BN$267)</f>
        <v>307150</v>
      </c>
      <c r="I211" s="188">
        <v>100</v>
      </c>
      <c r="J211" s="194">
        <f>_xlfn.XLOOKUP(D211,'[2]GDP 2015 Constant'!$B$6:$B$271,'[2]GDP 2015 Constant'!$BM$6:$BM$271)</f>
        <v>817502074.60000002</v>
      </c>
      <c r="K211" s="193">
        <f t="shared" si="6"/>
        <v>2661.5727644473386</v>
      </c>
      <c r="L211" s="194">
        <f>_xlfn.XLOOKUP(D211,'[5]Tourism Receipts'!$B$6:$B$271,'[5]Tourism Receipts'!$BK$6:$BK$271)</f>
        <v>325000000</v>
      </c>
      <c r="M211" s="195">
        <f t="shared" si="7"/>
        <v>0.39755250793586183</v>
      </c>
      <c r="N211">
        <f>_xlfn.XLOOKUP(D211,'[6]API_NV.AGR.TOTL.ZS_DS2_en_csv_v'!$B$6:$B$271,'[6]API_NV.AGR.TOTL.ZS_DS2_en_csv_v'!$BL$6:$BL$271)</f>
        <v>0</v>
      </c>
      <c r="O211" s="188">
        <f>_xlfn.XLOOKUP(D211,'[7]API_SP.RUR.TOTL_DS2_en_csv_v2_4'!$B$6:$B$271,'[7]API_SP.RUR.TOTL_DS2_en_csv_v2_4'!$BM$6:$BM$271)</f>
        <v>228750</v>
      </c>
      <c r="P211" s="188">
        <f>_xlfn.XLOOKUP(D211,'[8]API_AG.PRD.FOOD.XD_DS2_en_csv_v'!$B$6:$B$271,'[8]API_AG.PRD.FOOD.XD_DS2_en_csv_v'!$BM$6:$BM$271)</f>
        <v>89.79</v>
      </c>
      <c r="Q211">
        <f>_xlfn.XLOOKUP(D211,'[9]API_NE.IMP.GNFS.ZS_DS2_en_csv_v'!$B$6:$B$271,'[9]API_NE.IMP.GNFS.ZS_DS2_en_csv_v'!$BK$6:$BK$271)</f>
        <v>65.796054459572105</v>
      </c>
      <c r="R211">
        <f>_xlfn.XLOOKUP(D211,'[10]API_NE.EXP.GNFS.ZS_DS2_en_csv_v'!$B$6:$B$271,'[10]API_NE.EXP.GNFS.ZS_DS2_en_csv_v'!$BL$6:$BL$271)</f>
        <v>50.345276872964199</v>
      </c>
      <c r="S211">
        <f>_xlfn.XLOOKUP(D211,'[11]API_EG.USE.ELEC.KH.PC_DS2_en_cs'!$B$6:$B$271,'[11]API_EG.USE.ELEC.KH.PC_DS2_en_cs'!$BG$6:$BG$271)</f>
        <v>0</v>
      </c>
      <c r="T211">
        <f>_xlfn.XLOOKUP(D211,'[12]API_EN.POP.DNST_DS2_en_csv_v2_4'!$B$6:$B$271,'[12]API_EN.POP.DNST_DS2_en_csv_v2_4'!$BM$6:$BM$271)</f>
        <v>25.196882690730099</v>
      </c>
    </row>
    <row r="212" spans="1:20" x14ac:dyDescent="0.2">
      <c r="A212" s="161" t="s">
        <v>150</v>
      </c>
      <c r="B212" s="161">
        <v>862</v>
      </c>
      <c r="C212" s="161" t="s">
        <v>751</v>
      </c>
      <c r="D212" t="str">
        <f>_xlfn.XLOOKUP(B212,'Country Code M49'!$B$2:$B$250,'Country Code M49'!$C$2:$C$250,,0)</f>
        <v>VEN</v>
      </c>
      <c r="E212" s="162">
        <v>72.432162730095172</v>
      </c>
      <c r="F212" s="162">
        <v>2065461.0659788479</v>
      </c>
      <c r="G212" s="160" t="s">
        <v>872</v>
      </c>
      <c r="H212" s="188">
        <f>_xlfn.XLOOKUP(D212,'[1]World Population'!$C$2:$C$267,'[1]World Population'!$BN$2:$BN$267)</f>
        <v>28435943</v>
      </c>
      <c r="I212" s="188">
        <v>100</v>
      </c>
      <c r="J212" s="194" t="e">
        <f>_xlfn.XLOOKUP(D212,'[2]GDP 2015 Constant'!$B$6:$B$271,'[2]GDP 2015 Constant'!$BM$6:$BM$271)</f>
        <v>#REF!</v>
      </c>
      <c r="K212" s="193" t="e">
        <f t="shared" si="6"/>
        <v>#REF!</v>
      </c>
      <c r="L212" s="194">
        <f>_xlfn.XLOOKUP(D212,'[5]Tourism Receipts'!$B$6:$B$271,'[5]Tourism Receipts'!$BK$6:$BK$271)</f>
        <v>0</v>
      </c>
      <c r="M212" s="195" t="e">
        <f t="shared" si="7"/>
        <v>#REF!</v>
      </c>
      <c r="N212">
        <f>_xlfn.XLOOKUP(D212,'[6]API_NV.AGR.TOTL.ZS_DS2_en_csv_v'!$B$6:$B$271,'[6]API_NV.AGR.TOTL.ZS_DS2_en_csv_v'!$BL$6:$BL$271)</f>
        <v>0</v>
      </c>
      <c r="O212" s="188">
        <f>_xlfn.XLOOKUP(D212,'[7]API_SP.RUR.TOTL_DS2_en_csv_v2_4'!$B$6:$B$271,'[7]API_SP.RUR.TOTL_DS2_en_csv_v2_4'!$BM$6:$BM$271)</f>
        <v>3332977</v>
      </c>
      <c r="P212" s="188">
        <f>_xlfn.XLOOKUP(D212,'[8]API_AG.PRD.FOOD.XD_DS2_en_csv_v'!$B$6:$B$271,'[8]API_AG.PRD.FOOD.XD_DS2_en_csv_v'!$BM$6:$BM$271)</f>
        <v>85.13</v>
      </c>
      <c r="Q212">
        <f>_xlfn.XLOOKUP(D212,'[9]API_NE.IMP.GNFS.ZS_DS2_en_csv_v'!$B$6:$B$271,'[9]API_NE.IMP.GNFS.ZS_DS2_en_csv_v'!$BK$6:$BK$271)</f>
        <v>0</v>
      </c>
      <c r="R212">
        <f>_xlfn.XLOOKUP(D212,'[10]API_NE.EXP.GNFS.ZS_DS2_en_csv_v'!$B$6:$B$271,'[10]API_NE.EXP.GNFS.ZS_DS2_en_csv_v'!$BL$6:$BL$271)</f>
        <v>0</v>
      </c>
      <c r="S212">
        <f>_xlfn.XLOOKUP(D212,'[11]API_EG.USE.ELEC.KH.PC_DS2_en_cs'!$B$6:$B$271,'[11]API_EG.USE.ELEC.KH.PC_DS2_en_cs'!$BG$6:$BG$271)</f>
        <v>2719.1383489243899</v>
      </c>
      <c r="T212">
        <f>_xlfn.XLOOKUP(D212,'[12]API_EN.POP.DNST_DS2_en_csv_v2_4'!$B$6:$B$271,'[12]API_EN.POP.DNST_DS2_en_csv_v2_4'!$BM$6:$BM$271)</f>
        <v>32.238470608242203</v>
      </c>
    </row>
    <row r="213" spans="1:20" x14ac:dyDescent="0.2">
      <c r="A213" s="161" t="s">
        <v>157</v>
      </c>
      <c r="B213" s="161">
        <v>704</v>
      </c>
      <c r="C213" s="161" t="s">
        <v>143</v>
      </c>
      <c r="D213" t="str">
        <f>_xlfn.XLOOKUP(B213,'Country Code M49'!$B$2:$B$250,'Country Code M49'!$C$2:$C$250,,0)</f>
        <v>VNM</v>
      </c>
      <c r="E213" s="162">
        <v>76.161692587499999</v>
      </c>
      <c r="F213" s="162">
        <v>7346716.8065446839</v>
      </c>
      <c r="G213" s="160" t="s">
        <v>873</v>
      </c>
      <c r="H213" s="188">
        <f>_xlfn.XLOOKUP(D213,'[1]World Population'!$C$2:$C$267,'[1]World Population'!$BN$2:$BN$267)</f>
        <v>97338583</v>
      </c>
      <c r="I213" s="188">
        <v>100</v>
      </c>
      <c r="J213" s="194">
        <f>_xlfn.XLOOKUP(D213,'[2]GDP 2015 Constant'!$B$6:$B$271,'[2]GDP 2015 Constant'!$BM$6:$BM$271)</f>
        <v>322775000000</v>
      </c>
      <c r="K213" s="193">
        <f t="shared" si="6"/>
        <v>3316.002658473054</v>
      </c>
      <c r="L213" s="194">
        <f>_xlfn.XLOOKUP(D213,'[5]Tourism Receipts'!$B$6:$B$271,'[5]Tourism Receipts'!$BK$6:$BK$271)</f>
        <v>10080000000</v>
      </c>
      <c r="M213" s="195">
        <f t="shared" si="7"/>
        <v>3.1229184416389125E-2</v>
      </c>
      <c r="N213">
        <f>_xlfn.XLOOKUP(D213,'[6]API_NV.AGR.TOTL.ZS_DS2_en_csv_v'!$B$6:$B$271,'[6]API_NV.AGR.TOTL.ZS_DS2_en_csv_v'!$BL$6:$BL$271)</f>
        <v>0</v>
      </c>
      <c r="O213" s="188">
        <f>_xlfn.XLOOKUP(D213,'[7]API_SP.RUR.TOTL_DS2_en_csv_v2_4'!$B$6:$B$271,'[7]API_SP.RUR.TOTL_DS2_en_csv_v2_4'!$BM$6:$BM$271)</f>
        <v>60992356</v>
      </c>
      <c r="P213" s="188">
        <f>_xlfn.XLOOKUP(D213,'[8]API_AG.PRD.FOOD.XD_DS2_en_csv_v'!$B$6:$B$271,'[8]API_AG.PRD.FOOD.XD_DS2_en_csv_v'!$BM$6:$BM$271)</f>
        <v>106.04</v>
      </c>
      <c r="Q213">
        <f>_xlfn.XLOOKUP(D213,'[9]API_NE.IMP.GNFS.ZS_DS2_en_csv_v'!$B$6:$B$271,'[9]API_NE.IMP.GNFS.ZS_DS2_en_csv_v'!$BK$6:$BK$271)</f>
        <v>0</v>
      </c>
      <c r="R213">
        <f>_xlfn.XLOOKUP(D213,'[10]API_NE.EXP.GNFS.ZS_DS2_en_csv_v'!$B$6:$B$271,'[10]API_NE.EXP.GNFS.ZS_DS2_en_csv_v'!$BL$6:$BL$271)</f>
        <v>0</v>
      </c>
      <c r="S213">
        <f>_xlfn.XLOOKUP(D213,'[11]API_EG.USE.ELEC.KH.PC_DS2_en_cs'!$B$6:$B$271,'[11]API_EG.USE.ELEC.KH.PC_DS2_en_cs'!$BG$6:$BG$271)</f>
        <v>1423.69991010082</v>
      </c>
      <c r="T213">
        <f>_xlfn.XLOOKUP(D213,'[12]API_EN.POP.DNST_DS2_en_csv_v2_4'!$B$6:$B$271,'[12]API_EN.POP.DNST_DS2_en_csv_v2_4'!$BM$6:$BM$271)</f>
        <v>310.560232141889</v>
      </c>
    </row>
    <row r="214" spans="1:20" x14ac:dyDescent="0.2">
      <c r="A214" s="161" t="s">
        <v>148</v>
      </c>
      <c r="B214" s="161">
        <v>887</v>
      </c>
      <c r="C214" s="161" t="s">
        <v>867</v>
      </c>
      <c r="D214" t="str">
        <f>_xlfn.XLOOKUP(B214,'Country Code M49'!$B$2:$B$250,'Country Code M49'!$C$2:$C$250,,0)</f>
        <v>YEM</v>
      </c>
      <c r="E214" s="162">
        <v>103.79798160353502</v>
      </c>
      <c r="F214" s="162">
        <v>3026946.3597241277</v>
      </c>
      <c r="G214" s="160" t="s">
        <v>872</v>
      </c>
      <c r="H214" s="188">
        <f>_xlfn.XLOOKUP(D214,'[1]World Population'!$C$2:$C$267,'[1]World Population'!$BN$2:$BN$267)</f>
        <v>29825968</v>
      </c>
      <c r="I214" s="188">
        <v>100</v>
      </c>
      <c r="J214" s="194">
        <f>_xlfn.XLOOKUP(D214,'[2]GDP 2015 Constant'!$B$6:$B$271,'[2]GDP 2015 Constant'!$BM$6:$BM$271)</f>
        <v>34133335016</v>
      </c>
      <c r="K214" s="193">
        <f t="shared" si="6"/>
        <v>1144.4166712711553</v>
      </c>
      <c r="L214" s="194">
        <f>_xlfn.XLOOKUP(D214,'[5]Tourism Receipts'!$B$6:$B$271,'[5]Tourism Receipts'!$BK$6:$BK$271)</f>
        <v>0</v>
      </c>
      <c r="M214" s="195">
        <f t="shared" si="7"/>
        <v>0</v>
      </c>
      <c r="N214">
        <f>_xlfn.XLOOKUP(D214,'[6]API_NV.AGR.TOTL.ZS_DS2_en_csv_v'!$B$6:$B$271,'[6]API_NV.AGR.TOTL.ZS_DS2_en_csv_v'!$BL$6:$BL$271)</f>
        <v>5.00096223312035</v>
      </c>
      <c r="O214" s="188">
        <f>_xlfn.XLOOKUP(D214,'[7]API_SP.RUR.TOTL_DS2_en_csv_v2_4'!$B$6:$B$271,'[7]API_SP.RUR.TOTL_DS2_en_csv_v2_4'!$BM$6:$BM$271)</f>
        <v>18519540</v>
      </c>
      <c r="P214" s="188">
        <f>_xlfn.XLOOKUP(D214,'[8]API_AG.PRD.FOOD.XD_DS2_en_csv_v'!$B$6:$B$271,'[8]API_AG.PRD.FOOD.XD_DS2_en_csv_v'!$BM$6:$BM$271)</f>
        <v>104.61</v>
      </c>
      <c r="Q214">
        <f>_xlfn.XLOOKUP(D214,'[9]API_NE.IMP.GNFS.ZS_DS2_en_csv_v'!$B$6:$B$271,'[9]API_NE.IMP.GNFS.ZS_DS2_en_csv_v'!$BK$6:$BK$271)</f>
        <v>43.246924321219197</v>
      </c>
      <c r="R214">
        <f>_xlfn.XLOOKUP(D214,'[10]API_NE.EXP.GNFS.ZS_DS2_en_csv_v'!$B$6:$B$271,'[10]API_NE.EXP.GNFS.ZS_DS2_en_csv_v'!$BL$6:$BL$271)</f>
        <v>7.1353953774886696</v>
      </c>
      <c r="S214">
        <f>_xlfn.XLOOKUP(D214,'[11]API_EG.USE.ELEC.KH.PC_DS2_en_cs'!$B$6:$B$271,'[11]API_EG.USE.ELEC.KH.PC_DS2_en_cs'!$BG$6:$BG$271)</f>
        <v>219.79989690006201</v>
      </c>
      <c r="T214">
        <f>_xlfn.XLOOKUP(D214,'[12]API_EN.POP.DNST_DS2_en_csv_v2_4'!$B$6:$B$271,'[12]API_EN.POP.DNST_DS2_en_csv_v2_4'!$BM$6:$BM$271)</f>
        <v>56.4917855181166</v>
      </c>
    </row>
    <row r="215" spans="1:20" x14ac:dyDescent="0.2">
      <c r="A215" s="161" t="s">
        <v>154</v>
      </c>
      <c r="B215" s="161">
        <v>894</v>
      </c>
      <c r="C215" s="161" t="s">
        <v>144</v>
      </c>
      <c r="D215" t="str">
        <f>_xlfn.XLOOKUP(B215,'Country Code M49'!$B$2:$B$250,'Country Code M49'!$C$2:$C$250,,0)</f>
        <v>ZMB</v>
      </c>
      <c r="E215" s="162">
        <v>77.92</v>
      </c>
      <c r="F215" s="162">
        <v>1391729.12</v>
      </c>
      <c r="G215" s="160" t="s">
        <v>873</v>
      </c>
      <c r="H215" s="188">
        <f>_xlfn.XLOOKUP(D215,'[1]World Population'!$C$2:$C$267,'[1]World Population'!$BN$2:$BN$267)</f>
        <v>18383956</v>
      </c>
      <c r="I215" s="188">
        <v>100</v>
      </c>
      <c r="J215" s="194">
        <f>_xlfn.XLOOKUP(D215,'[2]GDP 2015 Constant'!$B$6:$B$271,'[2]GDP 2015 Constant'!$BM$6:$BM$271)</f>
        <v>23418945737</v>
      </c>
      <c r="K215" s="193">
        <f t="shared" si="6"/>
        <v>1273.8795576425443</v>
      </c>
      <c r="L215" s="194">
        <f>_xlfn.XLOOKUP(D215,'[5]Tourism Receipts'!$B$6:$B$271,'[5]Tourism Receipts'!$BK$6:$BK$271)</f>
        <v>0</v>
      </c>
      <c r="M215" s="195">
        <f t="shared" si="7"/>
        <v>0</v>
      </c>
      <c r="N215">
        <f>_xlfn.XLOOKUP(D215,'[6]API_NV.AGR.TOTL.ZS_DS2_en_csv_v'!$B$6:$B$271,'[6]API_NV.AGR.TOTL.ZS_DS2_en_csv_v'!$BL$6:$BL$271)</f>
        <v>2.8607749368079598</v>
      </c>
      <c r="O215" s="188">
        <f>_xlfn.XLOOKUP(D215,'[7]API_SP.RUR.TOTL_DS2_en_csv_v2_4'!$B$6:$B$271,'[7]API_SP.RUR.TOTL_DS2_en_csv_v2_4'!$BM$6:$BM$271)</f>
        <v>10179380</v>
      </c>
      <c r="P215" s="188">
        <f>_xlfn.XLOOKUP(D215,'[8]API_AG.PRD.FOOD.XD_DS2_en_csv_v'!$B$6:$B$271,'[8]API_AG.PRD.FOOD.XD_DS2_en_csv_v'!$BM$6:$BM$271)</f>
        <v>122.43</v>
      </c>
      <c r="Q215">
        <f>_xlfn.XLOOKUP(D215,'[9]API_NE.IMP.GNFS.ZS_DS2_en_csv_v'!$B$6:$B$271,'[9]API_NE.IMP.GNFS.ZS_DS2_en_csv_v'!$BK$6:$BK$271)</f>
        <v>36.930964979427102</v>
      </c>
      <c r="R215">
        <f>_xlfn.XLOOKUP(D215,'[10]API_NE.EXP.GNFS.ZS_DS2_en_csv_v'!$B$6:$B$271,'[10]API_NE.EXP.GNFS.ZS_DS2_en_csv_v'!$BL$6:$BL$271)</f>
        <v>34.6361926031881</v>
      </c>
      <c r="S215">
        <f>_xlfn.XLOOKUP(D215,'[11]API_EG.USE.ELEC.KH.PC_DS2_en_cs'!$B$6:$B$271,'[11]API_EG.USE.ELEC.KH.PC_DS2_en_cs'!$BG$6:$BG$271)</f>
        <v>717.34730460338005</v>
      </c>
      <c r="T215">
        <f>_xlfn.XLOOKUP(D215,'[12]API_EN.POP.DNST_DS2_en_csv_v2_4'!$B$6:$B$271,'[12]API_EN.POP.DNST_DS2_en_csv_v2_4'!$BM$6:$BM$271)</f>
        <v>24.729894133631099</v>
      </c>
    </row>
    <row r="216" spans="1:20" x14ac:dyDescent="0.2">
      <c r="A216" s="163" t="s">
        <v>154</v>
      </c>
      <c r="B216" s="163">
        <v>716</v>
      </c>
      <c r="C216" s="163" t="s">
        <v>855</v>
      </c>
      <c r="D216" t="str">
        <f>_xlfn.XLOOKUP(B216,'Country Code M49'!$B$2:$B$250,'Country Code M49'!$C$2:$C$250,,0)</f>
        <v>ZWE</v>
      </c>
      <c r="E216" s="164">
        <v>99.59129668943163</v>
      </c>
      <c r="F216" s="164">
        <v>1458564.3356650709</v>
      </c>
      <c r="G216" s="160" t="s">
        <v>877</v>
      </c>
      <c r="H216" s="188">
        <f>_xlfn.XLOOKUP(D216,'[1]World Population'!$C$2:$C$267,'[1]World Population'!$BN$2:$BN$267)</f>
        <v>14862927</v>
      </c>
      <c r="I216" s="188">
        <v>100</v>
      </c>
      <c r="J216" s="194">
        <f>_xlfn.XLOOKUP(D216,'[2]GDP 2015 Constant'!$B$6:$B$271,'[2]GDP 2015 Constant'!$BM$6:$BM$271)</f>
        <v>19426048166</v>
      </c>
      <c r="K216" s="193">
        <f t="shared" si="6"/>
        <v>1307.0136296841126</v>
      </c>
      <c r="L216" s="194">
        <f>_xlfn.XLOOKUP(D216,'[5]Tourism Receipts'!$B$6:$B$271,'[5]Tourism Receipts'!$BK$6:$BK$271)</f>
        <v>191000000</v>
      </c>
      <c r="M216" s="195">
        <f t="shared" si="7"/>
        <v>9.832159292917508E-3</v>
      </c>
      <c r="N216">
        <f>_xlfn.XLOOKUP(D216,'[6]API_NV.AGR.TOTL.ZS_DS2_en_csv_v'!$B$6:$B$271,'[6]API_NV.AGR.TOTL.ZS_DS2_en_csv_v'!$BL$6:$BL$271)</f>
        <v>10.1436570902064</v>
      </c>
      <c r="O216" s="188">
        <f>_xlfn.XLOOKUP(D216,'[7]API_SP.RUR.TOTL_DS2_en_csv_v2_4'!$B$6:$B$271,'[7]API_SP.RUR.TOTL_DS2_en_csv_v2_4'!$BM$6:$BM$271)</f>
        <v>10070822</v>
      </c>
      <c r="P216" s="188">
        <f>_xlfn.XLOOKUP(D216,'[8]API_AG.PRD.FOOD.XD_DS2_en_csv_v'!$B$6:$B$271,'[8]API_AG.PRD.FOOD.XD_DS2_en_csv_v'!$BM$6:$BM$271)</f>
        <v>110.59</v>
      </c>
      <c r="Q216">
        <f>_xlfn.XLOOKUP(D216,'[9]API_NE.IMP.GNFS.ZS_DS2_en_csv_v'!$B$6:$B$271,'[9]API_NE.IMP.GNFS.ZS_DS2_en_csv_v'!$BK$6:$BK$271)</f>
        <v>41.397264241835899</v>
      </c>
      <c r="R216">
        <f>_xlfn.XLOOKUP(D216,'[10]API_NE.EXP.GNFS.ZS_DS2_en_csv_v'!$B$6:$B$271,'[10]API_NE.EXP.GNFS.ZS_DS2_en_csv_v'!$BL$6:$BL$271)</f>
        <v>31.2510404125177</v>
      </c>
      <c r="S216">
        <f>_xlfn.XLOOKUP(D216,'[11]API_EG.USE.ELEC.KH.PC_DS2_en_cs'!$B$6:$B$271,'[11]API_EG.USE.ELEC.KH.PC_DS2_en_cs'!$BG$6:$BG$271)</f>
        <v>609.12465195768505</v>
      </c>
      <c r="T216">
        <f>_xlfn.XLOOKUP(D216,'[12]API_EN.POP.DNST_DS2_en_csv_v2_4'!$B$6:$B$271,'[12]API_EN.POP.DNST_DS2_en_csv_v2_4'!$BM$6:$BM$271)</f>
        <v>38.420387747188798</v>
      </c>
    </row>
    <row r="217" spans="1:20" ht="23.5" customHeight="1" x14ac:dyDescent="0.2">
      <c r="A217" s="166" t="s">
        <v>884</v>
      </c>
      <c r="B217" s="167"/>
      <c r="C217" s="167"/>
      <c r="E217" s="167"/>
      <c r="F217" s="167"/>
      <c r="G217" s="168"/>
      <c r="H217"/>
      <c r="P217" s="188"/>
    </row>
  </sheetData>
  <autoFilter ref="A1:H217" xr:uid="{1D7AB896-2B7B-43C3-B92D-392307C9944B}">
    <sortState xmlns:xlrd2="http://schemas.microsoft.com/office/spreadsheetml/2017/richdata2" ref="A2:H217">
      <sortCondition ref="C1:C217"/>
    </sortState>
  </autoFilter>
  <conditionalFormatting sqref="G2:G216">
    <cfRule type="containsText" dxfId="11" priority="1" operator="containsText" text="Medium Confidence">
      <formula>NOT(ISERROR(SEARCH("Medium Confidence",G2)))</formula>
    </cfRule>
    <cfRule type="containsText" dxfId="10" priority="2" operator="containsText" text="Very Low Confidence">
      <formula>NOT(ISERROR(SEARCH("Very Low Confidence",G2)))</formula>
    </cfRule>
    <cfRule type="containsText" dxfId="9" priority="3" operator="containsText" text="Low Confidence">
      <formula>NOT(ISERROR(SEARCH("Low Confidence",G2)))</formula>
    </cfRule>
    <cfRule type="containsText" dxfId="8" priority="4" operator="containsText" text="High Confidence">
      <formula>NOT(ISERROR(SEARCH("High Confidence",G2)))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30FFA-F1A0-494B-AC38-1924FD8A1960}">
  <sheetPr>
    <tabColor theme="9" tint="0.79998168889431442"/>
  </sheetPr>
  <dimension ref="A1:T217"/>
  <sheetViews>
    <sheetView tabSelected="1" topLeftCell="L1" zoomScale="160" zoomScaleNormal="160" workbookViewId="0">
      <selection activeCell="L2" sqref="L2:L216"/>
    </sheetView>
  </sheetViews>
  <sheetFormatPr baseColWidth="10" defaultColWidth="8.83203125" defaultRowHeight="15" x14ac:dyDescent="0.2"/>
  <cols>
    <col min="1" max="3" width="23.6640625" style="165" customWidth="1"/>
    <col min="6" max="7" width="23.6640625" style="165" customWidth="1"/>
    <col min="8" max="8" width="13.6640625" bestFit="1" customWidth="1"/>
    <col min="9" max="9" width="10" customWidth="1"/>
    <col min="10" max="10" width="19.33203125" bestFit="1" customWidth="1"/>
    <col min="11" max="11" width="11.1640625" bestFit="1" customWidth="1"/>
    <col min="12" max="12" width="14.6640625" bestFit="1" customWidth="1"/>
    <col min="15" max="15" width="14.6640625" style="188" bestFit="1" customWidth="1"/>
    <col min="16" max="16" width="11.1640625" bestFit="1" customWidth="1"/>
  </cols>
  <sheetData>
    <row r="1" spans="1:20" ht="60" x14ac:dyDescent="0.2">
      <c r="A1" s="159" t="s">
        <v>145</v>
      </c>
      <c r="B1" s="159" t="s">
        <v>686</v>
      </c>
      <c r="C1" s="159" t="s">
        <v>90</v>
      </c>
      <c r="D1" s="159" t="s">
        <v>1167</v>
      </c>
      <c r="E1" s="159" t="str">
        <f>'[3]Food Service Estimates'!$D$2</f>
        <v>Food service estimate (kg/capita/year)</v>
      </c>
      <c r="F1" s="159" t="s">
        <v>879</v>
      </c>
      <c r="G1" s="159" t="s">
        <v>689</v>
      </c>
      <c r="H1" s="159" t="s">
        <v>888</v>
      </c>
      <c r="I1" s="159" t="s">
        <v>1170</v>
      </c>
      <c r="J1" s="159" t="s">
        <v>1169</v>
      </c>
      <c r="K1" s="159" t="s">
        <v>1171</v>
      </c>
      <c r="L1" s="159" t="s">
        <v>1173</v>
      </c>
      <c r="M1" s="159" t="s">
        <v>1174</v>
      </c>
      <c r="N1" s="159" t="s">
        <v>1175</v>
      </c>
      <c r="O1" s="239" t="s">
        <v>1176</v>
      </c>
      <c r="P1" s="239" t="s">
        <v>1177</v>
      </c>
      <c r="Q1" s="239" t="s">
        <v>1178</v>
      </c>
      <c r="R1" s="239" t="s">
        <v>1179</v>
      </c>
      <c r="S1" s="239" t="s">
        <v>1180</v>
      </c>
      <c r="T1" s="239" t="s">
        <v>1181</v>
      </c>
    </row>
    <row r="2" spans="1:20" x14ac:dyDescent="0.2">
      <c r="A2" s="161" t="s">
        <v>149</v>
      </c>
      <c r="B2" s="161">
        <v>4</v>
      </c>
      <c r="C2" s="161" t="s">
        <v>797</v>
      </c>
      <c r="D2" t="str">
        <f>_xlfn.XLOOKUP(B2,'Country Code M49'!$B$2:$B$250,'Country Code M49'!$C$2:$C$250,,0)</f>
        <v>AFG</v>
      </c>
      <c r="E2" s="27">
        <f>_xlfn.XLOOKUP(B2,'[3]Food Service Estimates'!$B$3:$B$237,'[3]Food Service Estimates'!$D$3:$D$237)</f>
        <v>27.648074566430626</v>
      </c>
      <c r="F2" s="162">
        <v>1051782.5230412406</v>
      </c>
      <c r="G2" s="160" t="s">
        <v>872</v>
      </c>
      <c r="H2" s="188">
        <f>_xlfn.XLOOKUP(D2,'[1]World Population'!$C$2:$C$267,'[1]World Population'!$BN$2:$BN$267)</f>
        <v>38928341</v>
      </c>
      <c r="I2" s="188">
        <v>100</v>
      </c>
      <c r="J2" s="194">
        <f>_xlfn.XLOOKUP(D2,'[2]GDP 2015 Constant'!$B$6:$B$271,'[2]GDP 2015 Constant'!$BM$6:$BM$271)</f>
        <v>20621946476</v>
      </c>
      <c r="K2" s="193">
        <f>J2/H2</f>
        <v>529.74121029200808</v>
      </c>
      <c r="L2" s="194">
        <f>_xlfn.XLOOKUP(D2,'[5]Tourism Receipts'!$B$6:$B$271,'[5]Tourism Receipts'!$BK$6:$BK$271)</f>
        <v>50000000</v>
      </c>
      <c r="M2" s="195">
        <f>L2/J2</f>
        <v>2.4246013856252819E-3</v>
      </c>
      <c r="N2">
        <v>25.773970739410501</v>
      </c>
      <c r="O2" s="188">
        <v>28796851</v>
      </c>
      <c r="P2" s="188">
        <v>118.04</v>
      </c>
      <c r="Q2">
        <v>0</v>
      </c>
      <c r="R2">
        <v>0</v>
      </c>
      <c r="S2">
        <v>0</v>
      </c>
      <c r="T2">
        <v>59.684989957530298</v>
      </c>
    </row>
    <row r="3" spans="1:20" x14ac:dyDescent="0.2">
      <c r="A3" s="161" t="s">
        <v>155</v>
      </c>
      <c r="B3" s="161">
        <v>8</v>
      </c>
      <c r="C3" s="161" t="s">
        <v>802</v>
      </c>
      <c r="D3" t="str">
        <f>_xlfn.XLOOKUP(B3,'Country Code M49'!$B$2:$B$250,'Country Code M49'!$C$2:$C$250,,0)</f>
        <v>ALB</v>
      </c>
      <c r="E3" s="27">
        <f>_xlfn.XLOOKUP(B3,'[3]Food Service Estimates'!$B$3:$B$237,'[3]Food Service Estimates'!$D$3:$D$237)</f>
        <v>27.648074566430626</v>
      </c>
      <c r="F3" s="162">
        <v>79651.338018429989</v>
      </c>
      <c r="G3" s="160" t="s">
        <v>872</v>
      </c>
      <c r="H3" s="188">
        <f>_xlfn.XLOOKUP(D3,'[1]World Population'!$C$2:$C$267,'[1]World Population'!$BN$2:$BN$267)</f>
        <v>2837849</v>
      </c>
      <c r="I3" s="188">
        <v>100</v>
      </c>
      <c r="J3" s="194">
        <f>_xlfn.XLOOKUP(D3,'[2]GDP 2015 Constant'!$B$6:$B$271,'[2]GDP 2015 Constant'!$BM$6:$BM$271)</f>
        <v>12516205780</v>
      </c>
      <c r="K3" s="193">
        <f t="shared" ref="K3:K66" si="0">J3/H3</f>
        <v>4410.455165162065</v>
      </c>
      <c r="L3" s="194">
        <f>_xlfn.XLOOKUP(D3,'[5]Tourism Receipts'!$B$6:$B$271,'[5]Tourism Receipts'!$BK$6:$BK$271)</f>
        <v>2306000000</v>
      </c>
      <c r="M3" s="195">
        <f t="shared" ref="M3:M66" si="1">L3/J3</f>
        <v>0.18424113829167166</v>
      </c>
      <c r="N3">
        <v>18.389347436737498</v>
      </c>
      <c r="O3" s="188">
        <v>1075204</v>
      </c>
      <c r="P3" s="188">
        <v>105.66</v>
      </c>
      <c r="Q3">
        <v>45.236190919583002</v>
      </c>
      <c r="R3">
        <v>31.304270129803399</v>
      </c>
      <c r="S3">
        <v>2309.3665025558098</v>
      </c>
      <c r="T3">
        <v>103.571131386861</v>
      </c>
    </row>
    <row r="4" spans="1:20" x14ac:dyDescent="0.2">
      <c r="A4" s="161" t="s">
        <v>876</v>
      </c>
      <c r="B4" s="161">
        <v>12</v>
      </c>
      <c r="C4" s="161" t="s">
        <v>764</v>
      </c>
      <c r="D4" t="str">
        <f>_xlfn.XLOOKUP(B4,'Country Code M49'!$B$2:$B$250,'Country Code M49'!$C$2:$C$250,,0)</f>
        <v>DZA</v>
      </c>
      <c r="E4" s="27">
        <f>_xlfn.XLOOKUP(B4,'[3]Food Service Estimates'!$B$3:$B$237,'[3]Food Service Estimates'!$D$3:$D$237)</f>
        <v>27.648074566430626</v>
      </c>
      <c r="F4" s="162">
        <v>1190335.3191159945</v>
      </c>
      <c r="G4" s="160" t="s">
        <v>872</v>
      </c>
      <c r="H4" s="188">
        <f>_xlfn.XLOOKUP(D4,'[1]World Population'!$C$2:$C$267,'[1]World Population'!$BN$2:$BN$267)</f>
        <v>43851043</v>
      </c>
      <c r="I4" s="188">
        <v>100</v>
      </c>
      <c r="J4" s="194">
        <f>_xlfn.XLOOKUP(D4,'[2]GDP 2015 Constant'!$B$6:$B$271,'[2]GDP 2015 Constant'!$BM$6:$BM$271)</f>
        <v>168144000000</v>
      </c>
      <c r="K4" s="193">
        <f t="shared" si="0"/>
        <v>3834.4355914179737</v>
      </c>
      <c r="L4" s="194">
        <f>_xlfn.XLOOKUP(D4,'[5]Tourism Receipts'!$B$6:$B$271,'[5]Tourism Receipts'!$BK$6:$BK$271)</f>
        <v>196500000</v>
      </c>
      <c r="M4" s="195">
        <f t="shared" si="1"/>
        <v>1.1686411647159577E-3</v>
      </c>
      <c r="N4">
        <v>12.3362121115896</v>
      </c>
      <c r="O4" s="188">
        <v>11518353</v>
      </c>
      <c r="P4" s="188">
        <v>112.5</v>
      </c>
      <c r="Q4">
        <v>32.204340946665198</v>
      </c>
      <c r="R4">
        <v>22.713461910112201</v>
      </c>
      <c r="S4">
        <v>1362.87188408252</v>
      </c>
      <c r="T4">
        <v>18.411339856012901</v>
      </c>
    </row>
    <row r="5" spans="1:20" x14ac:dyDescent="0.2">
      <c r="A5" s="161" t="s">
        <v>878</v>
      </c>
      <c r="B5" s="161">
        <v>16</v>
      </c>
      <c r="C5" s="161" t="s">
        <v>780</v>
      </c>
      <c r="D5" t="str">
        <f>_xlfn.XLOOKUP(B5,'Country Code M49'!$B$2:$B$250,'Country Code M49'!$C$2:$C$250,,0)</f>
        <v>ASM</v>
      </c>
      <c r="E5" s="27">
        <f>_xlfn.XLOOKUP(B5,'[3]Food Service Estimates'!$B$3:$B$237,'[3]Food Service Estimates'!$D$3:$D$237)</f>
        <v>27.648074566430626</v>
      </c>
      <c r="F5" s="162">
        <v>1528.9385235236136</v>
      </c>
      <c r="G5" s="160" t="s">
        <v>872</v>
      </c>
      <c r="H5" s="188">
        <f>_xlfn.XLOOKUP(D5,'[1]World Population'!$C$2:$C$267,'[1]World Population'!$BN$2:$BN$267)</f>
        <v>55197</v>
      </c>
      <c r="I5" s="188">
        <v>100</v>
      </c>
      <c r="J5" s="194">
        <f>_xlfn.XLOOKUP(D5,'[2]GDP 2015 Constant'!$B$6:$B$271,'[2]GDP 2015 Constant'!$BM$6:$BM$271)</f>
        <v>653477862.60000002</v>
      </c>
      <c r="K5" s="193">
        <f t="shared" si="0"/>
        <v>11839.010500570683</v>
      </c>
      <c r="L5" s="194">
        <f>_xlfn.XLOOKUP(D5,'[5]Tourism Receipts'!$B$6:$B$271,'[5]Tourism Receipts'!$BK$6:$BK$271)</f>
        <v>0</v>
      </c>
      <c r="M5" s="195">
        <f t="shared" si="1"/>
        <v>0</v>
      </c>
      <c r="N5">
        <v>0</v>
      </c>
      <c r="O5" s="188">
        <v>7091</v>
      </c>
      <c r="P5" s="188">
        <v>0</v>
      </c>
      <c r="Q5">
        <v>103.599374021909</v>
      </c>
      <c r="R5">
        <v>61.574074074074097</v>
      </c>
      <c r="S5">
        <v>0</v>
      </c>
      <c r="T5">
        <v>275.98500000000001</v>
      </c>
    </row>
    <row r="6" spans="1:20" x14ac:dyDescent="0.2">
      <c r="A6" s="161" t="s">
        <v>155</v>
      </c>
      <c r="B6" s="161">
        <v>20</v>
      </c>
      <c r="C6" s="161" t="s">
        <v>803</v>
      </c>
      <c r="D6" t="str">
        <f>_xlfn.XLOOKUP(B6,'Country Code M49'!$B$2:$B$250,'Country Code M49'!$C$2:$C$250,,0)</f>
        <v>AND</v>
      </c>
      <c r="E6" s="27">
        <f>_xlfn.XLOOKUP(B6,'[3]Food Service Estimates'!$B$3:$B$237,'[3]Food Service Estimates'!$D$3:$D$237)</f>
        <v>25.5704180040103</v>
      </c>
      <c r="F6" s="162">
        <v>1971.4792281091943</v>
      </c>
      <c r="G6" s="160" t="s">
        <v>877</v>
      </c>
      <c r="H6" s="188">
        <f>_xlfn.XLOOKUP(D6,'[1]World Population'!$C$2:$C$267,'[1]World Population'!$BN$2:$BN$267)</f>
        <v>77265</v>
      </c>
      <c r="I6" s="188">
        <v>100</v>
      </c>
      <c r="J6" s="194">
        <f>_xlfn.XLOOKUP(D6,'[2]GDP 2015 Constant'!$B$6:$B$271,'[2]GDP 2015 Constant'!$BM$6:$BM$271)</f>
        <v>2672445971</v>
      </c>
      <c r="K6" s="193">
        <f t="shared" si="0"/>
        <v>34588.053724195946</v>
      </c>
      <c r="L6" s="194">
        <f>_xlfn.XLOOKUP(D6,'[5]Tourism Receipts'!$B$6:$B$271,'[5]Tourism Receipts'!$BK$6:$BK$271)</f>
        <v>0</v>
      </c>
      <c r="M6" s="195">
        <f t="shared" si="1"/>
        <v>0</v>
      </c>
      <c r="N6">
        <v>0.52263324841577896</v>
      </c>
      <c r="O6" s="188">
        <v>9337</v>
      </c>
      <c r="P6" s="188">
        <v>0</v>
      </c>
      <c r="Q6">
        <v>0</v>
      </c>
      <c r="R6">
        <v>0</v>
      </c>
      <c r="S6">
        <v>0</v>
      </c>
      <c r="T6">
        <v>164.39361702127701</v>
      </c>
    </row>
    <row r="7" spans="1:20" x14ac:dyDescent="0.2">
      <c r="A7" s="161" t="s">
        <v>154</v>
      </c>
      <c r="B7" s="161">
        <v>24</v>
      </c>
      <c r="C7" s="161" t="s">
        <v>812</v>
      </c>
      <c r="D7" t="str">
        <f>_xlfn.XLOOKUP(B7,'Country Code M49'!$B$2:$B$250,'Country Code M49'!$C$2:$C$250,,0)</f>
        <v>AGO</v>
      </c>
      <c r="E7" s="27">
        <f>_xlfn.XLOOKUP(B7,'[3]Food Service Estimates'!$B$3:$B$237,'[3]Food Service Estimates'!$D$3:$D$237)</f>
        <v>27.648074566430626</v>
      </c>
      <c r="F7" s="162">
        <v>879908.26749902463</v>
      </c>
      <c r="G7" s="160" t="s">
        <v>872</v>
      </c>
      <c r="H7" s="188">
        <f>_xlfn.XLOOKUP(D7,'[1]World Population'!$C$2:$C$267,'[1]World Population'!$BN$2:$BN$267)</f>
        <v>32866268</v>
      </c>
      <c r="I7" s="188">
        <v>100</v>
      </c>
      <c r="J7" s="194">
        <f>_xlfn.XLOOKUP(D7,'[2]GDP 2015 Constant'!$B$6:$B$271,'[2]GDP 2015 Constant'!$BM$6:$BM$271)</f>
        <v>78566095350</v>
      </c>
      <c r="K7" s="193">
        <f t="shared" si="0"/>
        <v>2390.4781446436205</v>
      </c>
      <c r="L7" s="194">
        <f>_xlfn.XLOOKUP(D7,'[5]Tourism Receipts'!$B$6:$B$271,'[5]Tourism Receipts'!$BK$6:$BK$271)</f>
        <v>557000000</v>
      </c>
      <c r="M7" s="195">
        <f t="shared" si="1"/>
        <v>7.0895721305564412E-3</v>
      </c>
      <c r="N7">
        <v>7.8826247630720996</v>
      </c>
      <c r="O7" s="188">
        <v>10903384</v>
      </c>
      <c r="P7" s="188">
        <v>108.08</v>
      </c>
      <c r="Q7">
        <v>25.541723496357999</v>
      </c>
      <c r="R7">
        <v>40.790755053283299</v>
      </c>
      <c r="S7">
        <v>312.22889451262199</v>
      </c>
      <c r="T7">
        <v>26.362611694874499</v>
      </c>
    </row>
    <row r="8" spans="1:20" x14ac:dyDescent="0.2">
      <c r="A8" s="161" t="s">
        <v>150</v>
      </c>
      <c r="B8" s="161">
        <v>28</v>
      </c>
      <c r="C8" s="161" t="s">
        <v>708</v>
      </c>
      <c r="D8" t="str">
        <f>_xlfn.XLOOKUP(B8,'Country Code M49'!$B$2:$B$250,'Country Code M49'!$C$2:$C$250,,0)</f>
        <v>ATG</v>
      </c>
      <c r="E8" s="27">
        <f>_xlfn.XLOOKUP(B8,'[3]Food Service Estimates'!$B$3:$B$237,'[3]Food Service Estimates'!$D$3:$D$237)</f>
        <v>25.5704180040103</v>
      </c>
      <c r="F8" s="162">
        <v>2482.8875881894</v>
      </c>
      <c r="G8" s="160" t="s">
        <v>877</v>
      </c>
      <c r="H8" s="188">
        <f>_xlfn.XLOOKUP(D8,'[1]World Population'!$C$2:$C$267,'[1]World Population'!$BN$2:$BN$267)</f>
        <v>97928</v>
      </c>
      <c r="I8" s="188">
        <v>100</v>
      </c>
      <c r="J8" s="194">
        <f>_xlfn.XLOOKUP(D8,'[2]GDP 2015 Constant'!$B$6:$B$271,'[2]GDP 2015 Constant'!$BM$6:$BM$271)</f>
        <v>1301036618</v>
      </c>
      <c r="K8" s="193">
        <f t="shared" si="0"/>
        <v>13285.644738991912</v>
      </c>
      <c r="L8" s="194">
        <f>_xlfn.XLOOKUP(D8,'[5]Tourism Receipts'!$B$6:$B$271,'[5]Tourism Receipts'!$BK$6:$BK$271)</f>
        <v>854000000</v>
      </c>
      <c r="M8" s="195">
        <f t="shared" si="1"/>
        <v>0.65639966484017898</v>
      </c>
      <c r="N8">
        <v>1.73340883252786</v>
      </c>
      <c r="O8" s="188">
        <v>74001</v>
      </c>
      <c r="P8" s="188">
        <v>88.3</v>
      </c>
      <c r="Q8">
        <v>70.539297286701</v>
      </c>
      <c r="R8">
        <v>70.884714485749498</v>
      </c>
      <c r="S8">
        <v>0</v>
      </c>
      <c r="T8">
        <v>222.56363636363599</v>
      </c>
    </row>
    <row r="9" spans="1:20" x14ac:dyDescent="0.2">
      <c r="A9" s="161" t="s">
        <v>150</v>
      </c>
      <c r="B9" s="161">
        <v>32</v>
      </c>
      <c r="C9" s="161" t="s">
        <v>709</v>
      </c>
      <c r="D9" t="str">
        <f>_xlfn.XLOOKUP(B9,'Country Code M49'!$B$2:$B$250,'Country Code M49'!$C$2:$C$250,,0)</f>
        <v>ARG</v>
      </c>
      <c r="E9" s="27">
        <f>_xlfn.XLOOKUP(B9,'[3]Food Service Estimates'!$B$3:$B$237,'[3]Food Service Estimates'!$D$3:$D$237)</f>
        <v>27.648074566430626</v>
      </c>
      <c r="F9" s="162">
        <v>1238100.13273696</v>
      </c>
      <c r="G9" s="160" t="s">
        <v>872</v>
      </c>
      <c r="H9" s="188">
        <f>_xlfn.XLOOKUP(D9,'[1]World Population'!$C$2:$C$267,'[1]World Population'!$BN$2:$BN$267)</f>
        <v>45376763</v>
      </c>
      <c r="I9" s="188">
        <v>99</v>
      </c>
      <c r="J9" s="194">
        <f>_xlfn.XLOOKUP(D9,'[2]GDP 2015 Constant'!$B$6:$B$271,'[2]GDP 2015 Constant'!$BM$6:$BM$271)</f>
        <v>514772000000</v>
      </c>
      <c r="K9" s="193">
        <f t="shared" si="0"/>
        <v>11344.396690438232</v>
      </c>
      <c r="L9" s="194">
        <f>_xlfn.XLOOKUP(D9,'[5]Tourism Receipts'!$B$6:$B$271,'[5]Tourism Receipts'!$BK$6:$BK$271)</f>
        <v>5999000000</v>
      </c>
      <c r="M9" s="195">
        <f t="shared" si="1"/>
        <v>1.1653702998609093E-2</v>
      </c>
      <c r="N9">
        <v>5.11101651115706</v>
      </c>
      <c r="O9" s="188">
        <v>3579773</v>
      </c>
      <c r="P9" s="188">
        <v>109.82</v>
      </c>
      <c r="Q9">
        <v>16.3258502050892</v>
      </c>
      <c r="R9">
        <v>17.695944065872101</v>
      </c>
      <c r="S9">
        <v>3074.70207056563</v>
      </c>
      <c r="T9">
        <v>16.580892611147</v>
      </c>
    </row>
    <row r="10" spans="1:20" x14ac:dyDescent="0.2">
      <c r="A10" s="161" t="s">
        <v>148</v>
      </c>
      <c r="B10" s="161">
        <v>51</v>
      </c>
      <c r="C10" s="161" t="s">
        <v>856</v>
      </c>
      <c r="D10" t="str">
        <f>_xlfn.XLOOKUP(B10,'Country Code M49'!$B$2:$B$250,'Country Code M49'!$C$2:$C$250,,0)</f>
        <v>ARM</v>
      </c>
      <c r="E10" s="27">
        <f>_xlfn.XLOOKUP(B10,'[3]Food Service Estimates'!$B$3:$B$237,'[3]Food Service Estimates'!$D$3:$D$237)</f>
        <v>27.648074566430626</v>
      </c>
      <c r="F10" s="162">
        <v>81774.710145131859</v>
      </c>
      <c r="G10" s="160" t="s">
        <v>872</v>
      </c>
      <c r="H10" s="188">
        <f>_xlfn.XLOOKUP(D10,'[1]World Population'!$C$2:$C$267,'[1]World Population'!$BN$2:$BN$267)</f>
        <v>2963234</v>
      </c>
      <c r="I10" s="188">
        <v>96.949996948242202</v>
      </c>
      <c r="J10" s="194">
        <f>_xlfn.XLOOKUP(D10,'[2]GDP 2015 Constant'!$B$6:$B$271,'[2]GDP 2015 Constant'!$BM$6:$BM$271)</f>
        <v>11915301005</v>
      </c>
      <c r="K10" s="193">
        <f t="shared" si="0"/>
        <v>4021.0462639805023</v>
      </c>
      <c r="L10" s="194">
        <f>_xlfn.XLOOKUP(D10,'[5]Tourism Receipts'!$B$6:$B$271,'[5]Tourism Receipts'!$BK$6:$BK$271)</f>
        <v>1358000000</v>
      </c>
      <c r="M10" s="195">
        <f t="shared" si="1"/>
        <v>0.11397110315804397</v>
      </c>
      <c r="N10">
        <v>11.5256107379588</v>
      </c>
      <c r="O10" s="188">
        <v>1087122</v>
      </c>
      <c r="P10" s="188">
        <v>85.78</v>
      </c>
      <c r="Q10">
        <v>53.0802129926047</v>
      </c>
      <c r="R10">
        <v>41.350801362084901</v>
      </c>
      <c r="S10">
        <v>1961.6103952646699</v>
      </c>
      <c r="T10">
        <v>104.08268352651901</v>
      </c>
    </row>
    <row r="11" spans="1:20" x14ac:dyDescent="0.2">
      <c r="A11" s="161" t="s">
        <v>150</v>
      </c>
      <c r="B11" s="161">
        <v>533</v>
      </c>
      <c r="C11" s="161" t="s">
        <v>710</v>
      </c>
      <c r="D11" t="str">
        <f>_xlfn.XLOOKUP(B11,'Country Code M49'!$B$2:$B$250,'Country Code M49'!$C$2:$C$250,,0)</f>
        <v>ABW</v>
      </c>
      <c r="E11" s="27">
        <f>_xlfn.XLOOKUP(B11,'[3]Food Service Estimates'!$B$3:$B$237,'[3]Food Service Estimates'!$D$3:$D$237)</f>
        <v>25.5704180040103</v>
      </c>
      <c r="F11" s="162">
        <v>2718.1354338262945</v>
      </c>
      <c r="G11" s="160" t="s">
        <v>877</v>
      </c>
      <c r="H11" s="188">
        <f>_xlfn.XLOOKUP(D11,'[1]World Population'!$C$2:$C$267,'[1]World Population'!$BN$2:$BN$267)</f>
        <v>106766</v>
      </c>
      <c r="I11" s="188">
        <v>75.379692077636705</v>
      </c>
      <c r="J11" s="194">
        <f>_xlfn.XLOOKUP(D11,'[2]GDP 2015 Constant'!$B$6:$B$271,'[2]GDP 2015 Constant'!$BM$6:$BM$271)</f>
        <v>2458429455</v>
      </c>
      <c r="K11" s="193">
        <f t="shared" si="0"/>
        <v>23026.332868141544</v>
      </c>
      <c r="L11" s="194">
        <f>_xlfn.XLOOKUP(D11,'[5]Tourism Receipts'!$B$6:$B$271,'[5]Tourism Receipts'!$BK$6:$BK$271)</f>
        <v>2035000000</v>
      </c>
      <c r="M11" s="195">
        <f t="shared" si="1"/>
        <v>0.82776424430694107</v>
      </c>
      <c r="N11">
        <v>0</v>
      </c>
      <c r="O11" s="188">
        <v>60112</v>
      </c>
      <c r="P11" s="188">
        <v>0</v>
      </c>
      <c r="Q11">
        <v>74.633635729239401</v>
      </c>
      <c r="R11">
        <v>74.582278481012693</v>
      </c>
      <c r="S11">
        <v>0</v>
      </c>
      <c r="T11">
        <v>593.14444444444405</v>
      </c>
    </row>
    <row r="12" spans="1:20" x14ac:dyDescent="0.2">
      <c r="A12" s="161" t="s">
        <v>146</v>
      </c>
      <c r="B12" s="161">
        <v>36</v>
      </c>
      <c r="C12" s="161" t="s">
        <v>91</v>
      </c>
      <c r="D12" t="str">
        <f>_xlfn.XLOOKUP(B12,'Country Code M49'!$B$2:$B$250,'Country Code M49'!$C$2:$C$250,,0)</f>
        <v>AUS</v>
      </c>
      <c r="E12" s="27">
        <f>_xlfn.XLOOKUP(B12,'[3]Food Service Estimates'!$B$3:$B$237,'[3]Food Service Estimates'!$D$3:$D$237)</f>
        <v>21.677391537791951</v>
      </c>
      <c r="F12" s="162">
        <v>546339.63440527814</v>
      </c>
      <c r="G12" s="160" t="s">
        <v>880</v>
      </c>
      <c r="H12" s="188">
        <f>_xlfn.XLOOKUP(D12,'[1]World Population'!$C$2:$C$267,'[1]World Population'!$BN$2:$BN$267)</f>
        <v>25693267</v>
      </c>
      <c r="I12" s="188">
        <v>100</v>
      </c>
      <c r="J12" s="194">
        <f>_xlfn.XLOOKUP(D12,'[2]GDP 2015 Constant'!$B$6:$B$271,'[2]GDP 2015 Constant'!$BM$6:$BM$271)</f>
        <v>1490970000000</v>
      </c>
      <c r="K12" s="193">
        <f t="shared" si="0"/>
        <v>58029.59973910675</v>
      </c>
      <c r="L12" s="194">
        <f>_xlfn.XLOOKUP(D12,'[5]Tourism Receipts'!$B$6:$B$271,'[5]Tourism Receipts'!$BK$6:$BK$271)</f>
        <v>47327000000</v>
      </c>
      <c r="M12" s="195">
        <f t="shared" si="1"/>
        <v>3.1742422718096276E-2</v>
      </c>
      <c r="N12">
        <v>2.1168640056560699</v>
      </c>
      <c r="O12" s="188">
        <v>3535137</v>
      </c>
      <c r="P12" s="188">
        <v>89</v>
      </c>
      <c r="Q12">
        <v>21.5125131175846</v>
      </c>
      <c r="R12">
        <v>24.169727287861399</v>
      </c>
      <c r="S12">
        <v>10071.3989785006</v>
      </c>
      <c r="T12">
        <v>3.34024963533636</v>
      </c>
    </row>
    <row r="13" spans="1:20" x14ac:dyDescent="0.2">
      <c r="A13" s="161" t="s">
        <v>147</v>
      </c>
      <c r="B13" s="161">
        <v>40</v>
      </c>
      <c r="C13" s="161" t="s">
        <v>92</v>
      </c>
      <c r="D13" t="str">
        <f>_xlfn.XLOOKUP(B13,'Country Code M49'!$B$2:$B$250,'Country Code M49'!$C$2:$C$250,,0)</f>
        <v>AUT</v>
      </c>
      <c r="E13" s="27">
        <f>_xlfn.XLOOKUP(B13,'[3]Food Service Estimates'!$B$3:$B$237,'[3]Food Service Estimates'!$D$3:$D$237)</f>
        <v>28.385021627168378</v>
      </c>
      <c r="F13" s="162">
        <v>254190.70717345554</v>
      </c>
      <c r="G13" s="160" t="s">
        <v>880</v>
      </c>
      <c r="H13" s="188">
        <f>_xlfn.XLOOKUP(D13,'[1]World Population'!$C$2:$C$267,'[1]World Population'!$BN$2:$BN$267)</f>
        <v>8916864</v>
      </c>
      <c r="I13" s="188">
        <v>55.400001525878899</v>
      </c>
      <c r="J13" s="194">
        <f>_xlfn.XLOOKUP(D13,'[2]GDP 2015 Constant'!$B$6:$B$271,'[2]GDP 2015 Constant'!$BM$6:$BM$271)</f>
        <v>386514000000</v>
      </c>
      <c r="K13" s="193">
        <f t="shared" si="0"/>
        <v>43346.405193574785</v>
      </c>
      <c r="L13" s="194">
        <f>_xlfn.XLOOKUP(D13,'[5]Tourism Receipts'!$B$6:$B$271,'[5]Tourism Receipts'!$BK$6:$BK$271)</f>
        <v>25413000000</v>
      </c>
      <c r="M13" s="195">
        <f t="shared" si="1"/>
        <v>6.5749235474006115E-2</v>
      </c>
      <c r="N13">
        <v>1.0715827241667799</v>
      </c>
      <c r="O13" s="188">
        <v>3678385</v>
      </c>
      <c r="P13" s="188">
        <v>101.68</v>
      </c>
      <c r="Q13">
        <v>52.441022411814302</v>
      </c>
      <c r="R13">
        <v>55.442206544630601</v>
      </c>
      <c r="S13">
        <v>8355.8419518213395</v>
      </c>
      <c r="T13">
        <v>108.05700436257899</v>
      </c>
    </row>
    <row r="14" spans="1:20" x14ac:dyDescent="0.2">
      <c r="A14" s="161" t="s">
        <v>148</v>
      </c>
      <c r="B14" s="161">
        <v>31</v>
      </c>
      <c r="C14" s="161" t="s">
        <v>857</v>
      </c>
      <c r="D14" t="str">
        <f>_xlfn.XLOOKUP(B14,'Country Code M49'!$B$2:$B$250,'Country Code M49'!$C$2:$C$250,,0)</f>
        <v>AZE</v>
      </c>
      <c r="E14" s="27">
        <f>_xlfn.XLOOKUP(B14,'[3]Food Service Estimates'!$B$3:$B$237,'[3]Food Service Estimates'!$D$3:$D$237)</f>
        <v>27.648074566430626</v>
      </c>
      <c r="F14" s="162">
        <v>277799.55882112501</v>
      </c>
      <c r="G14" s="160" t="s">
        <v>872</v>
      </c>
      <c r="H14" s="188">
        <f>_xlfn.XLOOKUP(D14,'[1]World Population'!$C$2:$C$267,'[1]World Population'!$BN$2:$BN$267)</f>
        <v>10093121</v>
      </c>
      <c r="I14" s="188">
        <v>96.199996948242202</v>
      </c>
      <c r="J14" s="194">
        <f>_xlfn.XLOOKUP(D14,'[2]GDP 2015 Constant'!$B$6:$B$271,'[2]GDP 2015 Constant'!$BM$6:$BM$271)</f>
        <v>51307185984</v>
      </c>
      <c r="K14" s="193">
        <f t="shared" si="0"/>
        <v>5083.3816402280327</v>
      </c>
      <c r="L14" s="194">
        <f>_xlfn.XLOOKUP(D14,'[5]Tourism Receipts'!$B$6:$B$271,'[5]Tourism Receipts'!$BK$6:$BK$271)</f>
        <v>2830000000</v>
      </c>
      <c r="M14" s="195">
        <f t="shared" si="1"/>
        <v>5.5157965608999243E-2</v>
      </c>
      <c r="N14">
        <v>5.6952581438454999</v>
      </c>
      <c r="O14" s="188">
        <v>4400904</v>
      </c>
      <c r="P14" s="188">
        <v>122.09</v>
      </c>
      <c r="Q14">
        <v>37.580282674923801</v>
      </c>
      <c r="R14">
        <v>49.050627501642303</v>
      </c>
      <c r="S14">
        <v>2202.3939182884601</v>
      </c>
      <c r="T14">
        <v>122.124736829369</v>
      </c>
    </row>
    <row r="15" spans="1:20" x14ac:dyDescent="0.2">
      <c r="A15" s="161" t="s">
        <v>150</v>
      </c>
      <c r="B15" s="161">
        <v>44</v>
      </c>
      <c r="C15" s="161" t="s">
        <v>711</v>
      </c>
      <c r="D15" t="str">
        <f>_xlfn.XLOOKUP(B15,'Country Code M49'!$B$2:$B$250,'Country Code M49'!$C$2:$C$250,,0)</f>
        <v>BHS</v>
      </c>
      <c r="E15" s="27">
        <f>_xlfn.XLOOKUP(B15,'[3]Food Service Estimates'!$B$3:$B$237,'[3]Food Service Estimates'!$D$3:$D$237)</f>
        <v>25.5704180040103</v>
      </c>
      <c r="F15" s="162">
        <v>9959.6778125620112</v>
      </c>
      <c r="G15" s="160" t="s">
        <v>877</v>
      </c>
      <c r="H15" s="188">
        <f>_xlfn.XLOOKUP(D15,'[1]World Population'!$C$2:$C$267,'[1]World Population'!$BN$2:$BN$267)</f>
        <v>393248</v>
      </c>
      <c r="I15" s="188">
        <v>99.400001525878906</v>
      </c>
      <c r="J15" s="194">
        <f>_xlfn.XLOOKUP(D15,'[2]GDP 2015 Constant'!$B$6:$B$271,'[2]GDP 2015 Constant'!$BM$6:$BM$271)</f>
        <v>9579129439</v>
      </c>
      <c r="K15" s="193">
        <f t="shared" si="0"/>
        <v>24359.003577894866</v>
      </c>
      <c r="L15" s="194">
        <f>_xlfn.XLOOKUP(D15,'[5]Tourism Receipts'!$B$6:$B$271,'[5]Tourism Receipts'!$BK$6:$BK$271)</f>
        <v>3756000000</v>
      </c>
      <c r="M15" s="195">
        <f t="shared" si="1"/>
        <v>0.39210243727451943</v>
      </c>
      <c r="N15">
        <v>0.53968831483839697</v>
      </c>
      <c r="O15" s="188">
        <v>65889</v>
      </c>
      <c r="P15" s="188">
        <v>100.62</v>
      </c>
      <c r="Q15">
        <v>39.806205804418397</v>
      </c>
      <c r="R15">
        <v>35.688405797101403</v>
      </c>
      <c r="S15">
        <v>0</v>
      </c>
      <c r="T15">
        <v>39.285514485514497</v>
      </c>
    </row>
    <row r="16" spans="1:20" x14ac:dyDescent="0.2">
      <c r="A16" s="161" t="s">
        <v>148</v>
      </c>
      <c r="B16" s="161">
        <v>48</v>
      </c>
      <c r="C16" s="161" t="s">
        <v>93</v>
      </c>
      <c r="D16" t="str">
        <f>_xlfn.XLOOKUP(B16,'Country Code M49'!$B$2:$B$250,'Country Code M49'!$C$2:$C$250,,0)</f>
        <v>BHR</v>
      </c>
      <c r="E16" s="27">
        <f>_xlfn.XLOOKUP(B16,'[3]Food Service Estimates'!$B$3:$B$237,'[3]Food Service Estimates'!$D$3:$D$237)</f>
        <v>25.5704180040103</v>
      </c>
      <c r="F16" s="162">
        <v>41966.170028181703</v>
      </c>
      <c r="G16" s="160" t="s">
        <v>877</v>
      </c>
      <c r="H16" s="188">
        <f>_xlfn.XLOOKUP(D16,'[1]World Population'!$C$2:$C$267,'[1]World Population'!$BN$2:$BN$267)</f>
        <v>1701583</v>
      </c>
      <c r="I16" s="188">
        <v>51.093982696533203</v>
      </c>
      <c r="J16" s="194">
        <f>_xlfn.XLOOKUP(D16,'[2]GDP 2015 Constant'!$B$6:$B$271,'[2]GDP 2015 Constant'!$BM$6:$BM$271)</f>
        <v>33258424204</v>
      </c>
      <c r="K16" s="193">
        <f t="shared" si="0"/>
        <v>19545.578560669681</v>
      </c>
      <c r="L16" s="194">
        <f>_xlfn.XLOOKUP(D16,'[5]Tourism Receipts'!$B$6:$B$271,'[5]Tourism Receipts'!$BK$6:$BK$271)</f>
        <v>3834000000</v>
      </c>
      <c r="M16" s="195">
        <f t="shared" si="1"/>
        <v>0.11527906362860342</v>
      </c>
      <c r="N16">
        <v>0.28121226773105501</v>
      </c>
      <c r="O16" s="188">
        <v>178564</v>
      </c>
      <c r="P16" s="188">
        <v>131.22</v>
      </c>
      <c r="Q16">
        <v>71.553532635117193</v>
      </c>
      <c r="R16">
        <v>76.485960757710998</v>
      </c>
      <c r="S16">
        <v>19596.983098977398</v>
      </c>
      <c r="T16">
        <v>2167.6216560509602</v>
      </c>
    </row>
    <row r="17" spans="1:20" x14ac:dyDescent="0.2">
      <c r="A17" s="161" t="s">
        <v>149</v>
      </c>
      <c r="B17" s="161">
        <v>50</v>
      </c>
      <c r="C17" s="161" t="s">
        <v>94</v>
      </c>
      <c r="D17" t="str">
        <f>_xlfn.XLOOKUP(B17,'Country Code M49'!$B$2:$B$250,'Country Code M49'!$C$2:$C$250,,0)</f>
        <v>BGD</v>
      </c>
      <c r="E17" s="27">
        <f>_xlfn.XLOOKUP(B17,'[3]Food Service Estimates'!$B$3:$B$237,'[3]Food Service Estimates'!$D$3:$D$237)</f>
        <v>3.3391539473684211</v>
      </c>
      <c r="F17" s="162">
        <v>544436.36233342113</v>
      </c>
      <c r="G17" s="160" t="s">
        <v>881</v>
      </c>
      <c r="H17" s="188">
        <f>_xlfn.XLOOKUP(D17,'[1]World Population'!$C$2:$C$267,'[1]World Population'!$BN$2:$BN$267)</f>
        <v>164689383</v>
      </c>
      <c r="I17" s="188">
        <v>96.842384338378906</v>
      </c>
      <c r="J17" s="194">
        <f>_xlfn.XLOOKUP(D17,'[2]GDP 2015 Constant'!$B$6:$B$271,'[2]GDP 2015 Constant'!$BM$6:$BM$271)</f>
        <v>266760000000</v>
      </c>
      <c r="K17" s="193">
        <f t="shared" si="0"/>
        <v>1619.7765462513148</v>
      </c>
      <c r="L17" s="194">
        <f>_xlfn.XLOOKUP(D17,'[5]Tourism Receipts'!$B$6:$B$271,'[5]Tourism Receipts'!$BK$6:$BK$271)</f>
        <v>357000000</v>
      </c>
      <c r="M17" s="195">
        <f t="shared" si="1"/>
        <v>1.3382816014394963E-3</v>
      </c>
      <c r="N17">
        <v>11.9753231358984</v>
      </c>
      <c r="O17" s="188">
        <v>101815917</v>
      </c>
      <c r="P17" s="188">
        <v>112.19</v>
      </c>
      <c r="Q17">
        <v>19.839843779749199</v>
      </c>
      <c r="R17">
        <v>13.0947573353039</v>
      </c>
      <c r="S17">
        <v>320.20992330409899</v>
      </c>
      <c r="T17">
        <v>1265.18693247292</v>
      </c>
    </row>
    <row r="18" spans="1:20" x14ac:dyDescent="0.2">
      <c r="A18" s="161" t="s">
        <v>150</v>
      </c>
      <c r="B18" s="161">
        <v>52</v>
      </c>
      <c r="C18" s="161" t="s">
        <v>712</v>
      </c>
      <c r="D18" t="str">
        <f>_xlfn.XLOOKUP(B18,'Country Code M49'!$B$2:$B$250,'Country Code M49'!$C$2:$C$250,,0)</f>
        <v>BRB</v>
      </c>
      <c r="E18" s="27">
        <f>_xlfn.XLOOKUP(B18,'[3]Food Service Estimates'!$B$3:$B$237,'[3]Food Service Estimates'!$D$3:$D$237)</f>
        <v>25.5704180040103</v>
      </c>
      <c r="F18" s="162">
        <v>7338.7099671509568</v>
      </c>
      <c r="G18" s="160" t="s">
        <v>877</v>
      </c>
      <c r="H18" s="188">
        <f>_xlfn.XLOOKUP(D18,'[1]World Population'!$C$2:$C$267,'[1]World Population'!$BN$2:$BN$267)</f>
        <v>287371</v>
      </c>
      <c r="I18" s="188">
        <v>100</v>
      </c>
      <c r="J18" s="194">
        <f>_xlfn.XLOOKUP(D18,'[2]GDP 2015 Constant'!$B$6:$B$271,'[2]GDP 2015 Constant'!$BM$6:$BM$271)</f>
        <v>4117793616</v>
      </c>
      <c r="K18" s="193">
        <f t="shared" si="0"/>
        <v>14329.18984866253</v>
      </c>
      <c r="L18" s="194">
        <f>_xlfn.XLOOKUP(D18,'[5]Tourism Receipts'!$B$6:$B$271,'[5]Tourism Receipts'!$BK$6:$BK$271)</f>
        <v>0</v>
      </c>
      <c r="M18" s="195">
        <f t="shared" si="1"/>
        <v>0</v>
      </c>
      <c r="N18">
        <v>1.3052955252256799</v>
      </c>
      <c r="O18" s="188">
        <v>197737</v>
      </c>
      <c r="P18" s="188">
        <v>101.28</v>
      </c>
      <c r="Q18">
        <v>39.938922654957899</v>
      </c>
      <c r="R18">
        <v>36.620169203368</v>
      </c>
      <c r="S18">
        <v>0</v>
      </c>
      <c r="T18">
        <v>668.30465116279095</v>
      </c>
    </row>
    <row r="19" spans="1:20" x14ac:dyDescent="0.2">
      <c r="A19" s="161" t="s">
        <v>156</v>
      </c>
      <c r="B19" s="161">
        <v>112</v>
      </c>
      <c r="C19" s="161" t="s">
        <v>700</v>
      </c>
      <c r="D19" t="str">
        <f>_xlfn.XLOOKUP(B19,'Country Code M49'!$B$2:$B$250,'Country Code M49'!$C$2:$C$250,,0)</f>
        <v>BLR</v>
      </c>
      <c r="E19" s="27">
        <f>_xlfn.XLOOKUP(B19,'[3]Food Service Estimates'!$B$3:$B$237,'[3]Food Service Estimates'!$D$3:$D$237)</f>
        <v>27.648074566430626</v>
      </c>
      <c r="F19" s="162">
        <v>261340.66003172885</v>
      </c>
      <c r="G19" s="160" t="s">
        <v>872</v>
      </c>
      <c r="H19" s="188">
        <f>_xlfn.XLOOKUP(D19,'[1]World Population'!$C$2:$C$267,'[1]World Population'!$BN$2:$BN$267)</f>
        <v>9379952</v>
      </c>
      <c r="I19" s="188">
        <v>100</v>
      </c>
      <c r="J19" s="194">
        <f>_xlfn.XLOOKUP(D19,'[2]GDP 2015 Constant'!$B$6:$B$271,'[2]GDP 2015 Constant'!$BM$6:$BM$271)</f>
        <v>58482352925</v>
      </c>
      <c r="K19" s="193">
        <f t="shared" si="0"/>
        <v>6234.8243279922972</v>
      </c>
      <c r="L19" s="194">
        <f>_xlfn.XLOOKUP(D19,'[5]Tourism Receipts'!$B$6:$B$271,'[5]Tourism Receipts'!$BK$6:$BK$271)</f>
        <v>1221000000</v>
      </c>
      <c r="M19" s="195">
        <f t="shared" si="1"/>
        <v>2.0878092944821441E-2</v>
      </c>
      <c r="N19">
        <v>6.7946688279927399</v>
      </c>
      <c r="O19" s="188">
        <v>1924485</v>
      </c>
      <c r="P19" s="188">
        <v>106.21</v>
      </c>
      <c r="Q19">
        <v>68.938690987633194</v>
      </c>
      <c r="R19">
        <v>65.0945839929757</v>
      </c>
      <c r="S19">
        <v>3690.1036829597001</v>
      </c>
      <c r="T19">
        <v>46.211212927382</v>
      </c>
    </row>
    <row r="20" spans="1:20" x14ac:dyDescent="0.2">
      <c r="A20" s="161" t="s">
        <v>147</v>
      </c>
      <c r="B20" s="161">
        <v>56</v>
      </c>
      <c r="C20" s="161" t="s">
        <v>95</v>
      </c>
      <c r="D20" t="str">
        <f>_xlfn.XLOOKUP(B20,'Country Code M49'!$B$2:$B$250,'Country Code M49'!$C$2:$C$250,,0)</f>
        <v>BEL</v>
      </c>
      <c r="E20" s="27">
        <f>_xlfn.XLOOKUP(B20,'[3]Food Service Estimates'!$B$3:$B$237,'[3]Food Service Estimates'!$D$3:$D$237)</f>
        <v>19.704067307692309</v>
      </c>
      <c r="F20" s="162">
        <v>227371.14388365386</v>
      </c>
      <c r="G20" s="160" t="s">
        <v>881</v>
      </c>
      <c r="H20" s="188">
        <f>_xlfn.XLOOKUP(D20,'[1]World Population'!$C$2:$C$267,'[1]World Population'!$BN$2:$BN$267)</f>
        <v>11544241</v>
      </c>
      <c r="I20" s="188">
        <v>19.100000381469702</v>
      </c>
      <c r="J20" s="194">
        <f>_xlfn.XLOOKUP(D20,'[2]GDP 2015 Constant'!$B$6:$B$271,'[2]GDP 2015 Constant'!$BM$6:$BM$271)</f>
        <v>466672000000</v>
      </c>
      <c r="K20" s="193">
        <f t="shared" si="0"/>
        <v>40424.658494222356</v>
      </c>
      <c r="L20" s="194">
        <f>_xlfn.XLOOKUP(D20,'[5]Tourism Receipts'!$B$6:$B$271,'[5]Tourism Receipts'!$BK$6:$BK$271)</f>
        <v>10319000000</v>
      </c>
      <c r="M20" s="195">
        <f t="shared" si="1"/>
        <v>2.2111890149826858E-2</v>
      </c>
      <c r="N20">
        <v>0.66575512782419</v>
      </c>
      <c r="O20" s="188">
        <v>221765</v>
      </c>
      <c r="P20" s="188">
        <v>101.49</v>
      </c>
      <c r="Q20">
        <v>83.266031532409698</v>
      </c>
      <c r="R20">
        <v>82.174139326600198</v>
      </c>
      <c r="S20">
        <v>7709.1230778824702</v>
      </c>
      <c r="T20">
        <v>381.24970277410802</v>
      </c>
    </row>
    <row r="21" spans="1:20" x14ac:dyDescent="0.2">
      <c r="A21" s="161" t="s">
        <v>150</v>
      </c>
      <c r="B21" s="161">
        <v>84</v>
      </c>
      <c r="C21" s="161" t="s">
        <v>96</v>
      </c>
      <c r="D21" t="str">
        <f>_xlfn.XLOOKUP(B21,'Country Code M49'!$B$2:$B$250,'Country Code M49'!$C$2:$C$250,,0)</f>
        <v>BLZ</v>
      </c>
      <c r="E21" s="27">
        <f>_xlfn.XLOOKUP(B21,'[3]Food Service Estimates'!$B$3:$B$237,'[3]Food Service Estimates'!$D$3:$D$237)</f>
        <v>27.648074566430626</v>
      </c>
      <c r="F21" s="162">
        <v>10793.808310734516</v>
      </c>
      <c r="G21" s="160" t="s">
        <v>872</v>
      </c>
      <c r="H21" s="188">
        <f>_xlfn.XLOOKUP(D21,'[1]World Population'!$C$2:$C$267,'[1]World Population'!$BN$2:$BN$267)</f>
        <v>397621</v>
      </c>
      <c r="I21" s="188">
        <v>100</v>
      </c>
      <c r="J21" s="194">
        <f>_xlfn.XLOOKUP(D21,'[2]GDP 2015 Constant'!$B$6:$B$271,'[2]GDP 2015 Constant'!$BM$6:$BM$271)</f>
        <v>1531516106</v>
      </c>
      <c r="K21" s="193">
        <f t="shared" si="0"/>
        <v>3851.6982402840895</v>
      </c>
      <c r="L21" s="194">
        <f>_xlfn.XLOOKUP(D21,'[5]Tourism Receipts'!$B$6:$B$271,'[5]Tourism Receipts'!$BK$6:$BK$271)</f>
        <v>0</v>
      </c>
      <c r="M21" s="195">
        <f t="shared" si="1"/>
        <v>0</v>
      </c>
      <c r="N21">
        <v>8.9393380568209402</v>
      </c>
      <c r="O21" s="188">
        <v>214616</v>
      </c>
      <c r="P21" s="188">
        <v>94.93</v>
      </c>
      <c r="Q21">
        <v>57.508344491399498</v>
      </c>
      <c r="R21">
        <v>59.650423312062799</v>
      </c>
      <c r="S21">
        <v>0</v>
      </c>
      <c r="T21">
        <v>17.4318719859711</v>
      </c>
    </row>
    <row r="22" spans="1:20" x14ac:dyDescent="0.2">
      <c r="A22" s="161" t="s">
        <v>154</v>
      </c>
      <c r="B22" s="161">
        <v>204</v>
      </c>
      <c r="C22" s="161" t="s">
        <v>813</v>
      </c>
      <c r="D22" t="str">
        <f>_xlfn.XLOOKUP(B22,'Country Code M49'!$B$2:$B$250,'Country Code M49'!$C$2:$C$250,,0)</f>
        <v>BEN</v>
      </c>
      <c r="E22" s="27">
        <f>_xlfn.XLOOKUP(B22,'[3]Food Service Estimates'!$B$3:$B$237,'[3]Food Service Estimates'!$D$3:$D$237)</f>
        <v>27.648074566430626</v>
      </c>
      <c r="F22" s="162">
        <v>326280.45757336111</v>
      </c>
      <c r="G22" s="160" t="s">
        <v>872</v>
      </c>
      <c r="H22" s="188">
        <f>_xlfn.XLOOKUP(D22,'[1]World Population'!$C$2:$C$267,'[1]World Population'!$BN$2:$BN$267)</f>
        <v>12123198</v>
      </c>
      <c r="I22" s="188">
        <v>100</v>
      </c>
      <c r="J22" s="194">
        <f>_xlfn.XLOOKUP(D22,'[2]GDP 2015 Constant'!$B$6:$B$271,'[2]GDP 2015 Constant'!$BM$6:$BM$271)</f>
        <v>14725558673</v>
      </c>
      <c r="K22" s="193">
        <f t="shared" si="0"/>
        <v>1214.6595867691017</v>
      </c>
      <c r="L22" s="194">
        <f>_xlfn.XLOOKUP(D22,'[5]Tourism Receipts'!$B$6:$B$271,'[5]Tourism Receipts'!$BK$6:$BK$271)</f>
        <v>175000000</v>
      </c>
      <c r="M22" s="195">
        <f t="shared" si="1"/>
        <v>1.1884099196920159E-2</v>
      </c>
      <c r="N22">
        <v>26.875801625833699</v>
      </c>
      <c r="O22" s="188">
        <v>6253752</v>
      </c>
      <c r="P22" s="188">
        <v>115.73</v>
      </c>
      <c r="Q22">
        <v>34.520963871436301</v>
      </c>
      <c r="R22">
        <v>29.630527193547799</v>
      </c>
      <c r="S22">
        <v>100.22515176916799</v>
      </c>
      <c r="T22">
        <v>107.51328485278501</v>
      </c>
    </row>
    <row r="23" spans="1:20" x14ac:dyDescent="0.2">
      <c r="A23" s="161" t="s">
        <v>151</v>
      </c>
      <c r="B23" s="161">
        <v>60</v>
      </c>
      <c r="C23" s="161" t="s">
        <v>771</v>
      </c>
      <c r="D23" t="str">
        <f>_xlfn.XLOOKUP(B23,'Country Code M49'!$B$2:$B$250,'Country Code M49'!$C$2:$C$250,,0)</f>
        <v>BMU</v>
      </c>
      <c r="E23" s="27">
        <f>_xlfn.XLOOKUP(B23,'[3]Food Service Estimates'!$B$3:$B$237,'[3]Food Service Estimates'!$D$3:$D$237)</f>
        <v>25.5704180040103</v>
      </c>
      <c r="F23" s="162">
        <v>1598.1511252506439</v>
      </c>
      <c r="G23" s="160" t="s">
        <v>877</v>
      </c>
      <c r="H23" s="188">
        <f>_xlfn.XLOOKUP(D23,'[1]World Population'!$C$2:$C$267,'[1]World Population'!$BN$2:$BN$267)</f>
        <v>63893</v>
      </c>
      <c r="I23" s="188">
        <v>100</v>
      </c>
      <c r="J23" s="194">
        <f>_xlfn.XLOOKUP(D23,'[2]GDP 2015 Constant'!$B$6:$B$271,'[2]GDP 2015 Constant'!$BM$6:$BM$271)</f>
        <v>6371962194</v>
      </c>
      <c r="K23" s="193">
        <f t="shared" si="0"/>
        <v>99728.643106443589</v>
      </c>
      <c r="L23" s="194">
        <f>_xlfn.XLOOKUP(D23,'[5]Tourism Receipts'!$B$6:$B$271,'[5]Tourism Receipts'!$BK$6:$BK$271)</f>
        <v>583000000</v>
      </c>
      <c r="M23" s="195">
        <f t="shared" si="1"/>
        <v>9.1494579259896971E-2</v>
      </c>
      <c r="N23">
        <v>0.22096150517312299</v>
      </c>
      <c r="O23" s="188">
        <v>0</v>
      </c>
      <c r="P23" s="188">
        <v>0</v>
      </c>
      <c r="Q23">
        <v>26.0761139981486</v>
      </c>
      <c r="R23">
        <v>50.649272273796697</v>
      </c>
      <c r="S23">
        <v>0</v>
      </c>
      <c r="T23">
        <v>1183.2037037037001</v>
      </c>
    </row>
    <row r="24" spans="1:20" x14ac:dyDescent="0.2">
      <c r="A24" s="161" t="s">
        <v>149</v>
      </c>
      <c r="B24" s="161">
        <v>64</v>
      </c>
      <c r="C24" s="161" t="s">
        <v>798</v>
      </c>
      <c r="D24" t="str">
        <f>_xlfn.XLOOKUP(B24,'Country Code M49'!$B$2:$B$250,'Country Code M49'!$C$2:$C$250,,0)</f>
        <v>BTN</v>
      </c>
      <c r="E24" s="27">
        <f>_xlfn.XLOOKUP(B24,'[3]Food Service Estimates'!$B$3:$B$237,'[3]Food Service Estimates'!$D$3:$D$237)</f>
        <v>27.648074566430626</v>
      </c>
      <c r="F24" s="162">
        <v>21098.245701643209</v>
      </c>
      <c r="G24" s="160" t="s">
        <v>872</v>
      </c>
      <c r="H24" s="188">
        <f>_xlfn.XLOOKUP(D24,'[1]World Population'!$C$2:$C$267,'[1]World Population'!$BN$2:$BN$267)</f>
        <v>771612</v>
      </c>
      <c r="I24" s="188">
        <v>84.385536193847699</v>
      </c>
      <c r="J24" s="194">
        <f>_xlfn.XLOOKUP(D24,'[2]GDP 2015 Constant'!$B$6:$B$271,'[2]GDP 2015 Constant'!$BM$6:$BM$271)</f>
        <v>2221963713</v>
      </c>
      <c r="K24" s="193">
        <f t="shared" si="0"/>
        <v>2879.6386175953717</v>
      </c>
      <c r="L24" s="194">
        <f>_xlfn.XLOOKUP(D24,'[5]Tourism Receipts'!$B$6:$B$271,'[5]Tourism Receipts'!$BK$6:$BK$271)</f>
        <v>121000000</v>
      </c>
      <c r="M24" s="195">
        <f t="shared" si="1"/>
        <v>5.4456334859146277E-2</v>
      </c>
      <c r="N24">
        <v>15.784149136121</v>
      </c>
      <c r="O24" s="188">
        <v>445097</v>
      </c>
      <c r="P24" s="188">
        <v>102.57</v>
      </c>
      <c r="Q24">
        <v>53.369305611803298</v>
      </c>
      <c r="R24">
        <v>33.939063813345697</v>
      </c>
      <c r="S24">
        <v>0</v>
      </c>
      <c r="T24">
        <v>20.231043523859501</v>
      </c>
    </row>
    <row r="25" spans="1:20" x14ac:dyDescent="0.2">
      <c r="A25" s="161" t="s">
        <v>150</v>
      </c>
      <c r="B25" s="161">
        <v>68</v>
      </c>
      <c r="C25" s="161" t="s">
        <v>713</v>
      </c>
      <c r="D25" t="str">
        <f>_xlfn.XLOOKUP(B25,'Country Code M49'!$B$2:$B$250,'Country Code M49'!$C$2:$C$250,,0)</f>
        <v>BOL</v>
      </c>
      <c r="E25" s="27">
        <f>_xlfn.XLOOKUP(B25,'[3]Food Service Estimates'!$B$3:$B$237,'[3]Food Service Estimates'!$D$3:$D$237)</f>
        <v>27.648074566430626</v>
      </c>
      <c r="F25" s="162">
        <v>318315.04729077243</v>
      </c>
      <c r="G25" s="160" t="s">
        <v>872</v>
      </c>
      <c r="H25" s="188">
        <f>_xlfn.XLOOKUP(D25,'[1]World Population'!$C$2:$C$267,'[1]World Population'!$BN$2:$BN$267)</f>
        <v>11673029</v>
      </c>
      <c r="I25" s="188">
        <v>39.900001525878899</v>
      </c>
      <c r="J25" s="194">
        <f>_xlfn.XLOOKUP(D25,'[2]GDP 2015 Constant'!$B$6:$B$271,'[2]GDP 2015 Constant'!$BM$6:$BM$271)</f>
        <v>34855949803</v>
      </c>
      <c r="K25" s="193">
        <f t="shared" si="0"/>
        <v>2986.0244331612644</v>
      </c>
      <c r="L25" s="194">
        <f>_xlfn.XLOOKUP(D25,'[5]Tourism Receipts'!$B$6:$B$271,'[5]Tourism Receipts'!$BK$6:$BK$271)</f>
        <v>948000000</v>
      </c>
      <c r="M25" s="195">
        <f t="shared" si="1"/>
        <v>2.7197652204514221E-2</v>
      </c>
      <c r="N25">
        <v>12.221757582489101</v>
      </c>
      <c r="O25" s="188">
        <v>3487551</v>
      </c>
      <c r="P25" s="188">
        <v>109.63</v>
      </c>
      <c r="Q25">
        <v>31.121169553100799</v>
      </c>
      <c r="R25">
        <v>24.967262284016599</v>
      </c>
      <c r="S25">
        <v>742.53839974288599</v>
      </c>
      <c r="T25">
        <v>10.7754352441614</v>
      </c>
    </row>
    <row r="26" spans="1:20" x14ac:dyDescent="0.2">
      <c r="A26" s="161" t="s">
        <v>155</v>
      </c>
      <c r="B26" s="161">
        <v>70</v>
      </c>
      <c r="C26" s="161" t="s">
        <v>804</v>
      </c>
      <c r="D26" t="str">
        <f>_xlfn.XLOOKUP(B26,'Country Code M49'!$B$2:$B$250,'Country Code M49'!$C$2:$C$250,,0)</f>
        <v>BIH</v>
      </c>
      <c r="E26" s="27">
        <f>_xlfn.XLOOKUP(B26,'[3]Food Service Estimates'!$B$3:$B$237,'[3]Food Service Estimates'!$D$3:$D$237)</f>
        <v>27.648074566430626</v>
      </c>
      <c r="F26" s="162">
        <v>91266.294143787498</v>
      </c>
      <c r="G26" s="160" t="s">
        <v>872</v>
      </c>
      <c r="H26" s="188">
        <f>_xlfn.XLOOKUP(D26,'[1]World Population'!$C$2:$C$267,'[1]World Population'!$BN$2:$BN$267)</f>
        <v>3280815</v>
      </c>
      <c r="I26" s="188">
        <v>70.397193908691406</v>
      </c>
      <c r="J26" s="194">
        <f>_xlfn.XLOOKUP(D26,'[2]GDP 2015 Constant'!$B$6:$B$271,'[2]GDP 2015 Constant'!$BM$6:$BM$271)</f>
        <v>17839465168</v>
      </c>
      <c r="K26" s="193">
        <f t="shared" si="0"/>
        <v>5437.510243034124</v>
      </c>
      <c r="L26" s="194">
        <f>_xlfn.XLOOKUP(D26,'[5]Tourism Receipts'!$B$6:$B$271,'[5]Tourism Receipts'!$BK$6:$BK$271)</f>
        <v>1147000000</v>
      </c>
      <c r="M26" s="195">
        <f t="shared" si="1"/>
        <v>6.4295649516301692E-2</v>
      </c>
      <c r="N26">
        <v>5.60309221594256</v>
      </c>
      <c r="O26" s="188">
        <v>1672559</v>
      </c>
      <c r="P26" s="188">
        <v>114.83</v>
      </c>
      <c r="Q26">
        <v>57.287542199684601</v>
      </c>
      <c r="R26">
        <v>40.570120121172202</v>
      </c>
      <c r="S26">
        <v>3446.7646878067499</v>
      </c>
      <c r="T26">
        <v>64.078417968750003</v>
      </c>
    </row>
    <row r="27" spans="1:20" x14ac:dyDescent="0.2">
      <c r="A27" s="161" t="s">
        <v>154</v>
      </c>
      <c r="B27" s="161">
        <v>72</v>
      </c>
      <c r="C27" s="161" t="s">
        <v>814</v>
      </c>
      <c r="D27" t="str">
        <f>_xlfn.XLOOKUP(B27,'Country Code M49'!$B$2:$B$250,'Country Code M49'!$C$2:$C$250,,0)</f>
        <v>BWA</v>
      </c>
      <c r="E27" s="27">
        <f>_xlfn.XLOOKUP(B27,'[3]Food Service Estimates'!$B$3:$B$237,'[3]Food Service Estimates'!$D$3:$D$237)</f>
        <v>27.648074566430626</v>
      </c>
      <c r="F27" s="162">
        <v>63692.869378686235</v>
      </c>
      <c r="G27" s="160" t="s">
        <v>872</v>
      </c>
      <c r="H27" s="188">
        <f>_xlfn.XLOOKUP(D27,'[1]World Population'!$C$2:$C$267,'[1]World Population'!$BN$2:$BN$267)</f>
        <v>2351625</v>
      </c>
      <c r="I27" s="188">
        <v>100</v>
      </c>
      <c r="J27" s="194">
        <f>_xlfn.XLOOKUP(D27,'[2]GDP 2015 Constant'!$B$6:$B$271,'[2]GDP 2015 Constant'!$BM$6:$BM$271)</f>
        <v>14826671812</v>
      </c>
      <c r="K27" s="193">
        <f t="shared" si="0"/>
        <v>6304.8623024504332</v>
      </c>
      <c r="L27" s="194">
        <f>_xlfn.XLOOKUP(D27,'[5]Tourism Receipts'!$B$6:$B$271,'[5]Tourism Receipts'!$BK$6:$BK$271)</f>
        <v>584200012.20000005</v>
      </c>
      <c r="M27" s="195">
        <f t="shared" si="1"/>
        <v>3.9401965566350262E-2</v>
      </c>
      <c r="N27">
        <v>2.0886547867047298</v>
      </c>
      <c r="O27" s="188">
        <v>684864</v>
      </c>
      <c r="P27" s="188">
        <v>102.44</v>
      </c>
      <c r="Q27">
        <v>43.527644930917397</v>
      </c>
      <c r="R27">
        <v>37.154310871440401</v>
      </c>
      <c r="S27">
        <v>1815.5537223399799</v>
      </c>
      <c r="T27">
        <v>4.1494627071092101</v>
      </c>
    </row>
    <row r="28" spans="1:20" x14ac:dyDescent="0.2">
      <c r="A28" s="161" t="s">
        <v>150</v>
      </c>
      <c r="B28" s="161">
        <v>76</v>
      </c>
      <c r="C28" s="161" t="s">
        <v>97</v>
      </c>
      <c r="D28" t="str">
        <f>_xlfn.XLOOKUP(B28,'Country Code M49'!$B$2:$B$250,'Country Code M49'!$C$2:$C$250,,0)</f>
        <v>BRA</v>
      </c>
      <c r="E28" s="27">
        <f>_xlfn.XLOOKUP(B28,'[3]Food Service Estimates'!$B$3:$B$237,'[3]Food Service Estimates'!$D$3:$D$237)</f>
        <v>27.648074566430626</v>
      </c>
      <c r="F28" s="162">
        <v>5835112.3132079002</v>
      </c>
      <c r="G28" s="160" t="s">
        <v>872</v>
      </c>
      <c r="H28" s="188">
        <f>_xlfn.XLOOKUP(D28,'[1]World Population'!$C$2:$C$267,'[1]World Population'!$BN$2:$BN$267)</f>
        <v>212559409</v>
      </c>
      <c r="I28" s="188">
        <v>100</v>
      </c>
      <c r="J28" s="194">
        <f>_xlfn.XLOOKUP(D28,'[2]GDP 2015 Constant'!$B$6:$B$271,'[2]GDP 2015 Constant'!$BM$6:$BM$271)</f>
        <v>1749100000000</v>
      </c>
      <c r="K28" s="193">
        <f t="shared" si="0"/>
        <v>8228.7582950515261</v>
      </c>
      <c r="L28" s="194">
        <f>_xlfn.XLOOKUP(D28,'[5]Tourism Receipts'!$B$6:$B$271,'[5]Tourism Receipts'!$BK$6:$BK$271)</f>
        <v>6324000000</v>
      </c>
      <c r="M28" s="195">
        <f t="shared" si="1"/>
        <v>3.6155737236292949E-3</v>
      </c>
      <c r="N28">
        <v>4.2050140951174599</v>
      </c>
      <c r="O28" s="188">
        <v>27477555</v>
      </c>
      <c r="P28" s="188">
        <v>111.85</v>
      </c>
      <c r="Q28">
        <v>14.241203878622001</v>
      </c>
      <c r="R28">
        <v>14.122919190471</v>
      </c>
      <c r="S28">
        <v>2619.9604994470801</v>
      </c>
      <c r="T28">
        <v>25.431424814611901</v>
      </c>
    </row>
    <row r="29" spans="1:20" x14ac:dyDescent="0.2">
      <c r="A29" s="161" t="s">
        <v>150</v>
      </c>
      <c r="B29" s="161">
        <v>92</v>
      </c>
      <c r="C29" s="161" t="s">
        <v>714</v>
      </c>
      <c r="D29" t="str">
        <f>_xlfn.XLOOKUP(B29,'Country Code M49'!$B$2:$B$250,'Country Code M49'!$C$2:$C$250,,0)</f>
        <v>VGB</v>
      </c>
      <c r="E29" s="27">
        <f>_xlfn.XLOOKUP(B29,'[3]Food Service Estimates'!$B$3:$B$237,'[3]Food Service Estimates'!$D$3:$D$237)</f>
        <v>25.5704180040103</v>
      </c>
      <c r="F29" s="162">
        <v>767.11254012030895</v>
      </c>
      <c r="G29" s="160" t="s">
        <v>877</v>
      </c>
      <c r="H29" s="188">
        <f>_xlfn.XLOOKUP(D29,'[1]World Population'!$C$2:$C$267,'[1]World Population'!$BN$2:$BN$267)</f>
        <v>30237</v>
      </c>
      <c r="I29" s="188">
        <v>42.074417114257798</v>
      </c>
      <c r="J29" s="194" t="e">
        <f>_xlfn.XLOOKUP(D29,'[2]GDP 2015 Constant'!$B$6:$B$271,'[2]GDP 2015 Constant'!$BM$6:$BM$271)</f>
        <v>#REF!</v>
      </c>
      <c r="K29" s="193" t="e">
        <f t="shared" si="0"/>
        <v>#REF!</v>
      </c>
      <c r="L29" s="194">
        <f>_xlfn.XLOOKUP(D29,'[5]Tourism Receipts'!$B$6:$B$271,'[5]Tourism Receipts'!$BK$6:$BK$271)</f>
        <v>0</v>
      </c>
      <c r="M29" s="195" t="e">
        <f t="shared" si="1"/>
        <v>#REF!</v>
      </c>
      <c r="N29">
        <v>0</v>
      </c>
      <c r="O29" s="188">
        <v>15568</v>
      </c>
      <c r="P29" s="188">
        <v>0</v>
      </c>
      <c r="Q29">
        <v>0</v>
      </c>
      <c r="R29">
        <v>0</v>
      </c>
      <c r="S29">
        <v>0</v>
      </c>
      <c r="T29">
        <v>201.58</v>
      </c>
    </row>
    <row r="30" spans="1:20" x14ac:dyDescent="0.2">
      <c r="A30" s="161" t="s">
        <v>157</v>
      </c>
      <c r="B30" s="161">
        <v>96</v>
      </c>
      <c r="C30" s="161" t="s">
        <v>789</v>
      </c>
      <c r="D30" t="str">
        <f>_xlfn.XLOOKUP(B30,'Country Code M49'!$B$2:$B$250,'Country Code M49'!$C$2:$C$250,,0)</f>
        <v>BRN</v>
      </c>
      <c r="E30" s="27">
        <f>_xlfn.XLOOKUP(B30,'[3]Food Service Estimates'!$B$3:$B$237,'[3]Food Service Estimates'!$D$3:$D$237)</f>
        <v>25.5704180040103</v>
      </c>
      <c r="F30" s="162">
        <v>11079.662121137664</v>
      </c>
      <c r="G30" s="160" t="s">
        <v>877</v>
      </c>
      <c r="H30" s="188">
        <f>_xlfn.XLOOKUP(D30,'[1]World Population'!$C$2:$C$267,'[1]World Population'!$BN$2:$BN$267)</f>
        <v>437483</v>
      </c>
      <c r="I30" s="188">
        <v>100</v>
      </c>
      <c r="J30" s="194">
        <f>_xlfn.XLOOKUP(D30,'[2]GDP 2015 Constant'!$B$6:$B$271,'[2]GDP 2015 Constant'!$BM$6:$BM$271)</f>
        <v>13429361906</v>
      </c>
      <c r="K30" s="193">
        <f t="shared" si="0"/>
        <v>30696.877149512096</v>
      </c>
      <c r="L30" s="194">
        <f>_xlfn.XLOOKUP(D30,'[5]Tourism Receipts'!$B$6:$B$271,'[5]Tourism Receipts'!$BK$6:$BK$271)</f>
        <v>190000000</v>
      </c>
      <c r="M30" s="195">
        <f t="shared" si="1"/>
        <v>1.414810333729344E-2</v>
      </c>
      <c r="N30">
        <v>0.98605513011851498</v>
      </c>
      <c r="O30" s="188">
        <v>95153</v>
      </c>
      <c r="P30" s="188">
        <v>105.88</v>
      </c>
      <c r="Q30">
        <v>41.964043494891001</v>
      </c>
      <c r="R30">
        <v>57.946040538108001</v>
      </c>
      <c r="S30">
        <v>10290.9380200987</v>
      </c>
      <c r="T30">
        <v>83.013851992409897</v>
      </c>
    </row>
    <row r="31" spans="1:20" x14ac:dyDescent="0.2">
      <c r="A31" s="161" t="s">
        <v>156</v>
      </c>
      <c r="B31" s="161">
        <v>100</v>
      </c>
      <c r="C31" s="161" t="s">
        <v>701</v>
      </c>
      <c r="D31" t="str">
        <f>_xlfn.XLOOKUP(B31,'Country Code M49'!$B$2:$B$250,'Country Code M49'!$C$2:$C$250,,0)</f>
        <v>BGR</v>
      </c>
      <c r="E31" s="27">
        <f>_xlfn.XLOOKUP(B31,'[3]Food Service Estimates'!$B$3:$B$237,'[3]Food Service Estimates'!$D$3:$D$237)</f>
        <v>27.648074566430626</v>
      </c>
      <c r="F31" s="162">
        <v>193539.28677247104</v>
      </c>
      <c r="G31" s="160" t="s">
        <v>872</v>
      </c>
      <c r="H31" s="188">
        <f>_xlfn.XLOOKUP(D31,'[1]World Population'!$C$2:$C$267,'[1]World Population'!$BN$2:$BN$267)</f>
        <v>6934015</v>
      </c>
      <c r="I31" s="188">
        <v>99.804130554199205</v>
      </c>
      <c r="J31" s="194">
        <f>_xlfn.XLOOKUP(D31,'[2]GDP 2015 Constant'!$B$6:$B$271,'[2]GDP 2015 Constant'!$BM$6:$BM$271)</f>
        <v>54923717978</v>
      </c>
      <c r="K31" s="193">
        <f t="shared" si="0"/>
        <v>7920.9113303043041</v>
      </c>
      <c r="L31" s="194">
        <f>_xlfn.XLOOKUP(D31,'[5]Tourism Receipts'!$B$6:$B$271,'[5]Tourism Receipts'!$BK$6:$BK$271)</f>
        <v>5061000000</v>
      </c>
      <c r="M31" s="195">
        <f t="shared" si="1"/>
        <v>9.2145983307743512E-2</v>
      </c>
      <c r="N31">
        <v>3.2413816852813602</v>
      </c>
      <c r="O31" s="188">
        <v>1685936</v>
      </c>
      <c r="P31" s="188">
        <v>90.3</v>
      </c>
      <c r="Q31">
        <v>63.155915001457203</v>
      </c>
      <c r="R31">
        <v>63.934343346753103</v>
      </c>
      <c r="S31">
        <v>4708.9274575723102</v>
      </c>
      <c r="T31">
        <v>63.8726510685335</v>
      </c>
    </row>
    <row r="32" spans="1:20" x14ac:dyDescent="0.2">
      <c r="A32" s="161" t="s">
        <v>154</v>
      </c>
      <c r="B32" s="161">
        <v>854</v>
      </c>
      <c r="C32" s="161" t="s">
        <v>815</v>
      </c>
      <c r="D32" t="str">
        <f>_xlfn.XLOOKUP(B32,'Country Code M49'!$B$2:$B$250,'Country Code M49'!$C$2:$C$250,,0)</f>
        <v>BFA</v>
      </c>
      <c r="E32" s="27">
        <f>_xlfn.XLOOKUP(B32,'[3]Food Service Estimates'!$B$3:$B$237,'[3]Food Service Estimates'!$D$3:$D$237)</f>
        <v>27.648074566430626</v>
      </c>
      <c r="F32" s="162">
        <v>561847.5824942633</v>
      </c>
      <c r="G32" s="160" t="s">
        <v>872</v>
      </c>
      <c r="H32" s="188">
        <f>_xlfn.XLOOKUP(D32,'[1]World Population'!$C$2:$C$267,'[1]World Population'!$BN$2:$BN$267)</f>
        <v>20903278</v>
      </c>
      <c r="I32" s="188">
        <v>55.389701843261697</v>
      </c>
      <c r="J32" s="194">
        <f>_xlfn.XLOOKUP(D32,'[2]GDP 2015 Constant'!$B$6:$B$271,'[2]GDP 2015 Constant'!$BM$6:$BM$271)</f>
        <v>15291209207</v>
      </c>
      <c r="K32" s="193">
        <f t="shared" si="0"/>
        <v>731.52207070106419</v>
      </c>
      <c r="L32" s="194">
        <f>_xlfn.XLOOKUP(D32,'[5]Tourism Receipts'!$B$6:$B$271,'[5]Tourism Receipts'!$BK$6:$BK$271)</f>
        <v>179000000</v>
      </c>
      <c r="M32" s="195">
        <f t="shared" si="1"/>
        <v>1.1706072265237042E-2</v>
      </c>
      <c r="N32">
        <v>18.376102905702599</v>
      </c>
      <c r="O32" s="188">
        <v>14505412</v>
      </c>
      <c r="P32" s="188">
        <v>108.14</v>
      </c>
      <c r="Q32">
        <v>32.516719481726902</v>
      </c>
      <c r="R32">
        <v>27.6161121175574</v>
      </c>
      <c r="S32">
        <v>0</v>
      </c>
      <c r="T32">
        <v>76.400869883040897</v>
      </c>
    </row>
    <row r="33" spans="1:20" x14ac:dyDescent="0.2">
      <c r="A33" s="161" t="s">
        <v>154</v>
      </c>
      <c r="B33" s="161">
        <v>108</v>
      </c>
      <c r="C33" s="161" t="s">
        <v>816</v>
      </c>
      <c r="D33" t="str">
        <f>_xlfn.XLOOKUP(B33,'Country Code M49'!$B$2:$B$250,'Country Code M49'!$C$2:$C$250,,0)</f>
        <v>BDI</v>
      </c>
      <c r="E33" s="27">
        <f>_xlfn.XLOOKUP(B33,'[3]Food Service Estimates'!$B$3:$B$237,'[3]Food Service Estimates'!$D$3:$D$237)</f>
        <v>27.648074566430626</v>
      </c>
      <c r="F33" s="162">
        <v>318798.88859568501</v>
      </c>
      <c r="G33" s="160" t="s">
        <v>872</v>
      </c>
      <c r="H33" s="188">
        <f>_xlfn.XLOOKUP(D33,'[1]World Population'!$C$2:$C$267,'[1]World Population'!$BN$2:$BN$267)</f>
        <v>11890781</v>
      </c>
      <c r="I33" s="188">
        <v>100</v>
      </c>
      <c r="J33" s="194">
        <f>_xlfn.XLOOKUP(D33,'[2]GDP 2015 Constant'!$B$6:$B$271,'[2]GDP 2015 Constant'!$BM$6:$BM$271)</f>
        <v>3218331132</v>
      </c>
      <c r="K33" s="193">
        <f t="shared" si="0"/>
        <v>270.65767437815902</v>
      </c>
      <c r="L33" s="194">
        <f>_xlfn.XLOOKUP(D33,'[5]Tourism Receipts'!$B$6:$B$271,'[5]Tourism Receipts'!$BK$6:$BK$271)</f>
        <v>0</v>
      </c>
      <c r="M33" s="195">
        <f t="shared" si="1"/>
        <v>0</v>
      </c>
      <c r="N33">
        <v>28.8443900468367</v>
      </c>
      <c r="O33" s="188">
        <v>10260793</v>
      </c>
      <c r="P33" s="188">
        <v>143.53</v>
      </c>
      <c r="Q33">
        <v>20.914048150470499</v>
      </c>
      <c r="R33">
        <v>5.1720368384995297</v>
      </c>
      <c r="S33">
        <v>0</v>
      </c>
      <c r="T33">
        <v>463.03664330218101</v>
      </c>
    </row>
    <row r="34" spans="1:20" x14ac:dyDescent="0.2">
      <c r="A34" s="161" t="s">
        <v>154</v>
      </c>
      <c r="B34" s="161">
        <v>132</v>
      </c>
      <c r="C34" s="161" t="s">
        <v>817</v>
      </c>
      <c r="D34" t="str">
        <f>_xlfn.XLOOKUP(B34,'Country Code M49'!$B$2:$B$250,'Country Code M49'!$C$2:$C$250,,0)</f>
        <v>CPV</v>
      </c>
      <c r="E34" s="27">
        <f>_xlfn.XLOOKUP(B34,'[3]Food Service Estimates'!$B$3:$B$237,'[3]Food Service Estimates'!$D$3:$D$237)</f>
        <v>27.648074566430626</v>
      </c>
      <c r="F34" s="162">
        <v>15203.676204080202</v>
      </c>
      <c r="G34" s="160" t="s">
        <v>872</v>
      </c>
      <c r="H34" s="188">
        <f>_xlfn.XLOOKUP(D34,'[1]World Population'!$C$2:$C$267,'[1]World Population'!$BN$2:$BN$267)</f>
        <v>555988</v>
      </c>
      <c r="I34" s="188">
        <v>97.699996948242202</v>
      </c>
      <c r="J34" s="194">
        <f>_xlfn.XLOOKUP(D34,'[2]GDP 2015 Constant'!$B$6:$B$271,'[2]GDP 2015 Constant'!$BM$6:$BM$271)</f>
        <v>1632003278</v>
      </c>
      <c r="K34" s="193">
        <f t="shared" si="0"/>
        <v>2935.3210464974063</v>
      </c>
      <c r="L34" s="194">
        <f>_xlfn.XLOOKUP(D34,'[5]Tourism Receipts'!$B$6:$B$271,'[5]Tourism Receipts'!$BK$6:$BK$271)</f>
        <v>520000000</v>
      </c>
      <c r="M34" s="195">
        <f t="shared" si="1"/>
        <v>0.31862681099345191</v>
      </c>
      <c r="N34">
        <v>4.6329060379078797</v>
      </c>
      <c r="O34" s="188">
        <v>185411</v>
      </c>
      <c r="P34" s="188">
        <v>80.510000000000005</v>
      </c>
      <c r="Q34">
        <v>67.998422800026404</v>
      </c>
      <c r="R34">
        <v>50.649292015538499</v>
      </c>
      <c r="S34">
        <v>0</v>
      </c>
      <c r="T34">
        <v>137.962282878412</v>
      </c>
    </row>
    <row r="35" spans="1:20" x14ac:dyDescent="0.2">
      <c r="A35" s="161" t="s">
        <v>157</v>
      </c>
      <c r="B35" s="161">
        <v>116</v>
      </c>
      <c r="C35" s="161" t="s">
        <v>790</v>
      </c>
      <c r="D35" t="str">
        <f>_xlfn.XLOOKUP(B35,'Country Code M49'!$B$2:$B$250,'Country Code M49'!$C$2:$C$250,,0)</f>
        <v>KHM</v>
      </c>
      <c r="E35" s="27">
        <f>_xlfn.XLOOKUP(B35,'[3]Food Service Estimates'!$B$3:$B$237,'[3]Food Service Estimates'!$D$3:$D$237)</f>
        <v>27.648074566430626</v>
      </c>
      <c r="F35" s="162">
        <v>455819.98133945855</v>
      </c>
      <c r="G35" s="160" t="s">
        <v>872</v>
      </c>
      <c r="H35" s="188">
        <f>_xlfn.XLOOKUP(D35,'[1]World Population'!$C$2:$C$267,'[1]World Population'!$BN$2:$BN$267)</f>
        <v>16718971</v>
      </c>
      <c r="I35" s="188">
        <v>100</v>
      </c>
      <c r="J35" s="194">
        <f>_xlfn.XLOOKUP(D35,'[2]GDP 2015 Constant'!$B$6:$B$271,'[2]GDP 2015 Constant'!$BM$6:$BM$271)</f>
        <v>23024448759</v>
      </c>
      <c r="K35" s="193">
        <f t="shared" si="0"/>
        <v>1377.1450862017764</v>
      </c>
      <c r="L35" s="194">
        <f>_xlfn.XLOOKUP(D35,'[5]Tourism Receipts'!$B$6:$B$271,'[5]Tourism Receipts'!$BK$6:$BK$271)</f>
        <v>4832000000</v>
      </c>
      <c r="M35" s="195">
        <f t="shared" si="1"/>
        <v>0.20986387342329857</v>
      </c>
      <c r="N35">
        <v>20.711870688426099</v>
      </c>
      <c r="O35" s="188">
        <v>12667630</v>
      </c>
      <c r="P35" s="188">
        <v>107.27</v>
      </c>
      <c r="Q35">
        <v>63.3028853207447</v>
      </c>
      <c r="R35">
        <v>61.091296522819697</v>
      </c>
      <c r="S35">
        <v>271.36720493612</v>
      </c>
      <c r="T35">
        <v>94.714315658282302</v>
      </c>
    </row>
    <row r="36" spans="1:20" x14ac:dyDescent="0.2">
      <c r="A36" s="161" t="s">
        <v>154</v>
      </c>
      <c r="B36" s="161">
        <v>120</v>
      </c>
      <c r="C36" s="161" t="s">
        <v>818</v>
      </c>
      <c r="D36" t="str">
        <f>_xlfn.XLOOKUP(B36,'Country Code M49'!$B$2:$B$250,'Country Code M49'!$C$2:$C$250,,0)</f>
        <v>CMR</v>
      </c>
      <c r="E36" s="27">
        <f>_xlfn.XLOOKUP(B36,'[3]Food Service Estimates'!$B$3:$B$237,'[3]Food Service Estimates'!$D$3:$D$237)</f>
        <v>27.648074566430626</v>
      </c>
      <c r="F36" s="162">
        <v>715432.63671078556</v>
      </c>
      <c r="G36" s="160" t="s">
        <v>872</v>
      </c>
      <c r="H36" s="188">
        <f>_xlfn.XLOOKUP(D36,'[1]World Population'!$C$2:$C$267,'[1]World Population'!$BN$2:$BN$267)</f>
        <v>26545864</v>
      </c>
      <c r="I36" s="188">
        <v>100</v>
      </c>
      <c r="J36" s="194">
        <f>_xlfn.XLOOKUP(D36,'[2]GDP 2015 Constant'!$B$6:$B$271,'[2]GDP 2015 Constant'!$BM$6:$BM$271)</f>
        <v>37686544900</v>
      </c>
      <c r="K36" s="193">
        <f t="shared" si="0"/>
        <v>1419.6767112194955</v>
      </c>
      <c r="L36" s="194">
        <f>_xlfn.XLOOKUP(D36,'[5]Tourism Receipts'!$B$6:$B$271,'[5]Tourism Receipts'!$BK$6:$BK$271)</f>
        <v>633000000</v>
      </c>
      <c r="M36" s="195">
        <f t="shared" si="1"/>
        <v>1.6796445566438754E-2</v>
      </c>
      <c r="N36">
        <v>16.802283564440099</v>
      </c>
      <c r="O36" s="188">
        <v>11266065</v>
      </c>
      <c r="P36" s="188">
        <v>103.11</v>
      </c>
      <c r="Q36">
        <v>21.851349408009899</v>
      </c>
      <c r="R36">
        <v>19.8500907473186</v>
      </c>
      <c r="S36">
        <v>275.19797434539402</v>
      </c>
      <c r="T36">
        <v>56.156764189460802</v>
      </c>
    </row>
    <row r="37" spans="1:20" x14ac:dyDescent="0.2">
      <c r="A37" s="161" t="s">
        <v>151</v>
      </c>
      <c r="B37" s="161">
        <v>124</v>
      </c>
      <c r="C37" s="161" t="s">
        <v>98</v>
      </c>
      <c r="D37" t="str">
        <f>_xlfn.XLOOKUP(B37,'Country Code M49'!$B$2:$B$250,'Country Code M49'!$C$2:$C$250,,0)</f>
        <v>CAN</v>
      </c>
      <c r="E37" s="27">
        <f>_xlfn.XLOOKUP(B37,'[3]Food Service Estimates'!$B$3:$B$237,'[3]Food Service Estimates'!$D$3:$D$237)</f>
        <v>25.5704180040103</v>
      </c>
      <c r="F37" s="162">
        <v>956614.90794802923</v>
      </c>
      <c r="G37" s="160" t="s">
        <v>877</v>
      </c>
      <c r="H37" s="188">
        <f>_xlfn.XLOOKUP(D37,'[1]World Population'!$C$2:$C$267,'[1]World Population'!$BN$2:$BN$267)</f>
        <v>38037204</v>
      </c>
      <c r="I37" s="188">
        <v>99.311813354492202</v>
      </c>
      <c r="J37" s="194">
        <f>_xlfn.XLOOKUP(D37,'[2]GDP 2015 Constant'!$B$6:$B$271,'[2]GDP 2015 Constant'!$BM$6:$BM$271)</f>
        <v>1607400000000</v>
      </c>
      <c r="K37" s="193">
        <f t="shared" si="0"/>
        <v>42258.626580439508</v>
      </c>
      <c r="L37" s="194">
        <f>_xlfn.XLOOKUP(D37,'[5]Tourism Receipts'!$B$6:$B$271,'[5]Tourism Receipts'!$BK$6:$BK$271)</f>
        <v>0</v>
      </c>
      <c r="M37" s="195">
        <f t="shared" si="1"/>
        <v>0</v>
      </c>
      <c r="N37">
        <v>0</v>
      </c>
      <c r="O37" s="188">
        <v>7013300</v>
      </c>
      <c r="P37" s="188">
        <v>113.66</v>
      </c>
      <c r="Q37">
        <v>34.167534414708399</v>
      </c>
      <c r="R37">
        <v>31.908532622851101</v>
      </c>
      <c r="S37">
        <v>15588.4871464315</v>
      </c>
      <c r="T37">
        <v>4.2425767852422398</v>
      </c>
    </row>
    <row r="38" spans="1:20" x14ac:dyDescent="0.2">
      <c r="A38" s="161" t="s">
        <v>150</v>
      </c>
      <c r="B38" s="161">
        <v>136</v>
      </c>
      <c r="C38" s="161" t="s">
        <v>715</v>
      </c>
      <c r="D38" t="str">
        <f>_xlfn.XLOOKUP(B38,'Country Code M49'!$B$2:$B$250,'Country Code M49'!$C$2:$C$250,,0)</f>
        <v>CYM</v>
      </c>
      <c r="E38" s="27">
        <f>_xlfn.XLOOKUP(B38,'[3]Food Service Estimates'!$B$3:$B$237,'[3]Food Service Estimates'!$D$3:$D$237)</f>
        <v>25.5704180040103</v>
      </c>
      <c r="F38" s="162">
        <v>1659.5201284602686</v>
      </c>
      <c r="G38" s="160" t="s">
        <v>877</v>
      </c>
      <c r="H38" s="188">
        <f>_xlfn.XLOOKUP(D38,'[1]World Population'!$C$2:$C$267,'[1]World Population'!$BN$2:$BN$267)</f>
        <v>65720</v>
      </c>
      <c r="I38" s="188">
        <v>46.890609741210902</v>
      </c>
      <c r="J38" s="194">
        <f>_xlfn.XLOOKUP(D38,'[2]GDP 2015 Constant'!$B$6:$B$271,'[2]GDP 2015 Constant'!$BM$6:$BM$271)</f>
        <v>5123472741</v>
      </c>
      <c r="K38" s="193">
        <f t="shared" si="0"/>
        <v>77959.110483870973</v>
      </c>
      <c r="L38" s="194">
        <f>_xlfn.XLOOKUP(D38,'[5]Tourism Receipts'!$B$6:$B$271,'[5]Tourism Receipts'!$BK$6:$BK$271)</f>
        <v>911000000</v>
      </c>
      <c r="M38" s="195">
        <f t="shared" si="1"/>
        <v>0.17780908498054993</v>
      </c>
      <c r="N38">
        <v>0.41420543024258799</v>
      </c>
      <c r="O38" s="188">
        <v>0</v>
      </c>
      <c r="P38" s="188">
        <v>0</v>
      </c>
      <c r="Q38">
        <v>45.529273094847497</v>
      </c>
      <c r="R38">
        <v>69.453743444260695</v>
      </c>
      <c r="S38">
        <v>0</v>
      </c>
      <c r="T38">
        <v>273.83333333333297</v>
      </c>
    </row>
    <row r="39" spans="1:20" x14ac:dyDescent="0.2">
      <c r="A39" s="161" t="s">
        <v>154</v>
      </c>
      <c r="B39" s="161">
        <v>140</v>
      </c>
      <c r="C39" s="161" t="s">
        <v>819</v>
      </c>
      <c r="D39" t="str">
        <f>_xlfn.XLOOKUP(B39,'Country Code M49'!$B$2:$B$250,'Country Code M49'!$C$2:$C$250,,0)</f>
        <v>CAF</v>
      </c>
      <c r="E39" s="27">
        <f>_xlfn.XLOOKUP(B39,'[3]Food Service Estimates'!$B$3:$B$237,'[3]Food Service Estimates'!$D$3:$D$237)</f>
        <v>27.648074566430626</v>
      </c>
      <c r="F39" s="162">
        <v>131195.64343262662</v>
      </c>
      <c r="G39" s="160" t="s">
        <v>872</v>
      </c>
      <c r="H39" s="188">
        <f>_xlfn.XLOOKUP(D39,'[1]World Population'!$C$2:$C$267,'[1]World Population'!$BN$2:$BN$267)</f>
        <v>4829764</v>
      </c>
      <c r="I39" s="188">
        <v>85.873550415039105</v>
      </c>
      <c r="J39" s="194">
        <f>_xlfn.XLOOKUP(D39,'[2]GDP 2015 Constant'!$B$6:$B$271,'[2]GDP 2015 Constant'!$BM$6:$BM$271)</f>
        <v>2004791523</v>
      </c>
      <c r="K39" s="193">
        <f t="shared" si="0"/>
        <v>415.09099057428062</v>
      </c>
      <c r="L39" s="194">
        <f>_xlfn.XLOOKUP(D39,'[5]Tourism Receipts'!$B$6:$B$271,'[5]Tourism Receipts'!$BK$6:$BK$271)</f>
        <v>0</v>
      </c>
      <c r="M39" s="195">
        <f t="shared" si="1"/>
        <v>0</v>
      </c>
      <c r="N39">
        <v>28.341832464943799</v>
      </c>
      <c r="O39" s="188">
        <v>2791700</v>
      </c>
      <c r="P39" s="188">
        <v>105.26</v>
      </c>
      <c r="Q39">
        <v>33.720170001661799</v>
      </c>
      <c r="R39">
        <v>15.7553800018083</v>
      </c>
      <c r="S39">
        <v>0</v>
      </c>
      <c r="T39">
        <v>7.7526790587177796</v>
      </c>
    </row>
    <row r="40" spans="1:20" x14ac:dyDescent="0.2">
      <c r="A40" s="161" t="s">
        <v>154</v>
      </c>
      <c r="B40" s="161">
        <v>148</v>
      </c>
      <c r="C40" s="161" t="s">
        <v>820</v>
      </c>
      <c r="D40" t="str">
        <f>_xlfn.XLOOKUP(B40,'Country Code M49'!$B$2:$B$250,'Country Code M49'!$C$2:$C$250,,0)</f>
        <v>TCD</v>
      </c>
      <c r="E40" s="27">
        <f>_xlfn.XLOOKUP(B40,'[3]Food Service Estimates'!$B$3:$B$237,'[3]Food Service Estimates'!$D$3:$D$237)</f>
        <v>27.648074566430626</v>
      </c>
      <c r="F40" s="162">
        <v>440901.08030341257</v>
      </c>
      <c r="G40" s="160" t="s">
        <v>872</v>
      </c>
      <c r="H40" s="188">
        <f>_xlfn.XLOOKUP(D40,'[1]World Population'!$C$2:$C$267,'[1]World Population'!$BN$2:$BN$267)</f>
        <v>16425859</v>
      </c>
      <c r="I40" s="188">
        <v>30.603832244873001</v>
      </c>
      <c r="J40" s="194">
        <f>_xlfn.XLOOKUP(D40,'[2]GDP 2015 Constant'!$B$6:$B$271,'[2]GDP 2015 Constant'!$BM$6:$BM$271)</f>
        <v>10357639641</v>
      </c>
      <c r="K40" s="193">
        <f t="shared" si="0"/>
        <v>630.56913133127466</v>
      </c>
      <c r="L40" s="194">
        <f>_xlfn.XLOOKUP(D40,'[5]Tourism Receipts'!$B$6:$B$271,'[5]Tourism Receipts'!$BK$6:$BK$271)</f>
        <v>0</v>
      </c>
      <c r="M40" s="195">
        <f t="shared" si="1"/>
        <v>0</v>
      </c>
      <c r="N40">
        <v>42.594449124090801</v>
      </c>
      <c r="O40" s="188">
        <v>12562497</v>
      </c>
      <c r="P40" s="188">
        <v>120.7</v>
      </c>
      <c r="Q40">
        <v>38.014071283580499</v>
      </c>
      <c r="R40">
        <v>36.742253436382597</v>
      </c>
      <c r="S40">
        <v>0</v>
      </c>
      <c r="T40">
        <v>13.044678367217299</v>
      </c>
    </row>
    <row r="41" spans="1:20" x14ac:dyDescent="0.2">
      <c r="A41" s="161" t="s">
        <v>150</v>
      </c>
      <c r="B41" s="161">
        <v>152</v>
      </c>
      <c r="C41" s="161" t="s">
        <v>716</v>
      </c>
      <c r="D41" t="str">
        <f>_xlfn.XLOOKUP(B41,'Country Code M49'!$B$2:$B$250,'Country Code M49'!$C$2:$C$250,,0)</f>
        <v>CHL</v>
      </c>
      <c r="E41" s="27">
        <f>_xlfn.XLOOKUP(B41,'[3]Food Service Estimates'!$B$3:$B$237,'[3]Food Service Estimates'!$D$3:$D$237)</f>
        <v>25.5704180040103</v>
      </c>
      <c r="F41" s="162">
        <v>484610.56201200321</v>
      </c>
      <c r="G41" s="160" t="s">
        <v>877</v>
      </c>
      <c r="H41" s="188">
        <f>_xlfn.XLOOKUP(D41,'[1]World Population'!$C$2:$C$267,'[1]World Population'!$BN$2:$BN$267)</f>
        <v>19116209</v>
      </c>
      <c r="I41" s="188">
        <v>73.757926940917997</v>
      </c>
      <c r="J41" s="194">
        <f>_xlfn.XLOOKUP(D41,'[2]GDP 2015 Constant'!$B$6:$B$271,'[2]GDP 2015 Constant'!$BM$6:$BM$271)</f>
        <v>246413000000</v>
      </c>
      <c r="K41" s="193">
        <f t="shared" si="0"/>
        <v>12890.265010180627</v>
      </c>
      <c r="L41" s="194">
        <f>_xlfn.XLOOKUP(D41,'[5]Tourism Receipts'!$B$6:$B$271,'[5]Tourism Receipts'!$BK$6:$BK$271)</f>
        <v>3911000000</v>
      </c>
      <c r="M41" s="195">
        <f t="shared" si="1"/>
        <v>1.5871727546842091E-2</v>
      </c>
      <c r="N41">
        <v>3.9839672335147398</v>
      </c>
      <c r="O41" s="188">
        <v>2346132</v>
      </c>
      <c r="P41" s="188">
        <v>107.97</v>
      </c>
      <c r="Q41">
        <v>29.648005893694801</v>
      </c>
      <c r="R41">
        <v>27.834131590256899</v>
      </c>
      <c r="S41">
        <v>3879.6734202306502</v>
      </c>
      <c r="T41">
        <v>25.710001721512999</v>
      </c>
    </row>
    <row r="42" spans="1:20" x14ac:dyDescent="0.2">
      <c r="A42" s="161" t="s">
        <v>152</v>
      </c>
      <c r="B42" s="161">
        <v>156</v>
      </c>
      <c r="C42" s="161" t="s">
        <v>99</v>
      </c>
      <c r="D42" t="str">
        <f>_xlfn.XLOOKUP(B42,'Country Code M49'!$B$2:$B$250,'Country Code M49'!$C$2:$C$250,,0)</f>
        <v>CHN</v>
      </c>
      <c r="E42" s="27">
        <f>_xlfn.XLOOKUP(B42,'[3]Food Service Estimates'!$B$3:$B$237,'[3]Food Service Estimates'!$D$3:$D$237)</f>
        <v>45.598050000000001</v>
      </c>
      <c r="F42" s="162">
        <v>65377740.841785006</v>
      </c>
      <c r="G42" s="160" t="s">
        <v>880</v>
      </c>
      <c r="H42" s="188">
        <f>_xlfn.XLOOKUP(D42,'[1]World Population'!$C$2:$C$267,'[1]World Population'!$BN$2:$BN$267)</f>
        <v>1411100000</v>
      </c>
      <c r="I42" s="188">
        <v>89.900001525878906</v>
      </c>
      <c r="J42" s="194">
        <f>_xlfn.XLOOKUP(D42,'[2]GDP 2015 Constant'!$B$6:$B$271,'[2]GDP 2015 Constant'!$BM$6:$BM$271)</f>
        <v>14616500000000</v>
      </c>
      <c r="K42" s="193">
        <f t="shared" si="0"/>
        <v>10358.231167174545</v>
      </c>
      <c r="L42" s="194">
        <f>_xlfn.XLOOKUP(D42,'[5]Tourism Receipts'!$B$6:$B$271,'[5]Tourism Receipts'!$BK$6:$BK$271)</f>
        <v>0</v>
      </c>
      <c r="M42" s="195">
        <f t="shared" si="1"/>
        <v>0</v>
      </c>
      <c r="N42">
        <v>7.1436902775817996</v>
      </c>
      <c r="O42" s="188">
        <v>544289492</v>
      </c>
      <c r="P42" s="188">
        <v>102.96</v>
      </c>
      <c r="Q42">
        <v>18.453680565723399</v>
      </c>
      <c r="R42">
        <v>18.4099923154801</v>
      </c>
      <c r="S42">
        <v>3905.3175980056299</v>
      </c>
      <c r="T42">
        <v>149.72355255888201</v>
      </c>
    </row>
    <row r="43" spans="1:20" x14ac:dyDescent="0.2">
      <c r="A43" s="161" t="s">
        <v>152</v>
      </c>
      <c r="B43" s="161">
        <v>344</v>
      </c>
      <c r="C43" s="161" t="s">
        <v>695</v>
      </c>
      <c r="D43" t="str">
        <f>_xlfn.XLOOKUP(B43,'Country Code M49'!$B$2:$B$250,'Country Code M49'!$C$2:$C$250,,0)</f>
        <v>HKG</v>
      </c>
      <c r="E43" s="27">
        <f>_xlfn.XLOOKUP(B43,'[3]Food Service Estimates'!$B$3:$B$237,'[3]Food Service Estimates'!$D$3:$D$237)</f>
        <v>25.5704180040103</v>
      </c>
      <c r="F43" s="162">
        <v>190146.74236142138</v>
      </c>
      <c r="G43" s="160" t="s">
        <v>877</v>
      </c>
      <c r="H43" s="188">
        <f>_xlfn.XLOOKUP(D43,'[1]World Population'!$C$2:$C$267,'[1]World Population'!$BN$2:$BN$267)</f>
        <v>7481000</v>
      </c>
      <c r="I43" s="188">
        <v>100</v>
      </c>
      <c r="J43" s="194">
        <f>_xlfn.XLOOKUP(D43,'[2]GDP 2015 Constant'!$B$6:$B$271,'[2]GDP 2015 Constant'!$BM$6:$BM$271)</f>
        <v>310237000000</v>
      </c>
      <c r="K43" s="193">
        <f t="shared" si="0"/>
        <v>41469.99064296217</v>
      </c>
      <c r="L43" s="194">
        <f>_xlfn.XLOOKUP(D43,'[5]Tourism Receipts'!$B$6:$B$271,'[5]Tourism Receipts'!$BK$6:$BK$271)</f>
        <v>42313000000</v>
      </c>
      <c r="M43" s="195">
        <f t="shared" si="1"/>
        <v>0.13638927658532027</v>
      </c>
      <c r="N43">
        <v>7.2306274898122705E-2</v>
      </c>
      <c r="O43" s="188">
        <v>0</v>
      </c>
      <c r="P43" s="188">
        <v>220.88</v>
      </c>
      <c r="Q43">
        <v>188.553266542735</v>
      </c>
      <c r="R43">
        <v>177.65620106276501</v>
      </c>
      <c r="S43">
        <v>6083.2699356802004</v>
      </c>
      <c r="T43">
        <v>7124.7619047619</v>
      </c>
    </row>
    <row r="44" spans="1:20" x14ac:dyDescent="0.2">
      <c r="A44" s="161" t="s">
        <v>152</v>
      </c>
      <c r="B44" s="161">
        <v>446</v>
      </c>
      <c r="C44" s="161" t="s">
        <v>696</v>
      </c>
      <c r="D44" t="str">
        <f>_xlfn.XLOOKUP(B44,'Country Code M49'!$B$2:$B$250,'Country Code M49'!$C$2:$C$250,,0)</f>
        <v>MAC</v>
      </c>
      <c r="E44" s="27">
        <f>_xlfn.XLOOKUP(B44,'[3]Food Service Estimates'!$B$3:$B$237,'[3]Food Service Estimates'!$D$3:$D$237)</f>
        <v>25.5704180040103</v>
      </c>
      <c r="F44" s="162">
        <v>16375.295689768194</v>
      </c>
      <c r="G44" s="160" t="s">
        <v>877</v>
      </c>
      <c r="H44" s="188">
        <f>_xlfn.XLOOKUP(D44,'[1]World Population'!$C$2:$C$267,'[1]World Population'!$BN$2:$BN$267)</f>
        <v>649342</v>
      </c>
      <c r="I44" s="188">
        <v>33.735076904296903</v>
      </c>
      <c r="J44" s="194">
        <f>_xlfn.XLOOKUP(D44,'[2]GDP 2015 Constant'!$B$6:$B$271,'[2]GDP 2015 Constant'!$BM$6:$BM$271)</f>
        <v>23488188942</v>
      </c>
      <c r="K44" s="193">
        <f t="shared" si="0"/>
        <v>36172.292785619902</v>
      </c>
      <c r="L44" s="194">
        <f>_xlfn.XLOOKUP(D44,'[5]Tourism Receipts'!$B$6:$B$271,'[5]Tourism Receipts'!$BK$6:$BK$271)</f>
        <v>41478000000</v>
      </c>
      <c r="M44" s="195">
        <f t="shared" si="1"/>
        <v>1.7659088192121883</v>
      </c>
      <c r="N44">
        <v>0</v>
      </c>
      <c r="O44" s="188">
        <v>0</v>
      </c>
      <c r="P44" s="188">
        <v>89.39</v>
      </c>
      <c r="Q44">
        <v>33.100745491089697</v>
      </c>
      <c r="R44">
        <v>82.522613516486004</v>
      </c>
      <c r="S44">
        <v>0</v>
      </c>
      <c r="T44">
        <v>19736.838905775101</v>
      </c>
    </row>
    <row r="45" spans="1:20" x14ac:dyDescent="0.2">
      <c r="A45" s="161" t="s">
        <v>150</v>
      </c>
      <c r="B45" s="161">
        <v>170</v>
      </c>
      <c r="C45" s="161" t="s">
        <v>100</v>
      </c>
      <c r="D45" t="str">
        <f>_xlfn.XLOOKUP(B45,'Country Code M49'!$B$2:$B$250,'Country Code M49'!$C$2:$C$250,,0)</f>
        <v>COL</v>
      </c>
      <c r="E45" s="27">
        <f>_xlfn.XLOOKUP(B45,'[3]Food Service Estimates'!$B$3:$B$237,'[3]Food Service Estimates'!$D$3:$D$237)</f>
        <v>27.648074566430626</v>
      </c>
      <c r="F45" s="162">
        <v>1391787.4848293778</v>
      </c>
      <c r="G45" s="160" t="s">
        <v>872</v>
      </c>
      <c r="H45" s="188">
        <f>_xlfn.XLOOKUP(D45,'[1]World Population'!$C$2:$C$267,'[1]World Population'!$BN$2:$BN$267)</f>
        <v>50882884</v>
      </c>
      <c r="I45" s="188">
        <v>64.721366882324205</v>
      </c>
      <c r="J45" s="194">
        <f>_xlfn.XLOOKUP(D45,'[2]GDP 2015 Constant'!$B$6:$B$271,'[2]GDP 2015 Constant'!$BM$6:$BM$271)</f>
        <v>298742000000</v>
      </c>
      <c r="K45" s="193">
        <f t="shared" si="0"/>
        <v>5871.1687804488438</v>
      </c>
      <c r="L45" s="194">
        <f>_xlfn.XLOOKUP(D45,'[5]Tourism Receipts'!$B$6:$B$271,'[5]Tourism Receipts'!$BK$6:$BK$271)</f>
        <v>6655000000</v>
      </c>
      <c r="M45" s="195">
        <f t="shared" si="1"/>
        <v>2.2276747159756579E-2</v>
      </c>
      <c r="N45">
        <v>6.41072082168313</v>
      </c>
      <c r="O45" s="188">
        <v>9451496</v>
      </c>
      <c r="P45" s="188">
        <v>103.02</v>
      </c>
      <c r="Q45">
        <v>20.635033119354201</v>
      </c>
      <c r="R45">
        <v>15.868038654124099</v>
      </c>
      <c r="S45">
        <v>1312.1994929878001</v>
      </c>
      <c r="T45">
        <v>45.861094186570497</v>
      </c>
    </row>
    <row r="46" spans="1:20" x14ac:dyDescent="0.2">
      <c r="A46" s="161" t="s">
        <v>154</v>
      </c>
      <c r="B46" s="161">
        <v>174</v>
      </c>
      <c r="C46" s="161" t="s">
        <v>821</v>
      </c>
      <c r="D46" t="str">
        <f>_xlfn.XLOOKUP(B46,'Country Code M49'!$B$2:$B$250,'Country Code M49'!$C$2:$C$250,,0)</f>
        <v>COM</v>
      </c>
      <c r="E46" s="27">
        <f>_xlfn.XLOOKUP(B46,'[3]Food Service Estimates'!$B$3:$B$237,'[3]Food Service Estimates'!$D$3:$D$237)</f>
        <v>27.648074566430626</v>
      </c>
      <c r="F46" s="162">
        <v>23525.74664857582</v>
      </c>
      <c r="G46" s="160" t="s">
        <v>872</v>
      </c>
      <c r="H46" s="188">
        <f>_xlfn.XLOOKUP(D46,'[1]World Population'!$C$2:$C$267,'[1]World Population'!$BN$2:$BN$267)</f>
        <v>869595</v>
      </c>
      <c r="I46" s="188">
        <v>69.679122924804702</v>
      </c>
      <c r="J46" s="194">
        <f>_xlfn.XLOOKUP(D46,'[2]GDP 2015 Constant'!$B$6:$B$271,'[2]GDP 2015 Constant'!$BM$6:$BM$271)</f>
        <v>1089641267</v>
      </c>
      <c r="K46" s="193">
        <f t="shared" si="0"/>
        <v>1253.0445402744956</v>
      </c>
      <c r="L46" s="194">
        <f>_xlfn.XLOOKUP(D46,'[5]Tourism Receipts'!$B$6:$B$271,'[5]Tourism Receipts'!$BK$6:$BK$271)</f>
        <v>73699996.950000003</v>
      </c>
      <c r="M46" s="195">
        <f t="shared" si="1"/>
        <v>6.7636936285380242E-2</v>
      </c>
      <c r="N46">
        <v>35.620097987878097</v>
      </c>
      <c r="O46" s="188">
        <v>614108</v>
      </c>
      <c r="P46" s="188">
        <v>104.59</v>
      </c>
      <c r="Q46">
        <v>30.087130352256999</v>
      </c>
      <c r="R46">
        <v>12.7734606325226</v>
      </c>
      <c r="S46">
        <v>0</v>
      </c>
      <c r="T46">
        <v>467.27297152068797</v>
      </c>
    </row>
    <row r="47" spans="1:20" x14ac:dyDescent="0.2">
      <c r="A47" s="161" t="s">
        <v>154</v>
      </c>
      <c r="B47" s="161">
        <v>178</v>
      </c>
      <c r="C47" s="161" t="s">
        <v>822</v>
      </c>
      <c r="D47" t="str">
        <f>_xlfn.XLOOKUP(B47,'Country Code M49'!$B$2:$B$250,'Country Code M49'!$C$2:$C$250,,0)</f>
        <v>COG</v>
      </c>
      <c r="E47" s="27">
        <f>_xlfn.XLOOKUP(B47,'[3]Food Service Estimates'!$B$3:$B$237,'[3]Food Service Estimates'!$D$3:$D$237)</f>
        <v>27.648074566430626</v>
      </c>
      <c r="F47" s="162">
        <v>148760.46520467999</v>
      </c>
      <c r="G47" s="160" t="s">
        <v>872</v>
      </c>
      <c r="H47" s="188">
        <f>_xlfn.XLOOKUP(D47,'[1]World Population'!$C$2:$C$267,'[1]World Population'!$BN$2:$BN$267)</f>
        <v>5518092</v>
      </c>
      <c r="I47" s="188">
        <v>52.313545227050803</v>
      </c>
      <c r="J47" s="194">
        <f>_xlfn.XLOOKUP(D47,'[2]GDP 2015 Constant'!$B$6:$B$271,'[2]GDP 2015 Constant'!$BM$6:$BM$271)</f>
        <v>9045462978</v>
      </c>
      <c r="K47" s="193">
        <f t="shared" si="0"/>
        <v>1639.2374353309078</v>
      </c>
      <c r="L47" s="194">
        <f>_xlfn.XLOOKUP(D47,'[5]Tourism Receipts'!$B$6:$B$271,'[5]Tourism Receipts'!$BK$6:$BK$271)</f>
        <v>0</v>
      </c>
      <c r="M47" s="195">
        <f t="shared" si="1"/>
        <v>0</v>
      </c>
      <c r="N47">
        <v>7.6253804865844597</v>
      </c>
      <c r="O47" s="188">
        <v>1775225</v>
      </c>
      <c r="P47" s="188">
        <v>101.48</v>
      </c>
      <c r="Q47">
        <v>49.006193372719899</v>
      </c>
      <c r="R47">
        <v>73.792287746466101</v>
      </c>
      <c r="S47">
        <v>202.87251436310001</v>
      </c>
      <c r="T47">
        <v>16.1583953147877</v>
      </c>
    </row>
    <row r="48" spans="1:20" x14ac:dyDescent="0.2">
      <c r="A48" s="161" t="s">
        <v>150</v>
      </c>
      <c r="B48" s="161">
        <v>188</v>
      </c>
      <c r="C48" s="161" t="s">
        <v>717</v>
      </c>
      <c r="D48" t="str">
        <f>_xlfn.XLOOKUP(B48,'Country Code M49'!$B$2:$B$250,'Country Code M49'!$C$2:$C$250,,0)</f>
        <v>CRI</v>
      </c>
      <c r="E48" s="27">
        <f>_xlfn.XLOOKUP(B48,'[3]Food Service Estimates'!$B$3:$B$237,'[3]Food Service Estimates'!$D$3:$D$237)</f>
        <v>27.648074566430626</v>
      </c>
      <c r="F48" s="162">
        <v>139556.42118151521</v>
      </c>
      <c r="G48" s="160" t="s">
        <v>872</v>
      </c>
      <c r="H48" s="188">
        <f>_xlfn.XLOOKUP(D48,'[1]World Population'!$C$2:$C$267,'[1]World Population'!$BN$2:$BN$267)</f>
        <v>5094114</v>
      </c>
      <c r="I48" s="188">
        <v>19.251909255981399</v>
      </c>
      <c r="J48" s="194">
        <f>_xlfn.XLOOKUP(D48,'[2]GDP 2015 Constant'!$B$6:$B$271,'[2]GDP 2015 Constant'!$BM$6:$BM$271)</f>
        <v>61774415011</v>
      </c>
      <c r="K48" s="193">
        <f t="shared" si="0"/>
        <v>12126.625947318807</v>
      </c>
      <c r="L48" s="194">
        <f>_xlfn.XLOOKUP(D48,'[5]Tourism Receipts'!$B$6:$B$271,'[5]Tourism Receipts'!$BK$6:$BK$271)</f>
        <v>4073000000</v>
      </c>
      <c r="M48" s="195">
        <f t="shared" si="1"/>
        <v>6.5933445088467976E-2</v>
      </c>
      <c r="N48">
        <v>4.2020511630246498</v>
      </c>
      <c r="O48" s="188">
        <v>979547</v>
      </c>
      <c r="P48" s="188">
        <v>98.33</v>
      </c>
      <c r="Q48">
        <v>33.206831240482401</v>
      </c>
      <c r="R48">
        <v>34.325321559330803</v>
      </c>
      <c r="S48">
        <v>1942.49060034742</v>
      </c>
      <c r="T48">
        <v>99.767215041128097</v>
      </c>
    </row>
    <row r="49" spans="1:20" x14ac:dyDescent="0.2">
      <c r="A49" s="161" t="s">
        <v>154</v>
      </c>
      <c r="B49" s="161">
        <v>384</v>
      </c>
      <c r="C49" s="161" t="s">
        <v>823</v>
      </c>
      <c r="D49" t="str">
        <f>_xlfn.XLOOKUP(B49,'Country Code M49'!$B$2:$B$250,'Country Code M49'!$C$2:$C$250,,0)</f>
        <v>CIV</v>
      </c>
      <c r="E49" s="27">
        <f>_xlfn.XLOOKUP(B49,'[3]Food Service Estimates'!$B$3:$B$237,'[3]Food Service Estimates'!$D$3:$D$237)</f>
        <v>27.648074566430626</v>
      </c>
      <c r="F49" s="162">
        <v>711011.70958761324</v>
      </c>
      <c r="G49" s="160" t="s">
        <v>872</v>
      </c>
      <c r="H49" s="188">
        <f>_xlfn.XLOOKUP(D49,'[1]World Population'!$C$2:$C$267,'[1]World Population'!$BN$2:$BN$267)</f>
        <v>26378275</v>
      </c>
      <c r="I49" s="188">
        <v>100</v>
      </c>
      <c r="J49" s="194">
        <f>_xlfn.XLOOKUP(D49,'[2]GDP 2015 Constant'!$B$6:$B$271,'[2]GDP 2015 Constant'!$BM$6:$BM$271)</f>
        <v>61033878289</v>
      </c>
      <c r="K49" s="193">
        <f t="shared" si="0"/>
        <v>2313.7933882712196</v>
      </c>
      <c r="L49" s="194">
        <f>_xlfn.XLOOKUP(D49,'[5]Tourism Receipts'!$B$6:$B$271,'[5]Tourism Receipts'!$BK$6:$BK$271)</f>
        <v>551000000</v>
      </c>
      <c r="M49" s="195">
        <f t="shared" si="1"/>
        <v>9.0277730245319418E-3</v>
      </c>
      <c r="N49">
        <v>20.671221079934</v>
      </c>
      <c r="O49" s="188">
        <v>12739124</v>
      </c>
      <c r="P49" s="188">
        <v>118.41</v>
      </c>
      <c r="Q49">
        <v>23.426803689101199</v>
      </c>
      <c r="R49">
        <v>23.776277560911399</v>
      </c>
      <c r="S49">
        <v>274.73022392765102</v>
      </c>
      <c r="T49">
        <v>82.950550314465403</v>
      </c>
    </row>
    <row r="50" spans="1:20" x14ac:dyDescent="0.2">
      <c r="A50" s="161" t="s">
        <v>155</v>
      </c>
      <c r="B50" s="161">
        <v>191</v>
      </c>
      <c r="C50" s="161" t="s">
        <v>805</v>
      </c>
      <c r="D50" t="str">
        <f>_xlfn.XLOOKUP(B50,'Country Code M49'!$B$2:$B$250,'Country Code M49'!$C$2:$C$250,,0)</f>
        <v>HRV</v>
      </c>
      <c r="E50" s="27">
        <f>_xlfn.XLOOKUP(B50,'[3]Food Service Estimates'!$B$3:$B$237,'[3]Food Service Estimates'!$D$3:$D$237)</f>
        <v>25.5704180040103</v>
      </c>
      <c r="F50" s="162">
        <v>105613.49748196374</v>
      </c>
      <c r="G50" s="160" t="s">
        <v>877</v>
      </c>
      <c r="H50" s="188">
        <f>_xlfn.XLOOKUP(D50,'[1]World Population'!$C$2:$C$267,'[1]World Population'!$BN$2:$BN$267)</f>
        <v>4047680</v>
      </c>
      <c r="I50" s="188">
        <v>18.957239151001001</v>
      </c>
      <c r="J50" s="194">
        <f>_xlfn.XLOOKUP(D50,'[2]GDP 2015 Constant'!$B$6:$B$271,'[2]GDP 2015 Constant'!$BM$6:$BM$271)</f>
        <v>52557893779</v>
      </c>
      <c r="K50" s="193">
        <f t="shared" si="0"/>
        <v>12984.69586997984</v>
      </c>
      <c r="L50" s="194">
        <f>_xlfn.XLOOKUP(D50,'[5]Tourism Receipts'!$B$6:$B$271,'[5]Tourism Receipts'!$BK$6:$BK$271)</f>
        <v>11348000000</v>
      </c>
      <c r="M50" s="195">
        <f t="shared" si="1"/>
        <v>0.21591428392692175</v>
      </c>
      <c r="N50">
        <v>2.86876409373393</v>
      </c>
      <c r="O50" s="188">
        <v>1718119</v>
      </c>
      <c r="P50" s="188">
        <v>86.34</v>
      </c>
      <c r="Q50">
        <v>50.342006249526399</v>
      </c>
      <c r="R50">
        <v>50.747473751656102</v>
      </c>
      <c r="S50">
        <v>3714.3829884420702</v>
      </c>
      <c r="T50">
        <v>72.331665475339506</v>
      </c>
    </row>
    <row r="51" spans="1:20" x14ac:dyDescent="0.2">
      <c r="A51" s="161" t="s">
        <v>150</v>
      </c>
      <c r="B51" s="161">
        <v>192</v>
      </c>
      <c r="C51" s="161" t="s">
        <v>718</v>
      </c>
      <c r="D51" t="str">
        <f>_xlfn.XLOOKUP(B51,'Country Code M49'!$B$2:$B$250,'Country Code M49'!$C$2:$C$250,,0)</f>
        <v>CUB</v>
      </c>
      <c r="E51" s="27">
        <f>_xlfn.XLOOKUP(B51,'[3]Food Service Estimates'!$B$3:$B$237,'[3]Food Service Estimates'!$D$3:$D$237)</f>
        <v>27.648074566430626</v>
      </c>
      <c r="F51" s="162">
        <v>313349.45309864153</v>
      </c>
      <c r="G51" s="160" t="s">
        <v>872</v>
      </c>
      <c r="H51" s="188">
        <f>_xlfn.XLOOKUP(D51,'[1]World Population'!$C$2:$C$267,'[1]World Population'!$BN$2:$BN$267)</f>
        <v>11326616</v>
      </c>
      <c r="I51" s="188">
        <v>50.561416625976598</v>
      </c>
      <c r="J51" s="194">
        <f>_xlfn.XLOOKUP(D51,'[2]GDP 2015 Constant'!$B$6:$B$271,'[2]GDP 2015 Constant'!$BM$6:$BM$271)</f>
        <v>81054474018</v>
      </c>
      <c r="K51" s="193">
        <f t="shared" si="0"/>
        <v>7156.1068211370457</v>
      </c>
      <c r="L51" s="194">
        <f>_xlfn.XLOOKUP(D51,'[5]Tourism Receipts'!$B$6:$B$271,'[5]Tourism Receipts'!$BK$6:$BK$271)</f>
        <v>2783000000</v>
      </c>
      <c r="M51" s="195">
        <f t="shared" si="1"/>
        <v>3.4334933804912128E-2</v>
      </c>
      <c r="N51">
        <v>3.5676992690567402</v>
      </c>
      <c r="O51" s="188">
        <v>2583148</v>
      </c>
      <c r="P51" s="188">
        <v>73.7</v>
      </c>
      <c r="Q51">
        <v>12.560719640179901</v>
      </c>
      <c r="R51">
        <v>12.2133271454538</v>
      </c>
      <c r="S51">
        <v>1450.8828186377</v>
      </c>
      <c r="T51">
        <v>109.11961464354501</v>
      </c>
    </row>
    <row r="52" spans="1:20" x14ac:dyDescent="0.2">
      <c r="A52" s="161" t="s">
        <v>150</v>
      </c>
      <c r="B52" s="161">
        <v>531</v>
      </c>
      <c r="C52" s="161" t="s">
        <v>719</v>
      </c>
      <c r="D52" t="str">
        <f>_xlfn.XLOOKUP(B52,'Country Code M49'!$B$2:$B$250,'Country Code M49'!$C$2:$C$250,,0)</f>
        <v>CUW</v>
      </c>
      <c r="E52" s="27">
        <f>_xlfn.XLOOKUP(B52,'[3]Food Service Estimates'!$B$3:$B$237,'[3]Food Service Estimates'!$D$3:$D$237)</f>
        <v>25.5704180040103</v>
      </c>
      <c r="F52" s="162">
        <v>4178.2063018552826</v>
      </c>
      <c r="G52" s="160" t="s">
        <v>877</v>
      </c>
      <c r="H52" s="188">
        <f>_xlfn.XLOOKUP(D52,'[1]World Population'!$C$2:$C$267,'[1]World Population'!$BN$2:$BN$267)</f>
        <v>154947</v>
      </c>
      <c r="I52" s="188">
        <v>14.866768836975099</v>
      </c>
      <c r="J52" s="194">
        <f>_xlfn.XLOOKUP(D52,'[2]GDP 2015 Constant'!$B$6:$B$271,'[2]GDP 2015 Constant'!$BM$6:$BM$271)</f>
        <v>2285297118</v>
      </c>
      <c r="K52" s="193">
        <f t="shared" si="0"/>
        <v>14748.895544928266</v>
      </c>
      <c r="L52" s="194">
        <f>_xlfn.XLOOKUP(D52,'[5]Tourism Receipts'!$B$6:$B$271,'[5]Tourism Receipts'!$BK$6:$BK$271)</f>
        <v>604000000</v>
      </c>
      <c r="M52" s="195">
        <f t="shared" si="1"/>
        <v>0.26429823730255103</v>
      </c>
      <c r="N52">
        <v>0.16876592666023599</v>
      </c>
      <c r="O52" s="188">
        <v>16948</v>
      </c>
      <c r="P52" s="188">
        <v>0</v>
      </c>
      <c r="Q52">
        <v>0</v>
      </c>
      <c r="R52">
        <v>0</v>
      </c>
      <c r="S52">
        <v>4797.6704359594396</v>
      </c>
      <c r="T52">
        <v>348.97972972973002</v>
      </c>
    </row>
    <row r="53" spans="1:20" x14ac:dyDescent="0.2">
      <c r="A53" s="161" t="s">
        <v>148</v>
      </c>
      <c r="B53" s="161">
        <v>196</v>
      </c>
      <c r="C53" s="161" t="s">
        <v>858</v>
      </c>
      <c r="D53" t="str">
        <f>_xlfn.XLOOKUP(B53,'Country Code M49'!$B$2:$B$250,'Country Code M49'!$C$2:$C$250,,0)</f>
        <v>CYP</v>
      </c>
      <c r="E53" s="27">
        <f>_xlfn.XLOOKUP(B53,'[3]Food Service Estimates'!$B$3:$B$237,'[3]Food Service Estimates'!$D$3:$D$237)</f>
        <v>25.5704180040103</v>
      </c>
      <c r="F53" s="162">
        <v>30648.703019606746</v>
      </c>
      <c r="G53" s="160" t="s">
        <v>877</v>
      </c>
      <c r="H53" s="188">
        <f>_xlfn.XLOOKUP(D53,'[1]World Population'!$C$2:$C$267,'[1]World Population'!$BN$2:$BN$267)</f>
        <v>1207361</v>
      </c>
      <c r="I53" s="188">
        <v>100</v>
      </c>
      <c r="J53" s="194">
        <f>_xlfn.XLOOKUP(D53,'[2]GDP 2015 Constant'!$B$6:$B$271,'[2]GDP 2015 Constant'!$BM$6:$BM$271)</f>
        <v>23640672757</v>
      </c>
      <c r="K53" s="193">
        <f t="shared" si="0"/>
        <v>19580.450881716406</v>
      </c>
      <c r="L53" s="194">
        <f>_xlfn.XLOOKUP(D53,'[5]Tourism Receipts'!$B$6:$B$271,'[5]Tourism Receipts'!$BK$6:$BK$271)</f>
        <v>3449000000</v>
      </c>
      <c r="M53" s="195">
        <f t="shared" si="1"/>
        <v>0.14589263323645268</v>
      </c>
      <c r="N53">
        <v>1.80860524588047</v>
      </c>
      <c r="O53" s="188">
        <v>400590</v>
      </c>
      <c r="P53" s="188">
        <v>106.23</v>
      </c>
      <c r="Q53">
        <v>73.773375139814306</v>
      </c>
      <c r="R53">
        <v>75.593848763019395</v>
      </c>
      <c r="S53">
        <v>3624.9335023869698</v>
      </c>
      <c r="T53">
        <v>130.66677489177499</v>
      </c>
    </row>
    <row r="54" spans="1:20" x14ac:dyDescent="0.2">
      <c r="A54" s="161" t="s">
        <v>156</v>
      </c>
      <c r="B54" s="161">
        <v>203</v>
      </c>
      <c r="C54" s="161" t="s">
        <v>702</v>
      </c>
      <c r="D54" t="str">
        <f>_xlfn.XLOOKUP(B54,'Country Code M49'!$B$2:$B$250,'Country Code M49'!$C$2:$C$250,,0)</f>
        <v>CZE</v>
      </c>
      <c r="E54" s="27">
        <f>_xlfn.XLOOKUP(B54,'[3]Food Service Estimates'!$B$3:$B$237,'[3]Food Service Estimates'!$D$3:$D$237)</f>
        <v>25.5704180040103</v>
      </c>
      <c r="F54" s="162">
        <v>273327.3121284669</v>
      </c>
      <c r="G54" s="160" t="s">
        <v>877</v>
      </c>
      <c r="H54" s="188">
        <f>_xlfn.XLOOKUP(D54,'[1]World Population'!$C$2:$C$267,'[1]World Population'!$BN$2:$BN$267)</f>
        <v>10697858</v>
      </c>
      <c r="I54" s="188">
        <v>44.5244750976563</v>
      </c>
      <c r="J54" s="194">
        <f>_xlfn.XLOOKUP(D54,'[2]GDP 2015 Constant'!$B$6:$B$271,'[2]GDP 2015 Constant'!$BM$6:$BM$271)</f>
        <v>203095000000</v>
      </c>
      <c r="K54" s="193">
        <f t="shared" si="0"/>
        <v>18984.641598346137</v>
      </c>
      <c r="L54" s="194">
        <f>_xlfn.XLOOKUP(D54,'[5]Tourism Receipts'!$B$6:$B$271,'[5]Tourism Receipts'!$BK$6:$BK$271)</f>
        <v>8283000000</v>
      </c>
      <c r="M54" s="195">
        <f t="shared" si="1"/>
        <v>4.0783869617666613E-2</v>
      </c>
      <c r="N54">
        <v>1.8612180131487801</v>
      </c>
      <c r="O54" s="188">
        <v>2774917</v>
      </c>
      <c r="P54" s="188">
        <v>97.33</v>
      </c>
      <c r="Q54">
        <v>71.019332990120503</v>
      </c>
      <c r="R54">
        <v>73.894453321285695</v>
      </c>
      <c r="S54">
        <v>6258.8910370365902</v>
      </c>
      <c r="T54">
        <v>138.575928842168</v>
      </c>
    </row>
    <row r="55" spans="1:20" x14ac:dyDescent="0.2">
      <c r="A55" s="161" t="s">
        <v>152</v>
      </c>
      <c r="B55" s="161">
        <v>408</v>
      </c>
      <c r="C55" s="161" t="s">
        <v>697</v>
      </c>
      <c r="D55" t="str">
        <f>_xlfn.XLOOKUP(B55,'Country Code M49'!$B$2:$B$250,'Country Code M49'!$C$2:$C$250,,0)</f>
        <v>PRK</v>
      </c>
      <c r="E55" s="27">
        <f>_xlfn.XLOOKUP(B55,'[3]Food Service Estimates'!$B$3:$B$237,'[3]Food Service Estimates'!$D$3:$D$237)</f>
        <v>27.648074566430626</v>
      </c>
      <c r="F55" s="162">
        <v>709621.01143692166</v>
      </c>
      <c r="G55" s="160" t="s">
        <v>872</v>
      </c>
      <c r="H55" s="188">
        <f>_xlfn.XLOOKUP(D55,'[1]World Population'!$C$2:$C$267,'[1]World Population'!$BN$2:$BN$267)</f>
        <v>25778815</v>
      </c>
      <c r="I55" s="188">
        <v>97.055267333984403</v>
      </c>
      <c r="J55" s="194" t="e">
        <f>_xlfn.XLOOKUP(D55,'[2]GDP 2015 Constant'!$B$6:$B$271,'[2]GDP 2015 Constant'!$BM$6:$BM$271)</f>
        <v>#REF!</v>
      </c>
      <c r="K55" s="193" t="e">
        <f t="shared" si="0"/>
        <v>#REF!</v>
      </c>
      <c r="L55" s="194">
        <f>_xlfn.XLOOKUP(D55,'[5]Tourism Receipts'!$B$6:$B$271,'[5]Tourism Receipts'!$BK$6:$BK$271)</f>
        <v>0</v>
      </c>
      <c r="M55" s="195" t="e">
        <f t="shared" si="1"/>
        <v>#REF!</v>
      </c>
      <c r="N55">
        <v>0</v>
      </c>
      <c r="O55" s="188">
        <v>9697732</v>
      </c>
      <c r="P55" s="188">
        <v>94.46</v>
      </c>
      <c r="Q55">
        <v>0</v>
      </c>
      <c r="R55">
        <v>0</v>
      </c>
      <c r="S55">
        <v>601.68906335845304</v>
      </c>
      <c r="T55">
        <v>214.091977410514</v>
      </c>
    </row>
    <row r="56" spans="1:20" x14ac:dyDescent="0.2">
      <c r="A56" s="161" t="s">
        <v>154</v>
      </c>
      <c r="B56" s="161">
        <v>180</v>
      </c>
      <c r="C56" s="161" t="s">
        <v>824</v>
      </c>
      <c r="D56" t="str">
        <f>_xlfn.XLOOKUP(B56,'Country Code M49'!$B$2:$B$250,'Country Code M49'!$C$2:$C$250,,0)</f>
        <v>COD</v>
      </c>
      <c r="E56" s="27">
        <f>_xlfn.XLOOKUP(B56,'[3]Food Service Estimates'!$B$3:$B$237,'[3]Food Service Estimates'!$D$3:$D$237)</f>
        <v>27.648074566430626</v>
      </c>
      <c r="F56" s="162">
        <v>2399592.9804652538</v>
      </c>
      <c r="G56" s="160" t="s">
        <v>872</v>
      </c>
      <c r="H56" s="188">
        <f>_xlfn.XLOOKUP(D56,'[1]World Population'!$C$2:$C$267,'[1]World Population'!$BN$2:$BN$267)</f>
        <v>89561404</v>
      </c>
      <c r="I56" s="188">
        <v>98.849998474121094</v>
      </c>
      <c r="J56" s="194">
        <f>_xlfn.XLOOKUP(D56,'[2]GDP 2015 Constant'!$B$6:$B$271,'[2]GDP 2015 Constant'!$BM$6:$BM$271)</f>
        <v>45259706748</v>
      </c>
      <c r="K56" s="193">
        <f t="shared" si="0"/>
        <v>505.34833897869669</v>
      </c>
      <c r="L56" s="194">
        <f>_xlfn.XLOOKUP(D56,'[5]Tourism Receipts'!$B$6:$B$271,'[5]Tourism Receipts'!$BK$6:$BK$271)</f>
        <v>60500000</v>
      </c>
      <c r="M56" s="195">
        <f t="shared" si="1"/>
        <v>1.3367298276335709E-3</v>
      </c>
      <c r="N56">
        <v>1.2220281022500099</v>
      </c>
      <c r="O56" s="188">
        <v>693004</v>
      </c>
      <c r="P56" s="188">
        <v>102.6</v>
      </c>
      <c r="Q56">
        <v>50.415191942282902</v>
      </c>
      <c r="R56">
        <v>58.999334966281701</v>
      </c>
      <c r="S56">
        <v>5858.8015362874803</v>
      </c>
      <c r="T56">
        <v>145.7851</v>
      </c>
    </row>
    <row r="57" spans="1:20" x14ac:dyDescent="0.2">
      <c r="A57" s="161" t="s">
        <v>153</v>
      </c>
      <c r="B57" s="161">
        <v>208</v>
      </c>
      <c r="C57" s="161" t="s">
        <v>101</v>
      </c>
      <c r="D57" t="str">
        <f>_xlfn.XLOOKUP(B57,'Country Code M49'!$B$2:$B$250,'Country Code M49'!$C$2:$C$250,,0)</f>
        <v>DNK</v>
      </c>
      <c r="E57" s="27">
        <f>_xlfn.XLOOKUP(B57,'[3]Food Service Estimates'!$B$3:$B$237,'[3]Food Service Estimates'!$D$3:$D$237)</f>
        <v>20.640389820228037</v>
      </c>
      <c r="F57" s="162">
        <v>119134.2660033742</v>
      </c>
      <c r="G57" s="160" t="s">
        <v>880</v>
      </c>
      <c r="H57" s="188">
        <f>_xlfn.XLOOKUP(D57,'[1]World Population'!$C$2:$C$267,'[1]World Population'!$BN$2:$BN$267)</f>
        <v>5831404</v>
      </c>
      <c r="I57" s="188">
        <v>89.140319824218807</v>
      </c>
      <c r="J57" s="194">
        <f>_xlfn.XLOOKUP(D57,'[2]GDP 2015 Constant'!$B$6:$B$271,'[2]GDP 2015 Constant'!$BM$6:$BM$271)</f>
        <v>327738000000</v>
      </c>
      <c r="K57" s="193">
        <f t="shared" si="0"/>
        <v>56202.245634156032</v>
      </c>
      <c r="L57" s="194">
        <f>_xlfn.XLOOKUP(D57,'[5]Tourism Receipts'!$B$6:$B$271,'[5]Tourism Receipts'!$BK$6:$BK$271)</f>
        <v>9097000000</v>
      </c>
      <c r="M57" s="195">
        <f t="shared" si="1"/>
        <v>2.7756927789880943E-2</v>
      </c>
      <c r="N57">
        <v>1.51935122196429</v>
      </c>
      <c r="O57" s="188">
        <v>216748</v>
      </c>
      <c r="P57" s="188">
        <v>122.46</v>
      </c>
      <c r="Q57">
        <v>143.77881164830299</v>
      </c>
      <c r="R57">
        <v>166.71774637210899</v>
      </c>
      <c r="S57">
        <v>0</v>
      </c>
      <c r="T57">
        <v>42.623037100949098</v>
      </c>
    </row>
    <row r="58" spans="1:20" x14ac:dyDescent="0.2">
      <c r="A58" s="161" t="s">
        <v>154</v>
      </c>
      <c r="B58" s="161">
        <v>262</v>
      </c>
      <c r="C58" s="161" t="s">
        <v>825</v>
      </c>
      <c r="D58" t="str">
        <f>_xlfn.XLOOKUP(B58,'Country Code M49'!$B$2:$B$250,'Country Code M49'!$C$2:$C$250,,0)</f>
        <v>DJI</v>
      </c>
      <c r="E58" s="27">
        <f>_xlfn.XLOOKUP(B58,'[3]Food Service Estimates'!$B$3:$B$237,'[3]Food Service Estimates'!$D$3:$D$237)</f>
        <v>27.648074566430626</v>
      </c>
      <c r="F58" s="162">
        <v>26918.165397876859</v>
      </c>
      <c r="G58" s="160" t="s">
        <v>872</v>
      </c>
      <c r="H58" s="188">
        <f>_xlfn.XLOOKUP(D58,'[1]World Population'!$C$2:$C$267,'[1]World Population'!$BN$2:$BN$267)</f>
        <v>988002</v>
      </c>
      <c r="I58" s="188">
        <v>86.400001525878906</v>
      </c>
      <c r="J58" s="194">
        <f>_xlfn.XLOOKUP(D58,'[2]GDP 2015 Constant'!$B$6:$B$271,'[2]GDP 2015 Constant'!$BM$6:$BM$271)</f>
        <v>3065136606</v>
      </c>
      <c r="K58" s="193">
        <f t="shared" si="0"/>
        <v>3102.3587057516079</v>
      </c>
      <c r="L58" s="194">
        <f>_xlfn.XLOOKUP(D58,'[5]Tourism Receipts'!$B$6:$B$271,'[5]Tourism Receipts'!$BK$6:$BK$271)</f>
        <v>57000000</v>
      </c>
      <c r="M58" s="195">
        <f t="shared" si="1"/>
        <v>1.8596234793719336E-2</v>
      </c>
      <c r="N58">
        <v>11.983163249856201</v>
      </c>
      <c r="O58" s="188">
        <v>20813</v>
      </c>
      <c r="P58" s="188">
        <v>99.96</v>
      </c>
      <c r="Q58">
        <v>77.767244372045795</v>
      </c>
      <c r="R58">
        <v>0</v>
      </c>
      <c r="S58">
        <v>0</v>
      </c>
      <c r="T58">
        <v>95.988</v>
      </c>
    </row>
    <row r="59" spans="1:20" x14ac:dyDescent="0.2">
      <c r="A59" s="161" t="s">
        <v>150</v>
      </c>
      <c r="B59" s="161">
        <v>212</v>
      </c>
      <c r="C59" s="161" t="s">
        <v>720</v>
      </c>
      <c r="D59" t="str">
        <f>_xlfn.XLOOKUP(B59,'Country Code M49'!$B$2:$B$250,'Country Code M49'!$C$2:$C$250,,0)</f>
        <v>DMA</v>
      </c>
      <c r="E59" s="27">
        <f>_xlfn.XLOOKUP(B59,'[3]Food Service Estimates'!$B$3:$B$237,'[3]Food Service Estimates'!$D$3:$D$237)</f>
        <v>27.648074566430626</v>
      </c>
      <c r="F59" s="162">
        <v>1985.131753869719</v>
      </c>
      <c r="G59" s="160" t="s">
        <v>872</v>
      </c>
      <c r="H59" s="188">
        <f>_xlfn.XLOOKUP(D59,'[1]World Population'!$C$2:$C$267,'[1]World Population'!$BN$2:$BN$267)</f>
        <v>71991</v>
      </c>
      <c r="I59" s="188">
        <v>70.368942260742202</v>
      </c>
      <c r="J59" s="194">
        <f>_xlfn.XLOOKUP(D59,'[2]GDP 2015 Constant'!$B$6:$B$271,'[2]GDP 2015 Constant'!$BM$6:$BM$271)</f>
        <v>472745391.10000002</v>
      </c>
      <c r="K59" s="193">
        <f t="shared" si="0"/>
        <v>6566.7290508535789</v>
      </c>
      <c r="L59" s="194">
        <f>_xlfn.XLOOKUP(D59,'[5]Tourism Receipts'!$B$6:$B$271,'[5]Tourism Receipts'!$BK$6:$BK$271)</f>
        <v>111000000</v>
      </c>
      <c r="M59" s="195">
        <f t="shared" si="1"/>
        <v>0.23479869310142068</v>
      </c>
      <c r="N59">
        <v>5.2272889262158202</v>
      </c>
      <c r="O59" s="188">
        <v>1894044</v>
      </c>
      <c r="P59" s="188">
        <v>117.31</v>
      </c>
      <c r="Q59">
        <v>28.504535082217799</v>
      </c>
      <c r="R59">
        <v>23.069282041292301</v>
      </c>
      <c r="S59">
        <v>1615.5146066248501</v>
      </c>
      <c r="T59">
        <v>224.547795487477</v>
      </c>
    </row>
    <row r="60" spans="1:20" x14ac:dyDescent="0.2">
      <c r="A60" s="161" t="s">
        <v>150</v>
      </c>
      <c r="B60" s="161">
        <v>214</v>
      </c>
      <c r="C60" s="161" t="s">
        <v>721</v>
      </c>
      <c r="D60" t="str">
        <f>_xlfn.XLOOKUP(B60,'Country Code M49'!$B$2:$B$250,'Country Code M49'!$C$2:$C$250,,0)</f>
        <v>DOM</v>
      </c>
      <c r="E60" s="27">
        <f>_xlfn.XLOOKUP(B60,'[3]Food Service Estimates'!$B$3:$B$237,'[3]Food Service Estimates'!$D$3:$D$237)</f>
        <v>27.648074566430626</v>
      </c>
      <c r="F60" s="162">
        <v>296912.67276889848</v>
      </c>
      <c r="G60" s="160" t="s">
        <v>872</v>
      </c>
      <c r="H60" s="188">
        <f>_xlfn.XLOOKUP(D60,'[1]World Population'!$C$2:$C$267,'[1]World Population'!$BN$2:$BN$267)</f>
        <v>10847904</v>
      </c>
      <c r="I60" s="188">
        <v>11.080117225646999</v>
      </c>
      <c r="J60" s="194">
        <f>_xlfn.XLOOKUP(D60,'[2]GDP 2015 Constant'!$B$6:$B$271,'[2]GDP 2015 Constant'!$BM$6:$BM$271)</f>
        <v>83287065055</v>
      </c>
      <c r="K60" s="193">
        <f t="shared" si="0"/>
        <v>7677.7103719760053</v>
      </c>
      <c r="L60" s="194">
        <f>_xlfn.XLOOKUP(D60,'[5]Tourism Receipts'!$B$6:$B$271,'[5]Tourism Receipts'!$BK$6:$BK$271)</f>
        <v>7561000000</v>
      </c>
      <c r="M60" s="195">
        <f t="shared" si="1"/>
        <v>9.078240414651384E-2</v>
      </c>
      <c r="N60">
        <v>8.8005311428869195</v>
      </c>
      <c r="O60" s="188">
        <v>6322214</v>
      </c>
      <c r="P60" s="188">
        <v>96.86</v>
      </c>
      <c r="Q60">
        <v>23.757446960268702</v>
      </c>
      <c r="R60">
        <v>23.048367304590698</v>
      </c>
      <c r="S60">
        <v>1376.3936330322399</v>
      </c>
      <c r="T60">
        <v>71.038250926075094</v>
      </c>
    </row>
    <row r="61" spans="1:20" x14ac:dyDescent="0.2">
      <c r="A61" s="161" t="s">
        <v>150</v>
      </c>
      <c r="B61" s="161">
        <v>218</v>
      </c>
      <c r="C61" s="161" t="s">
        <v>722</v>
      </c>
      <c r="D61" t="str">
        <f>_xlfn.XLOOKUP(B61,'Country Code M49'!$B$2:$B$250,'Country Code M49'!$C$2:$C$250,,0)</f>
        <v>ECU</v>
      </c>
      <c r="E61" s="27">
        <f>_xlfn.XLOOKUP(B61,'[3]Food Service Estimates'!$B$3:$B$237,'[3]Food Service Estimates'!$D$3:$D$237)</f>
        <v>27.648074566430626</v>
      </c>
      <c r="F61" s="162">
        <v>480349.35309479578</v>
      </c>
      <c r="G61" s="160" t="s">
        <v>872</v>
      </c>
      <c r="H61" s="188">
        <f>_xlfn.XLOOKUP(D61,'[1]World Population'!$C$2:$C$267,'[1]World Population'!$BN$2:$BN$267)</f>
        <v>17643060</v>
      </c>
      <c r="I61" s="188">
        <v>49.730869293212898</v>
      </c>
      <c r="J61" s="194">
        <f>_xlfn.XLOOKUP(D61,'[2]GDP 2015 Constant'!$B$6:$B$271,'[2]GDP 2015 Constant'!$BM$6:$BM$271)</f>
        <v>93781977160</v>
      </c>
      <c r="K61" s="193">
        <f t="shared" si="0"/>
        <v>5315.5165351135238</v>
      </c>
      <c r="L61" s="194">
        <f>_xlfn.XLOOKUP(D61,'[5]Tourism Receipts'!$B$6:$B$271,'[5]Tourism Receipts'!$BK$6:$BK$271)</f>
        <v>2279000000</v>
      </c>
      <c r="M61" s="195">
        <f t="shared" si="1"/>
        <v>2.4301044497194092E-2</v>
      </c>
      <c r="N61">
        <v>11.0489758951318</v>
      </c>
      <c r="O61" s="188">
        <v>58552675</v>
      </c>
      <c r="P61" s="188">
        <v>99.59</v>
      </c>
      <c r="Q61">
        <v>29.366295578491901</v>
      </c>
      <c r="R61">
        <v>17.500610661205201</v>
      </c>
      <c r="S61">
        <v>1683.2132576920301</v>
      </c>
      <c r="T61">
        <v>102.80215279521801</v>
      </c>
    </row>
    <row r="62" spans="1:20" x14ac:dyDescent="0.2">
      <c r="A62" s="161" t="s">
        <v>876</v>
      </c>
      <c r="B62" s="161">
        <v>818</v>
      </c>
      <c r="C62" s="161" t="s">
        <v>765</v>
      </c>
      <c r="D62" t="str">
        <f>_xlfn.XLOOKUP(B62,'Country Code M49'!$B$2:$B$250,'Country Code M49'!$C$2:$C$250,,0)</f>
        <v>EGY</v>
      </c>
      <c r="E62" s="27">
        <f>_xlfn.XLOOKUP(B62,'[3]Food Service Estimates'!$B$3:$B$237,'[3]Food Service Estimates'!$D$3:$D$237)</f>
        <v>27.648074566430626</v>
      </c>
      <c r="F62" s="162">
        <v>2775537.6743822941</v>
      </c>
      <c r="G62" s="160" t="s">
        <v>872</v>
      </c>
      <c r="H62" s="188">
        <f>_xlfn.XLOOKUP(D62,'[1]World Population'!$C$2:$C$267,'[1]World Population'!$BN$2:$BN$267)</f>
        <v>102334403</v>
      </c>
      <c r="I62" s="188">
        <v>52.747669219970703</v>
      </c>
      <c r="J62" s="194">
        <f>_xlfn.XLOOKUP(D62,'[2]GDP 2015 Constant'!$B$6:$B$271,'[2]GDP 2015 Constant'!$BM$6:$BM$271)</f>
        <v>412246000000</v>
      </c>
      <c r="K62" s="193">
        <f t="shared" si="0"/>
        <v>4028.420432569485</v>
      </c>
      <c r="L62" s="194">
        <f>_xlfn.XLOOKUP(D62,'[5]Tourism Receipts'!$B$6:$B$271,'[5]Tourism Receipts'!$BK$6:$BK$271)</f>
        <v>12704000000</v>
      </c>
      <c r="M62" s="195">
        <f t="shared" si="1"/>
        <v>3.0816551282486671E-2</v>
      </c>
      <c r="N62">
        <v>4.8678163013548899</v>
      </c>
      <c r="O62" s="188">
        <v>1722476</v>
      </c>
      <c r="P62" s="188">
        <v>104.45</v>
      </c>
      <c r="Q62">
        <v>46.699243106970002</v>
      </c>
      <c r="R62">
        <v>29.675840792128099</v>
      </c>
      <c r="S62">
        <v>937.07447224232601</v>
      </c>
      <c r="T62">
        <v>313.04058880308901</v>
      </c>
    </row>
    <row r="63" spans="1:20" x14ac:dyDescent="0.2">
      <c r="A63" s="161" t="s">
        <v>150</v>
      </c>
      <c r="B63" s="161">
        <v>222</v>
      </c>
      <c r="C63" s="161" t="s">
        <v>723</v>
      </c>
      <c r="D63" t="str">
        <f>_xlfn.XLOOKUP(B63,'Country Code M49'!$B$2:$B$250,'Country Code M49'!$C$2:$C$250,,0)</f>
        <v>SLV</v>
      </c>
      <c r="E63" s="27">
        <f>_xlfn.XLOOKUP(B63,'[3]Food Service Estimates'!$B$3:$B$237,'[3]Food Service Estimates'!$D$3:$D$237)</f>
        <v>27.648074566430626</v>
      </c>
      <c r="F63" s="162">
        <v>178429.6140219167</v>
      </c>
      <c r="G63" s="160" t="s">
        <v>872</v>
      </c>
      <c r="H63" s="188">
        <f>_xlfn.XLOOKUP(D63,'[1]World Population'!$C$2:$C$267,'[1]World Population'!$BN$2:$BN$267)</f>
        <v>6486201</v>
      </c>
      <c r="I63" s="188">
        <v>44.668678283691399</v>
      </c>
      <c r="J63" s="194">
        <f>_xlfn.XLOOKUP(D63,'[2]GDP 2015 Constant'!$B$6:$B$271,'[2]GDP 2015 Constant'!$BM$6:$BM$271)</f>
        <v>23560825997</v>
      </c>
      <c r="K63" s="193">
        <f t="shared" si="0"/>
        <v>3632.4538812472815</v>
      </c>
      <c r="L63" s="194">
        <f>_xlfn.XLOOKUP(D63,'[5]Tourism Receipts'!$B$6:$B$271,'[5]Tourism Receipts'!$BK$6:$BK$271)</f>
        <v>1370000000</v>
      </c>
      <c r="M63" s="195">
        <f t="shared" si="1"/>
        <v>5.8147367166772594E-2</v>
      </c>
      <c r="N63">
        <v>2.43787850840374</v>
      </c>
      <c r="O63" s="188">
        <v>377403</v>
      </c>
      <c r="P63" s="188">
        <v>101.37</v>
      </c>
      <c r="Q63">
        <v>44.031146679407499</v>
      </c>
      <c r="R63">
        <v>51.130748168144997</v>
      </c>
      <c r="S63">
        <v>0</v>
      </c>
      <c r="T63">
        <v>50.017290552584697</v>
      </c>
    </row>
    <row r="64" spans="1:20" x14ac:dyDescent="0.2">
      <c r="A64" s="161" t="s">
        <v>154</v>
      </c>
      <c r="B64" s="161">
        <v>226</v>
      </c>
      <c r="C64" s="161" t="s">
        <v>826</v>
      </c>
      <c r="D64" t="str">
        <f>_xlfn.XLOOKUP(B64,'Country Code M49'!$B$2:$B$250,'Country Code M49'!$C$2:$C$250,,0)</f>
        <v>GNQ</v>
      </c>
      <c r="E64" s="27">
        <f>_xlfn.XLOOKUP(B64,'[3]Food Service Estimates'!$B$3:$B$237,'[3]Food Service Estimates'!$D$3:$D$237)</f>
        <v>27.648074566430626</v>
      </c>
      <c r="F64" s="162">
        <v>37490.789112079925</v>
      </c>
      <c r="G64" s="160" t="s">
        <v>872</v>
      </c>
      <c r="H64" s="188">
        <f>_xlfn.XLOOKUP(D64,'[1]World Population'!$C$2:$C$267,'[1]World Population'!$BN$2:$BN$267)</f>
        <v>1402985</v>
      </c>
      <c r="I64" s="188">
        <v>46.599998474121101</v>
      </c>
      <c r="J64" s="194">
        <f>_xlfn.XLOOKUP(D64,'[2]GDP 2015 Constant'!$B$6:$B$271,'[2]GDP 2015 Constant'!$BM$6:$BM$271)</f>
        <v>9625001914</v>
      </c>
      <c r="K64" s="193">
        <f t="shared" si="0"/>
        <v>6860.3740695730885</v>
      </c>
      <c r="L64" s="194">
        <f>_xlfn.XLOOKUP(D64,'[5]Tourism Receipts'!$B$6:$B$271,'[5]Tourism Receipts'!$BK$6:$BK$271)</f>
        <v>0</v>
      </c>
      <c r="M64" s="195">
        <f t="shared" si="1"/>
        <v>0</v>
      </c>
      <c r="N64">
        <v>0</v>
      </c>
      <c r="O64" s="188" t="e">
        <v>#REF!</v>
      </c>
      <c r="P64" s="188">
        <v>103.01</v>
      </c>
      <c r="Q64">
        <v>0</v>
      </c>
      <c r="R64">
        <v>0</v>
      </c>
      <c r="S64">
        <v>96.634579959679201</v>
      </c>
      <c r="T64">
        <v>29.299427551012599</v>
      </c>
    </row>
    <row r="65" spans="1:20" x14ac:dyDescent="0.2">
      <c r="A65" s="161" t="s">
        <v>154</v>
      </c>
      <c r="B65" s="161">
        <v>232</v>
      </c>
      <c r="C65" s="161" t="s">
        <v>827</v>
      </c>
      <c r="D65" t="str">
        <f>_xlfn.XLOOKUP(B65,'Country Code M49'!$B$2:$B$250,'Country Code M49'!$C$2:$C$250,,0)</f>
        <v>ERI</v>
      </c>
      <c r="E65" s="27">
        <f>_xlfn.XLOOKUP(B65,'[3]Food Service Estimates'!$B$3:$B$237,'[3]Food Service Estimates'!$D$3:$D$237)</f>
        <v>27.648074566430626</v>
      </c>
      <c r="F65" s="162">
        <v>96688.081566264533</v>
      </c>
      <c r="G65" s="160" t="s">
        <v>872</v>
      </c>
      <c r="H65" s="188">
        <f>_xlfn.XLOOKUP(D65,'[1]World Population'!$C$2:$C$267,'[1]World Population'!$BN$2:$BN$267)</f>
        <v>0</v>
      </c>
      <c r="I65" s="188">
        <v>41.410957336425803</v>
      </c>
      <c r="J65" s="194" t="e">
        <f>_xlfn.XLOOKUP(D65,'[2]GDP 2015 Constant'!$B$6:$B$271,'[2]GDP 2015 Constant'!$BM$6:$BM$271)</f>
        <v>#REF!</v>
      </c>
      <c r="K65" s="193" t="e">
        <f t="shared" si="0"/>
        <v>#REF!</v>
      </c>
      <c r="L65" s="194">
        <f>_xlfn.XLOOKUP(D65,'[5]Tourism Receipts'!$B$6:$B$271,'[5]Tourism Receipts'!$BK$6:$BK$271)</f>
        <v>0</v>
      </c>
      <c r="M65" s="195" t="e">
        <f t="shared" si="1"/>
        <v>#REF!</v>
      </c>
      <c r="N65">
        <v>2.5111737977642701</v>
      </c>
      <c r="O65" s="188">
        <v>409094</v>
      </c>
      <c r="P65" s="188">
        <v>107.75</v>
      </c>
      <c r="Q65">
        <v>71.871360536091601</v>
      </c>
      <c r="R65">
        <v>74.046586127579104</v>
      </c>
      <c r="S65">
        <v>6732.3674731561096</v>
      </c>
      <c r="T65">
        <v>31.098923976608202</v>
      </c>
    </row>
    <row r="66" spans="1:20" x14ac:dyDescent="0.2">
      <c r="A66" s="161" t="s">
        <v>153</v>
      </c>
      <c r="B66" s="161">
        <v>233</v>
      </c>
      <c r="C66" s="161" t="s">
        <v>102</v>
      </c>
      <c r="D66" t="str">
        <f>_xlfn.XLOOKUP(B66,'Country Code M49'!$B$2:$B$250,'Country Code M49'!$C$2:$C$250,,0)</f>
        <v>EST</v>
      </c>
      <c r="E66" s="27">
        <f>_xlfn.XLOOKUP(B66,'[3]Food Service Estimates'!$B$3:$B$237,'[3]Food Service Estimates'!$D$3:$D$237)</f>
        <v>16.60574299916971</v>
      </c>
      <c r="F66" s="162">
        <v>22012.572919699367</v>
      </c>
      <c r="G66" s="160" t="s">
        <v>880</v>
      </c>
      <c r="H66" s="188">
        <f>_xlfn.XLOOKUP(D66,'[1]World Population'!$C$2:$C$267,'[1]World Population'!$BN$2:$BN$267)</f>
        <v>1329479</v>
      </c>
      <c r="I66" s="188">
        <v>100</v>
      </c>
      <c r="J66" s="194">
        <f>_xlfn.XLOOKUP(D66,'[2]GDP 2015 Constant'!$B$6:$B$271,'[2]GDP 2015 Constant'!$BM$6:$BM$271)</f>
        <v>26279914561</v>
      </c>
      <c r="K66" s="193">
        <f t="shared" si="0"/>
        <v>19767.077600323133</v>
      </c>
      <c r="L66" s="194">
        <f>_xlfn.XLOOKUP(D66,'[5]Tourism Receipts'!$B$6:$B$271,'[5]Tourism Receipts'!$BK$6:$BK$271)</f>
        <v>2326000000</v>
      </c>
      <c r="M66" s="195">
        <f t="shared" si="1"/>
        <v>8.8508659135895285E-2</v>
      </c>
      <c r="N66">
        <v>8.5982213976999908</v>
      </c>
      <c r="O66" s="188">
        <v>879741</v>
      </c>
      <c r="P66" s="188">
        <v>102.88</v>
      </c>
      <c r="Q66">
        <v>44.313881031412002</v>
      </c>
      <c r="R66">
        <v>45.946323426739497</v>
      </c>
      <c r="S66">
        <v>0</v>
      </c>
      <c r="T66">
        <v>67.451395348837195</v>
      </c>
    </row>
    <row r="67" spans="1:20" x14ac:dyDescent="0.2">
      <c r="A67" s="161" t="s">
        <v>154</v>
      </c>
      <c r="B67" s="161">
        <v>748</v>
      </c>
      <c r="C67" s="161" t="s">
        <v>828</v>
      </c>
      <c r="D67" t="str">
        <f>_xlfn.XLOOKUP(B67,'Country Code M49'!$B$2:$B$250,'Country Code M49'!$C$2:$C$250,,0)</f>
        <v>SWZ</v>
      </c>
      <c r="E67" s="27">
        <f>_xlfn.XLOOKUP(B67,'[3]Food Service Estimates'!$B$3:$B$237,'[3]Food Service Estimates'!$D$3:$D$237)</f>
        <v>27.648074566430626</v>
      </c>
      <c r="F67" s="162">
        <v>31742.754409719</v>
      </c>
      <c r="G67" s="160" t="s">
        <v>872</v>
      </c>
      <c r="H67" s="188">
        <f>_xlfn.XLOOKUP(D67,'[1]World Population'!$C$2:$C$267,'[1]World Population'!$BN$2:$BN$267)</f>
        <v>1160164</v>
      </c>
      <c r="I67" s="188">
        <v>11.7355556488037</v>
      </c>
      <c r="J67" s="194">
        <f>_xlfn.XLOOKUP(D67,'[2]GDP 2015 Constant'!$B$6:$B$271,'[2]GDP 2015 Constant'!$BM$6:$BM$271)</f>
        <v>4319634145</v>
      </c>
      <c r="K67" s="193">
        <f t="shared" ref="K67:K130" si="2">J67/H67</f>
        <v>3723.2961417523729</v>
      </c>
      <c r="L67" s="194">
        <f>_xlfn.XLOOKUP(D67,'[5]Tourism Receipts'!$B$6:$B$271,'[5]Tourism Receipts'!$BK$6:$BK$271)</f>
        <v>16399999.619999999</v>
      </c>
      <c r="M67" s="195">
        <f t="shared" ref="M67:M130" si="3">L67/J67</f>
        <v>3.7966177387923207E-3</v>
      </c>
      <c r="N67">
        <v>33.633329059433599</v>
      </c>
      <c r="O67" s="188">
        <v>90022234</v>
      </c>
      <c r="P67" s="188">
        <v>119.21</v>
      </c>
      <c r="Q67">
        <v>22.826699077005301</v>
      </c>
      <c r="R67">
        <v>7.9399766087609001</v>
      </c>
      <c r="S67">
        <v>69.198745402687393</v>
      </c>
      <c r="T67">
        <v>101.86648071355999</v>
      </c>
    </row>
    <row r="68" spans="1:20" x14ac:dyDescent="0.2">
      <c r="A68" s="161" t="s">
        <v>154</v>
      </c>
      <c r="B68" s="161">
        <v>231</v>
      </c>
      <c r="C68" s="161" t="s">
        <v>103</v>
      </c>
      <c r="D68" t="str">
        <f>_xlfn.XLOOKUP(B68,'Country Code M49'!$B$2:$B$250,'Country Code M49'!$C$2:$C$250,,0)</f>
        <v>ETH</v>
      </c>
      <c r="E68" s="27">
        <f>_xlfn.XLOOKUP(B68,'[3]Food Service Estimates'!$B$3:$B$237,'[3]Food Service Estimates'!$D$3:$D$237)</f>
        <v>27.648074566430626</v>
      </c>
      <c r="F68" s="162">
        <v>3098760.2549086083</v>
      </c>
      <c r="G68" s="160" t="s">
        <v>872</v>
      </c>
      <c r="H68" s="188">
        <f>_xlfn.XLOOKUP(D68,'[1]World Population'!$C$2:$C$267,'[1]World Population'!$BN$2:$BN$267)</f>
        <v>114963583</v>
      </c>
      <c r="I68" s="188">
        <v>97.554122924804702</v>
      </c>
      <c r="J68" s="194">
        <f>_xlfn.XLOOKUP(D68,'[2]GDP 2015 Constant'!$B$6:$B$271,'[2]GDP 2015 Constant'!$BM$6:$BM$271)</f>
        <v>95071785238</v>
      </c>
      <c r="K68" s="193">
        <f t="shared" si="2"/>
        <v>826.97305317980567</v>
      </c>
      <c r="L68" s="194">
        <f>_xlfn.XLOOKUP(D68,'[5]Tourism Receipts'!$B$6:$B$271,'[5]Tourism Receipts'!$BK$6:$BK$271)</f>
        <v>3548000000</v>
      </c>
      <c r="M68" s="195">
        <f t="shared" si="3"/>
        <v>3.7319168785124188E-2</v>
      </c>
      <c r="N68">
        <v>17.027503073225301</v>
      </c>
      <c r="O68" s="188">
        <v>28147</v>
      </c>
      <c r="P68" s="188">
        <v>90.38</v>
      </c>
      <c r="Q68">
        <v>54.201255919804403</v>
      </c>
      <c r="R68">
        <v>55.729501128378303</v>
      </c>
      <c r="S68">
        <v>0</v>
      </c>
      <c r="T68">
        <v>35.772327964860899</v>
      </c>
    </row>
    <row r="69" spans="1:20" x14ac:dyDescent="0.2">
      <c r="A69" s="161" t="s">
        <v>153</v>
      </c>
      <c r="B69" s="161">
        <v>234</v>
      </c>
      <c r="C69" s="161" t="s">
        <v>774</v>
      </c>
      <c r="D69" t="str">
        <f>_xlfn.XLOOKUP(B69,'Country Code M49'!$B$2:$B$250,'Country Code M49'!$C$2:$C$250,,0)</f>
        <v>FRO</v>
      </c>
      <c r="E69" s="27">
        <f>_xlfn.XLOOKUP(B69,'[3]Food Service Estimates'!$B$3:$B$237,'[3]Food Service Estimates'!$D$3:$D$237)</f>
        <v>25.5704180040103</v>
      </c>
      <c r="F69" s="162">
        <v>1245.2793567953017</v>
      </c>
      <c r="G69" s="160" t="s">
        <v>877</v>
      </c>
      <c r="H69" s="188">
        <f>_xlfn.XLOOKUP(D69,'[1]World Population'!$C$2:$C$267,'[1]World Population'!$BN$2:$BN$267)</f>
        <v>48865</v>
      </c>
      <c r="I69" s="188">
        <v>100</v>
      </c>
      <c r="J69" s="194" t="e">
        <f>_xlfn.XLOOKUP(D69,'[2]GDP 2015 Constant'!$B$6:$B$271,'[2]GDP 2015 Constant'!$BM$6:$BM$271)</f>
        <v>#REF!</v>
      </c>
      <c r="K69" s="193" t="e">
        <f t="shared" si="2"/>
        <v>#REF!</v>
      </c>
      <c r="L69" s="194">
        <f>_xlfn.XLOOKUP(D69,'[5]Tourism Receipts'!$B$6:$B$271,'[5]Tourism Receipts'!$BK$6:$BK$271)</f>
        <v>0</v>
      </c>
      <c r="M69" s="195" t="e">
        <f t="shared" si="3"/>
        <v>#REF!</v>
      </c>
      <c r="N69">
        <v>11.849117809924</v>
      </c>
      <c r="O69" s="188">
        <v>383257</v>
      </c>
      <c r="P69" s="188">
        <v>114.8</v>
      </c>
      <c r="Q69">
        <v>55.523715109346398</v>
      </c>
      <c r="R69">
        <v>48.131641707421402</v>
      </c>
      <c r="S69">
        <v>0</v>
      </c>
      <c r="T69">
        <v>49.0664477285167</v>
      </c>
    </row>
    <row r="70" spans="1:20" x14ac:dyDescent="0.2">
      <c r="A70" s="161" t="s">
        <v>874</v>
      </c>
      <c r="B70" s="161">
        <v>242</v>
      </c>
      <c r="C70" s="161" t="s">
        <v>752</v>
      </c>
      <c r="D70" t="str">
        <f>_xlfn.XLOOKUP(B70,'Country Code M49'!$B$2:$B$250,'Country Code M49'!$C$2:$C$250,,0)</f>
        <v>FJI</v>
      </c>
      <c r="E70" s="27">
        <f>_xlfn.XLOOKUP(B70,'[3]Food Service Estimates'!$B$3:$B$237,'[3]Food Service Estimates'!$D$3:$D$237)</f>
        <v>27.648074566430626</v>
      </c>
      <c r="F70" s="162">
        <v>24606.786364123258</v>
      </c>
      <c r="G70" s="160" t="s">
        <v>872</v>
      </c>
      <c r="H70" s="188">
        <f>_xlfn.XLOOKUP(D70,'[1]World Population'!$C$2:$C$267,'[1]World Population'!$BN$2:$BN$267)</f>
        <v>896444</v>
      </c>
      <c r="I70" s="188">
        <v>46.925533294677699</v>
      </c>
      <c r="J70" s="194">
        <f>_xlfn.XLOOKUP(D70,'[2]GDP 2015 Constant'!$B$6:$B$271,'[2]GDP 2015 Constant'!$BM$6:$BM$271)</f>
        <v>4431812577</v>
      </c>
      <c r="K70" s="193">
        <f t="shared" si="2"/>
        <v>4943.7695795833315</v>
      </c>
      <c r="L70" s="194">
        <f>_xlfn.XLOOKUP(D70,'[5]Tourism Receipts'!$B$6:$B$271,'[5]Tourism Receipts'!$BK$6:$BK$271)</f>
        <v>1370000000</v>
      </c>
      <c r="M70" s="195">
        <f t="shared" si="3"/>
        <v>0.30912859607600685</v>
      </c>
      <c r="N70">
        <v>2.34936544202258</v>
      </c>
      <c r="O70" s="188">
        <v>800844</v>
      </c>
      <c r="P70" s="188">
        <v>98.55</v>
      </c>
      <c r="Q70">
        <v>39.722360237805603</v>
      </c>
      <c r="R70">
        <v>39.881677034171098</v>
      </c>
      <c r="S70">
        <v>15249.989380230199</v>
      </c>
      <c r="T70">
        <v>18.1928768835954</v>
      </c>
    </row>
    <row r="71" spans="1:20" x14ac:dyDescent="0.2">
      <c r="A71" s="161" t="s">
        <v>153</v>
      </c>
      <c r="B71" s="161">
        <v>246</v>
      </c>
      <c r="C71" s="161" t="s">
        <v>104</v>
      </c>
      <c r="D71" t="str">
        <f>_xlfn.XLOOKUP(B71,'Country Code M49'!$B$2:$B$250,'Country Code M49'!$C$2:$C$250,,0)</f>
        <v>FIN</v>
      </c>
      <c r="E71" s="27">
        <f>_xlfn.XLOOKUP(B71,'[3]Food Service Estimates'!$B$3:$B$237,'[3]Food Service Estimates'!$D$3:$D$237)</f>
        <v>23.304906254164074</v>
      </c>
      <c r="F71" s="162">
        <v>128927.40237928649</v>
      </c>
      <c r="G71" s="160" t="s">
        <v>881</v>
      </c>
      <c r="H71" s="188">
        <f>_xlfn.XLOOKUP(D71,'[1]World Population'!$C$2:$C$267,'[1]World Population'!$BN$2:$BN$267)</f>
        <v>5529543</v>
      </c>
      <c r="I71" s="188">
        <v>7.2413382530212402</v>
      </c>
      <c r="J71" s="194">
        <f>_xlfn.XLOOKUP(D71,'[2]GDP 2015 Constant'!$B$6:$B$271,'[2]GDP 2015 Constant'!$BM$6:$BM$271)</f>
        <v>248883000000</v>
      </c>
      <c r="K71" s="193">
        <f t="shared" si="2"/>
        <v>45009.687057321011</v>
      </c>
      <c r="L71" s="194">
        <f>_xlfn.XLOOKUP(D71,'[5]Tourism Receipts'!$B$6:$B$271,'[5]Tourism Receipts'!$BK$6:$BK$271)</f>
        <v>5762000000</v>
      </c>
      <c r="M71" s="195">
        <f t="shared" si="3"/>
        <v>2.3151440636765067E-2</v>
      </c>
      <c r="N71">
        <v>1.52245926892254</v>
      </c>
      <c r="O71" s="188">
        <v>12819027</v>
      </c>
      <c r="P71" s="188">
        <v>92.19</v>
      </c>
      <c r="Q71">
        <v>32.724285386657499</v>
      </c>
      <c r="R71">
        <v>31.592055414366801</v>
      </c>
      <c r="S71">
        <v>6939.9435249092703</v>
      </c>
      <c r="T71">
        <v>123.055513855179</v>
      </c>
    </row>
    <row r="72" spans="1:20" x14ac:dyDescent="0.2">
      <c r="A72" s="161" t="s">
        <v>147</v>
      </c>
      <c r="B72" s="161">
        <v>250</v>
      </c>
      <c r="C72" s="161" t="s">
        <v>105</v>
      </c>
      <c r="D72" t="str">
        <f>_xlfn.XLOOKUP(B72,'Country Code M49'!$B$2:$B$250,'Country Code M49'!$C$2:$C$250,,0)</f>
        <v>FRA</v>
      </c>
      <c r="E72" s="27">
        <f>_xlfn.XLOOKUP(B72,'[3]Food Service Estimates'!$B$3:$B$237,'[3]Food Service Estimates'!$D$3:$D$237)</f>
        <v>24.483138057587134</v>
      </c>
      <c r="F72" s="162">
        <v>1594579.4367492327</v>
      </c>
      <c r="G72" s="160" t="s">
        <v>881</v>
      </c>
      <c r="H72" s="188">
        <f>_xlfn.XLOOKUP(D72,'[1]World Population'!$C$2:$C$267,'[1]World Population'!$BN$2:$BN$267)</f>
        <v>67379908</v>
      </c>
      <c r="I72" s="188">
        <v>100</v>
      </c>
      <c r="J72" s="194">
        <f>_xlfn.XLOOKUP(D72,'[2]GDP 2015 Constant'!$B$6:$B$271,'[2]GDP 2015 Constant'!$BM$6:$BM$271)</f>
        <v>2411260000000</v>
      </c>
      <c r="K72" s="193">
        <f t="shared" si="2"/>
        <v>35786.038769895618</v>
      </c>
      <c r="L72" s="194">
        <f>_xlfn.XLOOKUP(D72,'[5]Tourism Receipts'!$B$6:$B$271,'[5]Tourism Receipts'!$BK$6:$BK$271)</f>
        <v>72518000000</v>
      </c>
      <c r="M72" s="195">
        <f t="shared" si="3"/>
        <v>3.0074732712357853E-2</v>
      </c>
      <c r="N72">
        <v>0</v>
      </c>
      <c r="O72" s="188">
        <v>106814</v>
      </c>
      <c r="P72" s="188">
        <v>102.96</v>
      </c>
      <c r="Q72">
        <v>0</v>
      </c>
      <c r="R72">
        <v>20.175142725080899</v>
      </c>
      <c r="S72">
        <v>0</v>
      </c>
      <c r="T72">
        <v>80.928838951310894</v>
      </c>
    </row>
    <row r="73" spans="1:20" x14ac:dyDescent="0.2">
      <c r="A73" s="161" t="s">
        <v>878</v>
      </c>
      <c r="B73" s="161">
        <v>258</v>
      </c>
      <c r="C73" s="161" t="s">
        <v>782</v>
      </c>
      <c r="D73" t="str">
        <f>_xlfn.XLOOKUP(B73,'Country Code M49'!$B$2:$B$250,'Country Code M49'!$C$2:$C$250,,0)</f>
        <v>PYF</v>
      </c>
      <c r="E73" s="27">
        <f>_xlfn.XLOOKUP(B73,'[3]Food Service Estimates'!$B$3:$B$237,'[3]Food Service Estimates'!$D$3:$D$237)</f>
        <v>25.5704180040103</v>
      </c>
      <c r="F73" s="162">
        <v>7141.8177485200758</v>
      </c>
      <c r="G73" s="160" t="s">
        <v>877</v>
      </c>
      <c r="H73" s="188">
        <f>_xlfn.XLOOKUP(D73,'[1]World Population'!$C$2:$C$267,'[1]World Population'!$BN$2:$BN$267)</f>
        <v>280904</v>
      </c>
      <c r="I73" s="188">
        <v>99.900001525878906</v>
      </c>
      <c r="J73" s="194">
        <f>_xlfn.XLOOKUP(D73,'[2]GDP 2015 Constant'!$B$6:$B$271,'[2]GDP 2015 Constant'!$BM$6:$BM$271)</f>
        <v>5501937833</v>
      </c>
      <c r="K73" s="193">
        <f t="shared" si="2"/>
        <v>19586.541426964373</v>
      </c>
      <c r="L73" s="194">
        <f>_xlfn.XLOOKUP(D73,'[5]Tourism Receipts'!$B$6:$B$271,'[5]Tourism Receipts'!$BK$6:$BK$271)</f>
        <v>0</v>
      </c>
      <c r="M73" s="195">
        <f t="shared" si="3"/>
        <v>0</v>
      </c>
      <c r="N73">
        <v>5.5544308701413003</v>
      </c>
      <c r="O73" s="188">
        <v>220525</v>
      </c>
      <c r="P73" s="188">
        <v>103.24</v>
      </c>
      <c r="Q73">
        <v>22.737521206296201</v>
      </c>
      <c r="R73">
        <v>51.431073227199597</v>
      </c>
      <c r="S73">
        <v>1167.85159366621</v>
      </c>
      <c r="T73">
        <v>8.6379011914464208</v>
      </c>
    </row>
    <row r="74" spans="1:20" x14ac:dyDescent="0.2">
      <c r="A74" s="161" t="s">
        <v>154</v>
      </c>
      <c r="B74" s="161">
        <v>266</v>
      </c>
      <c r="C74" s="161" t="s">
        <v>829</v>
      </c>
      <c r="D74" t="str">
        <f>_xlfn.XLOOKUP(B74,'Country Code M49'!$B$2:$B$250,'Country Code M49'!$C$2:$C$250,,0)</f>
        <v>GAB</v>
      </c>
      <c r="E74" s="27">
        <f>_xlfn.XLOOKUP(B74,'[3]Food Service Estimates'!$B$3:$B$237,'[3]Food Service Estimates'!$D$3:$D$237)</f>
        <v>27.648074566430626</v>
      </c>
      <c r="F74" s="162">
        <v>60068.206803027177</v>
      </c>
      <c r="G74" s="160" t="s">
        <v>872</v>
      </c>
      <c r="H74" s="188">
        <f>_xlfn.XLOOKUP(D74,'[1]World Population'!$C$2:$C$267,'[1]World Population'!$BN$2:$BN$267)</f>
        <v>2225728</v>
      </c>
      <c r="I74" s="188">
        <v>100</v>
      </c>
      <c r="J74" s="194">
        <f>_xlfn.XLOOKUP(D74,'[2]GDP 2015 Constant'!$B$6:$B$271,'[2]GDP 2015 Constant'!$BM$6:$BM$271)</f>
        <v>15176119329</v>
      </c>
      <c r="K74" s="193">
        <f t="shared" si="2"/>
        <v>6818.4968374392556</v>
      </c>
      <c r="L74" s="194">
        <f>_xlfn.XLOOKUP(D74,'[5]Tourism Receipts'!$B$6:$B$271,'[5]Tourism Receipts'!$BK$6:$BK$271)</f>
        <v>0</v>
      </c>
      <c r="M74" s="195">
        <f t="shared" si="3"/>
        <v>0</v>
      </c>
      <c r="N74">
        <v>20.004045872555501</v>
      </c>
      <c r="O74" s="188">
        <v>904267</v>
      </c>
      <c r="P74" s="188">
        <v>101.23</v>
      </c>
      <c r="Q74">
        <v>41.382682553200603</v>
      </c>
      <c r="R74">
        <v>18.841397968469501</v>
      </c>
      <c r="S74">
        <v>0</v>
      </c>
      <c r="T74">
        <v>238.80079051383399</v>
      </c>
    </row>
    <row r="75" spans="1:20" x14ac:dyDescent="0.2">
      <c r="A75" s="161" t="s">
        <v>154</v>
      </c>
      <c r="B75" s="161">
        <v>270</v>
      </c>
      <c r="C75" s="161" t="s">
        <v>830</v>
      </c>
      <c r="D75" t="str">
        <f>_xlfn.XLOOKUP(B75,'Country Code M49'!$B$2:$B$250,'Country Code M49'!$C$2:$C$250,,0)</f>
        <v>GMB</v>
      </c>
      <c r="E75" s="27">
        <f>_xlfn.XLOOKUP(B75,'[3]Food Service Estimates'!$B$3:$B$237,'[3]Food Service Estimates'!$D$3:$D$237)</f>
        <v>27.648074566430626</v>
      </c>
      <c r="F75" s="162">
        <v>64909.384659609183</v>
      </c>
      <c r="G75" s="160" t="s">
        <v>872</v>
      </c>
      <c r="H75" s="188">
        <f>_xlfn.XLOOKUP(D75,'[1]World Population'!$C$2:$C$267,'[1]World Population'!$BN$2:$BN$267)</f>
        <v>2416664</v>
      </c>
      <c r="I75" s="188">
        <v>93.206710815429702</v>
      </c>
      <c r="J75" s="194">
        <f>_xlfn.XLOOKUP(D75,'[2]GDP 2015 Constant'!$B$6:$B$271,'[2]GDP 2015 Constant'!$BM$6:$BM$271)</f>
        <v>1674141973</v>
      </c>
      <c r="K75" s="193">
        <f t="shared" si="2"/>
        <v>692.74916703356359</v>
      </c>
      <c r="L75" s="194">
        <f>_xlfn.XLOOKUP(D75,'[5]Tourism Receipts'!$B$6:$B$271,'[5]Tourism Receipts'!$BK$6:$BK$271)</f>
        <v>174000000</v>
      </c>
      <c r="M75" s="195">
        <f t="shared" si="3"/>
        <v>0.10393383763516692</v>
      </c>
      <c r="N75">
        <v>6.5045891872234698</v>
      </c>
      <c r="O75" s="188">
        <v>1509450</v>
      </c>
      <c r="P75" s="188">
        <v>115.93</v>
      </c>
      <c r="Q75">
        <v>61.197011618990402</v>
      </c>
      <c r="R75">
        <v>54.818493141138099</v>
      </c>
      <c r="S75">
        <v>2693.9727602251301</v>
      </c>
      <c r="T75">
        <v>65.130270478323197</v>
      </c>
    </row>
    <row r="76" spans="1:20" x14ac:dyDescent="0.2">
      <c r="A76" s="161" t="s">
        <v>148</v>
      </c>
      <c r="B76" s="161">
        <v>268</v>
      </c>
      <c r="C76" s="161" t="s">
        <v>106</v>
      </c>
      <c r="D76" t="str">
        <f>_xlfn.XLOOKUP(B76,'Country Code M49'!$B$2:$B$250,'Country Code M49'!$C$2:$C$250,,0)</f>
        <v>GEO</v>
      </c>
      <c r="E76" s="27">
        <f>_xlfn.XLOOKUP(B76,'[3]Food Service Estimates'!$B$3:$B$237,'[3]Food Service Estimates'!$D$3:$D$237)</f>
        <v>27.648074566430626</v>
      </c>
      <c r="F76" s="162">
        <v>110503.82442710992</v>
      </c>
      <c r="G76" s="160" t="s">
        <v>872</v>
      </c>
      <c r="H76" s="188">
        <f>_xlfn.XLOOKUP(D76,'[1]World Population'!$C$2:$C$267,'[1]World Population'!$BN$2:$BN$267)</f>
        <v>3722716</v>
      </c>
      <c r="I76" s="188">
        <v>100</v>
      </c>
      <c r="J76" s="194">
        <f>_xlfn.XLOOKUP(D76,'[2]GDP 2015 Constant'!$B$6:$B$271,'[2]GDP 2015 Constant'!$BM$6:$BM$271)</f>
        <v>16557390869</v>
      </c>
      <c r="K76" s="193">
        <f t="shared" si="2"/>
        <v>4447.6642507781953</v>
      </c>
      <c r="L76" s="194">
        <f>_xlfn.XLOOKUP(D76,'[5]Tourism Receipts'!$B$6:$B$271,'[5]Tourism Receipts'!$BK$6:$BK$271)</f>
        <v>3518000000</v>
      </c>
      <c r="M76" s="195">
        <f t="shared" si="3"/>
        <v>0.2124730899834385</v>
      </c>
      <c r="N76">
        <v>0.77898858450775199</v>
      </c>
      <c r="O76" s="188">
        <v>18750282</v>
      </c>
      <c r="P76" s="188">
        <v>94.74</v>
      </c>
      <c r="Q76">
        <v>41.133360650383302</v>
      </c>
      <c r="R76">
        <v>46.624238847222401</v>
      </c>
      <c r="S76">
        <v>7035.4829747167596</v>
      </c>
      <c r="T76">
        <v>238.01731875554501</v>
      </c>
    </row>
    <row r="77" spans="1:20" x14ac:dyDescent="0.2">
      <c r="A77" s="161" t="s">
        <v>147</v>
      </c>
      <c r="B77" s="161">
        <v>276</v>
      </c>
      <c r="C77" s="161" t="s">
        <v>107</v>
      </c>
      <c r="D77" t="str">
        <f>_xlfn.XLOOKUP(B77,'Country Code M49'!$B$2:$B$250,'Country Code M49'!$C$2:$C$250,,0)</f>
        <v>DEU</v>
      </c>
      <c r="E77" s="27">
        <f>_xlfn.XLOOKUP(B77,'[3]Food Service Estimates'!$B$3:$B$237,'[3]Food Service Estimates'!$D$3:$D$237)</f>
        <v>20.575845383740386</v>
      </c>
      <c r="F77" s="162">
        <v>1718432.8789138459</v>
      </c>
      <c r="G77" s="160" t="s">
        <v>880</v>
      </c>
      <c r="H77" s="188">
        <f>_xlfn.XLOOKUP(D77,'[1]World Population'!$C$2:$C$267,'[1]World Population'!$BN$2:$BN$267)</f>
        <v>83160871</v>
      </c>
      <c r="I77" s="188">
        <v>99.779296875</v>
      </c>
      <c r="J77" s="194">
        <f>_xlfn.XLOOKUP(D77,'[2]GDP 2015 Constant'!$B$6:$B$271,'[2]GDP 2015 Constant'!$BM$6:$BM$271)</f>
        <v>3435820000000</v>
      </c>
      <c r="K77" s="193">
        <f t="shared" si="2"/>
        <v>41315.344087726065</v>
      </c>
      <c r="L77" s="194">
        <f>_xlfn.XLOOKUP(D77,'[5]Tourism Receipts'!$B$6:$B$271,'[5]Tourism Receipts'!$BK$6:$BK$271)</f>
        <v>59446000000</v>
      </c>
      <c r="M77" s="195">
        <f t="shared" si="3"/>
        <v>1.7301837698133198E-2</v>
      </c>
      <c r="N77">
        <v>17.323229997398801</v>
      </c>
      <c r="O77" s="188">
        <v>13252922</v>
      </c>
      <c r="P77" s="188">
        <v>115.64</v>
      </c>
      <c r="Q77">
        <v>34.503622462809801</v>
      </c>
      <c r="R77">
        <v>37.449599421384399</v>
      </c>
      <c r="S77">
        <v>351.30147573066603</v>
      </c>
      <c r="T77">
        <v>136.564564261008</v>
      </c>
    </row>
    <row r="78" spans="1:20" x14ac:dyDescent="0.2">
      <c r="A78" s="161" t="s">
        <v>154</v>
      </c>
      <c r="B78" s="161">
        <v>288</v>
      </c>
      <c r="C78" s="161" t="s">
        <v>108</v>
      </c>
      <c r="D78" t="str">
        <f>_xlfn.XLOOKUP(B78,'Country Code M49'!$B$2:$B$250,'Country Code M49'!$C$2:$C$250,,0)</f>
        <v>GHA</v>
      </c>
      <c r="E78" s="27">
        <f>_xlfn.XLOOKUP(B78,'[3]Food Service Estimates'!$B$3:$B$237,'[3]Food Service Estimates'!$D$3:$D$237)</f>
        <v>27.648074566430626</v>
      </c>
      <c r="F78" s="162">
        <v>840996.36735423014</v>
      </c>
      <c r="G78" s="160" t="s">
        <v>872</v>
      </c>
      <c r="H78" s="188">
        <f>_xlfn.XLOOKUP(D78,'[1]World Population'!$C$2:$C$267,'[1]World Population'!$BN$2:$BN$267)</f>
        <v>31072945</v>
      </c>
      <c r="I78" s="188">
        <v>60.400001525878899</v>
      </c>
      <c r="J78" s="194">
        <f>_xlfn.XLOOKUP(D78,'[2]GDP 2015 Constant'!$B$6:$B$271,'[2]GDP 2015 Constant'!$BM$6:$BM$271)</f>
        <v>62786746874</v>
      </c>
      <c r="K78" s="193">
        <f t="shared" si="2"/>
        <v>2020.6242721441433</v>
      </c>
      <c r="L78" s="194">
        <f>_xlfn.XLOOKUP(D78,'[5]Tourism Receipts'!$B$6:$B$271,'[5]Tourism Receipts'!$BK$6:$BK$271)</f>
        <v>996000000</v>
      </c>
      <c r="M78" s="195">
        <f t="shared" si="3"/>
        <v>1.5863220338501783E-2</v>
      </c>
      <c r="N78">
        <v>0</v>
      </c>
      <c r="O78" s="188">
        <v>0</v>
      </c>
      <c r="P78" s="188">
        <v>0</v>
      </c>
      <c r="Q78">
        <v>0</v>
      </c>
      <c r="R78">
        <v>0</v>
      </c>
      <c r="S78">
        <v>5692.9371997865101</v>
      </c>
      <c r="T78">
        <v>3369.1</v>
      </c>
    </row>
    <row r="79" spans="1:20" x14ac:dyDescent="0.2">
      <c r="A79" s="161" t="s">
        <v>155</v>
      </c>
      <c r="B79" s="161">
        <v>292</v>
      </c>
      <c r="C79" s="161" t="s">
        <v>806</v>
      </c>
      <c r="D79" t="str">
        <f>_xlfn.XLOOKUP(B79,'Country Code M49'!$B$2:$B$250,'Country Code M49'!$C$2:$C$250,,0)</f>
        <v>GIB</v>
      </c>
      <c r="E79" s="27">
        <f>_xlfn.XLOOKUP(B79,'[3]Food Service Estimates'!$B$3:$B$237,'[3]Food Service Estimates'!$D$3:$D$237)</f>
        <v>25.5704180040103</v>
      </c>
      <c r="F79" s="162">
        <v>861.72308673514704</v>
      </c>
      <c r="G79" s="160" t="s">
        <v>877</v>
      </c>
      <c r="H79" s="188">
        <f>_xlfn.XLOOKUP(D79,'[1]World Population'!$C$2:$C$267,'[1]World Population'!$BN$2:$BN$267)</f>
        <v>33691</v>
      </c>
      <c r="I79" s="188">
        <v>100</v>
      </c>
      <c r="J79" s="194" t="e">
        <f>_xlfn.XLOOKUP(D79,'[2]GDP 2015 Constant'!$B$6:$B$271,'[2]GDP 2015 Constant'!$BM$6:$BM$271)</f>
        <v>#REF!</v>
      </c>
      <c r="K79" s="193" t="e">
        <f t="shared" si="2"/>
        <v>#REF!</v>
      </c>
      <c r="L79" s="194">
        <f>_xlfn.XLOOKUP(D79,'[5]Tourism Receipts'!$B$6:$B$271,'[5]Tourism Receipts'!$BK$6:$BK$271)</f>
        <v>0</v>
      </c>
      <c r="M79" s="195" t="e">
        <f t="shared" si="3"/>
        <v>#REF!</v>
      </c>
      <c r="N79">
        <v>3.77962501702793</v>
      </c>
      <c r="O79" s="188">
        <v>2170608</v>
      </c>
      <c r="P79" s="188">
        <v>99.26</v>
      </c>
      <c r="Q79">
        <v>41.157120456381897</v>
      </c>
      <c r="R79">
        <v>40.132156109169998</v>
      </c>
      <c r="S79">
        <v>5062.6064215523202</v>
      </c>
      <c r="T79">
        <v>83.014398758727694</v>
      </c>
    </row>
    <row r="80" spans="1:20" x14ac:dyDescent="0.2">
      <c r="A80" s="161" t="s">
        <v>155</v>
      </c>
      <c r="B80" s="161">
        <v>300</v>
      </c>
      <c r="C80" s="161" t="s">
        <v>109</v>
      </c>
      <c r="D80" t="str">
        <f>_xlfn.XLOOKUP(B80,'Country Code M49'!$B$2:$B$250,'Country Code M49'!$C$2:$C$250,,0)</f>
        <v>GRC</v>
      </c>
      <c r="E80" s="27">
        <f>_xlfn.XLOOKUP(B80,'[3]Food Service Estimates'!$B$3:$B$237,'[3]Food Service Estimates'!$D$3:$D$237)</f>
        <v>25.5704180040103</v>
      </c>
      <c r="F80" s="162">
        <v>267811.77296500187</v>
      </c>
      <c r="G80" s="160" t="s">
        <v>877</v>
      </c>
      <c r="H80" s="188">
        <f>_xlfn.XLOOKUP(D80,'[1]World Population'!$C$2:$C$267,'[1]World Population'!$BN$2:$BN$267)</f>
        <v>10700556</v>
      </c>
      <c r="I80" s="188">
        <v>53.997432708740199</v>
      </c>
      <c r="J80" s="194">
        <f>_xlfn.XLOOKUP(D80,'[2]GDP 2015 Constant'!$B$6:$B$271,'[2]GDP 2015 Constant'!$BM$6:$BM$271)</f>
        <v>185375000000</v>
      </c>
      <c r="K80" s="193">
        <f t="shared" si="2"/>
        <v>17323.866161720944</v>
      </c>
      <c r="L80" s="194">
        <f>_xlfn.XLOOKUP(D80,'[5]Tourism Receipts'!$B$6:$B$271,'[5]Tourism Receipts'!$BK$6:$BK$271)</f>
        <v>21594000000</v>
      </c>
      <c r="M80" s="195">
        <f t="shared" si="3"/>
        <v>0.1164881995954147</v>
      </c>
      <c r="N80">
        <v>18.178904779073001</v>
      </c>
      <c r="O80" s="188">
        <v>7169</v>
      </c>
      <c r="P80" s="188">
        <v>0</v>
      </c>
      <c r="Q80">
        <v>45.322111722057798</v>
      </c>
      <c r="R80">
        <v>41.083804029964298</v>
      </c>
      <c r="S80">
        <v>0</v>
      </c>
      <c r="T80">
        <v>0.13732976001949099</v>
      </c>
    </row>
    <row r="81" spans="1:20" x14ac:dyDescent="0.2">
      <c r="A81" s="161" t="s">
        <v>151</v>
      </c>
      <c r="B81" s="161">
        <v>304</v>
      </c>
      <c r="C81" s="161" t="s">
        <v>772</v>
      </c>
      <c r="D81" t="str">
        <f>_xlfn.XLOOKUP(B81,'Country Code M49'!$B$2:$B$250,'Country Code M49'!$C$2:$C$250,,0)</f>
        <v>GRL</v>
      </c>
      <c r="E81" s="27">
        <f>_xlfn.XLOOKUP(B81,'[3]Food Service Estimates'!$B$3:$B$237,'[3]Food Service Estimates'!$D$3:$D$237)</f>
        <v>25.5704180040103</v>
      </c>
      <c r="F81" s="162">
        <v>1449.8427008273839</v>
      </c>
      <c r="G81" s="160" t="s">
        <v>877</v>
      </c>
      <c r="H81" s="188">
        <f>_xlfn.XLOOKUP(D81,'[1]World Population'!$C$2:$C$267,'[1]World Population'!$BN$2:$BN$267)</f>
        <v>56367</v>
      </c>
      <c r="I81" s="188">
        <v>26.200885772705099</v>
      </c>
      <c r="J81" s="194">
        <f>_xlfn.XLOOKUP(D81,'[2]GDP 2015 Constant'!$B$6:$B$271,'[2]GDP 2015 Constant'!$BM$6:$BM$271)</f>
        <v>2703236956</v>
      </c>
      <c r="K81" s="193">
        <f t="shared" si="2"/>
        <v>47957.793673603352</v>
      </c>
      <c r="L81" s="194">
        <f>_xlfn.XLOOKUP(D81,'[5]Tourism Receipts'!$B$6:$B$271,'[5]Tourism Receipts'!$BK$6:$BK$271)</f>
        <v>0</v>
      </c>
      <c r="M81" s="195">
        <f t="shared" si="3"/>
        <v>0</v>
      </c>
      <c r="N81">
        <v>4.6795120268830797</v>
      </c>
      <c r="O81" s="188">
        <v>71408</v>
      </c>
      <c r="P81" s="188">
        <v>91.56</v>
      </c>
      <c r="Q81">
        <v>0</v>
      </c>
      <c r="R81">
        <v>0</v>
      </c>
      <c r="S81">
        <v>0</v>
      </c>
      <c r="T81">
        <v>330.93823529411799</v>
      </c>
    </row>
    <row r="82" spans="1:20" x14ac:dyDescent="0.2">
      <c r="A82" s="161" t="s">
        <v>150</v>
      </c>
      <c r="B82" s="161">
        <v>308</v>
      </c>
      <c r="C82" s="161" t="s">
        <v>726</v>
      </c>
      <c r="D82" t="str">
        <f>_xlfn.XLOOKUP(B82,'Country Code M49'!$B$2:$B$250,'Country Code M49'!$C$2:$C$250,,0)</f>
        <v>GRD</v>
      </c>
      <c r="E82" s="27">
        <f>_xlfn.XLOOKUP(B82,'[3]Food Service Estimates'!$B$3:$B$237,'[3]Food Service Estimates'!$D$3:$D$237)</f>
        <v>27.648074566430626</v>
      </c>
      <c r="F82" s="162">
        <v>3096.58435144023</v>
      </c>
      <c r="G82" s="160" t="s">
        <v>872</v>
      </c>
      <c r="H82" s="188">
        <f>_xlfn.XLOOKUP(D82,'[1]World Population'!$C$2:$C$267,'[1]World Population'!$BN$2:$BN$267)</f>
        <v>112519</v>
      </c>
      <c r="I82" s="188">
        <v>100</v>
      </c>
      <c r="J82" s="194">
        <f>_xlfn.XLOOKUP(D82,'[2]GDP 2015 Constant'!$B$6:$B$271,'[2]GDP 2015 Constant'!$BM$6:$BM$271)</f>
        <v>978815313.89999998</v>
      </c>
      <c r="K82" s="193">
        <f t="shared" si="2"/>
        <v>8699.1113847439101</v>
      </c>
      <c r="L82" s="194">
        <f>_xlfn.XLOOKUP(D82,'[5]Tourism Receipts'!$B$6:$B$271,'[5]Tourism Receipts'!$BK$6:$BK$271)</f>
        <v>548000000</v>
      </c>
      <c r="M82" s="195">
        <f t="shared" si="3"/>
        <v>0.55986046828031755</v>
      </c>
      <c r="N82">
        <v>0</v>
      </c>
      <c r="O82" s="188">
        <v>8544</v>
      </c>
      <c r="P82" s="188">
        <v>0</v>
      </c>
      <c r="Q82">
        <v>53.6633663366337</v>
      </c>
      <c r="R82">
        <v>22.0458830923947</v>
      </c>
      <c r="S82">
        <v>0</v>
      </c>
      <c r="T82">
        <v>312.56111111111102</v>
      </c>
    </row>
    <row r="83" spans="1:20" x14ac:dyDescent="0.2">
      <c r="A83" s="161" t="s">
        <v>875</v>
      </c>
      <c r="B83" s="161">
        <v>316</v>
      </c>
      <c r="C83" s="161" t="s">
        <v>757</v>
      </c>
      <c r="D83" t="str">
        <f>_xlfn.XLOOKUP(B83,'Country Code M49'!$B$2:$B$250,'Country Code M49'!$C$2:$C$250,,0)</f>
        <v>GUM</v>
      </c>
      <c r="E83" s="27">
        <f>_xlfn.XLOOKUP(B83,'[3]Food Service Estimates'!$B$3:$B$237,'[3]Food Service Estimates'!$D$3:$D$237)</f>
        <v>25.5704180040103</v>
      </c>
      <c r="F83" s="162">
        <v>4277.9309320709226</v>
      </c>
      <c r="G83" s="160" t="s">
        <v>877</v>
      </c>
      <c r="H83" s="188">
        <f>_xlfn.XLOOKUP(D83,'[1]World Population'!$C$2:$C$267,'[1]World Population'!$BN$2:$BN$267)</f>
        <v>168783</v>
      </c>
      <c r="I83" s="188">
        <v>100</v>
      </c>
      <c r="J83" s="194">
        <f>_xlfn.XLOOKUP(D83,'[2]GDP 2015 Constant'!$B$6:$B$271,'[2]GDP 2015 Constant'!$BM$6:$BM$271)</f>
        <v>5259729936</v>
      </c>
      <c r="K83" s="193">
        <f t="shared" si="2"/>
        <v>31162.675956701802</v>
      </c>
      <c r="L83" s="194">
        <f>_xlfn.XLOOKUP(D83,'[5]Tourism Receipts'!$B$6:$B$271,'[5]Tourism Receipts'!$BK$6:$BK$271)</f>
        <v>0</v>
      </c>
      <c r="M83" s="195">
        <f t="shared" si="3"/>
        <v>0</v>
      </c>
      <c r="N83">
        <v>9.4342141738807292</v>
      </c>
      <c r="O83" s="188">
        <v>8119648</v>
      </c>
      <c r="P83" s="188">
        <v>106.62</v>
      </c>
      <c r="Q83">
        <v>28.889460626593301</v>
      </c>
      <c r="R83">
        <v>17.649123759796002</v>
      </c>
      <c r="S83">
        <v>601.18973108878697</v>
      </c>
      <c r="T83">
        <v>157.31927025009301</v>
      </c>
    </row>
    <row r="84" spans="1:20" x14ac:dyDescent="0.2">
      <c r="A84" s="161" t="s">
        <v>150</v>
      </c>
      <c r="B84" s="161">
        <v>320</v>
      </c>
      <c r="C84" s="161" t="s">
        <v>728</v>
      </c>
      <c r="D84" t="str">
        <f>_xlfn.XLOOKUP(B84,'Country Code M49'!$B$2:$B$250,'Country Code M49'!$C$2:$C$250,,0)</f>
        <v>GTM</v>
      </c>
      <c r="E84" s="27">
        <f>_xlfn.XLOOKUP(B84,'[3]Food Service Estimates'!$B$3:$B$237,'[3]Food Service Estimates'!$D$3:$D$237)</f>
        <v>27.648074566430626</v>
      </c>
      <c r="F84" s="162">
        <v>486094.62298970006</v>
      </c>
      <c r="G84" s="160" t="s">
        <v>872</v>
      </c>
      <c r="H84" s="188">
        <f>_xlfn.XLOOKUP(D84,'[1]World Population'!$C$2:$C$267,'[1]World Population'!$BN$2:$BN$267)</f>
        <v>16858333</v>
      </c>
      <c r="I84" s="188">
        <v>99.699996948242202</v>
      </c>
      <c r="J84" s="194">
        <f>_xlfn.XLOOKUP(D84,'[2]GDP 2015 Constant'!$B$6:$B$271,'[2]GDP 2015 Constant'!$BM$6:$BM$271)</f>
        <v>69560945138</v>
      </c>
      <c r="K84" s="193">
        <f t="shared" si="2"/>
        <v>4126.2054283777643</v>
      </c>
      <c r="L84" s="194">
        <f>_xlfn.XLOOKUP(D84,'[5]Tourism Receipts'!$B$6:$B$271,'[5]Tourism Receipts'!$BK$6:$BK$271)</f>
        <v>1235099976</v>
      </c>
      <c r="M84" s="195">
        <f t="shared" si="3"/>
        <v>1.7755652594278585E-2</v>
      </c>
      <c r="N84">
        <v>26.427276700183299</v>
      </c>
      <c r="O84" s="188">
        <v>8290075</v>
      </c>
      <c r="P84" s="188">
        <v>135.81</v>
      </c>
      <c r="Q84">
        <v>48.777016010834899</v>
      </c>
      <c r="R84">
        <v>30.119030414687099</v>
      </c>
      <c r="S84">
        <v>0</v>
      </c>
      <c r="T84">
        <v>53.446166368223999</v>
      </c>
    </row>
    <row r="85" spans="1:20" x14ac:dyDescent="0.2">
      <c r="A85" s="161" t="s">
        <v>154</v>
      </c>
      <c r="B85" s="161">
        <v>324</v>
      </c>
      <c r="C85" s="161" t="s">
        <v>831</v>
      </c>
      <c r="D85" t="str">
        <f>_xlfn.XLOOKUP(B85,'Country Code M49'!$B$2:$B$250,'Country Code M49'!$C$2:$C$250,,0)</f>
        <v>GIN</v>
      </c>
      <c r="E85" s="27">
        <f>_xlfn.XLOOKUP(B85,'[3]Food Service Estimates'!$B$3:$B$237,'[3]Food Service Estimates'!$D$3:$D$237)</f>
        <v>27.648074566430626</v>
      </c>
      <c r="F85" s="162">
        <v>353099.08990279882</v>
      </c>
      <c r="G85" s="160" t="s">
        <v>872</v>
      </c>
      <c r="H85" s="188">
        <f>_xlfn.XLOOKUP(D85,'[1]World Population'!$C$2:$C$267,'[1]World Population'!$BN$2:$BN$267)</f>
        <v>13132792</v>
      </c>
      <c r="I85" s="188">
        <v>100</v>
      </c>
      <c r="J85" s="194">
        <f>_xlfn.XLOOKUP(D85,'[2]GDP 2015 Constant'!$B$6:$B$271,'[2]GDP 2015 Constant'!$BM$6:$BM$271)</f>
        <v>12635273566</v>
      </c>
      <c r="K85" s="193">
        <f t="shared" si="2"/>
        <v>962.11632423630863</v>
      </c>
      <c r="L85" s="194">
        <f>_xlfn.XLOOKUP(D85,'[5]Tourism Receipts'!$B$6:$B$271,'[5]Tourism Receipts'!$BK$6:$BK$271)</f>
        <v>4699999.8090000004</v>
      </c>
      <c r="M85" s="195">
        <f t="shared" si="3"/>
        <v>3.7197451914671115E-4</v>
      </c>
      <c r="N85">
        <v>30.3965794546532</v>
      </c>
      <c r="O85" s="188">
        <v>1098222</v>
      </c>
      <c r="P85" s="188">
        <v>105.1</v>
      </c>
      <c r="Q85">
        <v>30.7420205283575</v>
      </c>
      <c r="R85">
        <v>20.287949662122099</v>
      </c>
      <c r="S85">
        <v>0</v>
      </c>
      <c r="T85">
        <v>69.985704125177804</v>
      </c>
    </row>
    <row r="86" spans="1:20" x14ac:dyDescent="0.2">
      <c r="A86" s="161" t="s">
        <v>154</v>
      </c>
      <c r="B86" s="161">
        <v>624</v>
      </c>
      <c r="C86" s="161" t="s">
        <v>832</v>
      </c>
      <c r="D86" t="str">
        <f>_xlfn.XLOOKUP(B86,'Country Code M49'!$B$2:$B$250,'Country Code M49'!$C$2:$C$250,,0)</f>
        <v>GNB</v>
      </c>
      <c r="E86" s="27">
        <f>_xlfn.XLOOKUP(B86,'[3]Food Service Estimates'!$B$3:$B$237,'[3]Food Service Estimates'!$D$3:$D$237)</f>
        <v>27.648074566430626</v>
      </c>
      <c r="F86" s="162">
        <v>53109.186434656593</v>
      </c>
      <c r="G86" s="160" t="s">
        <v>872</v>
      </c>
      <c r="H86" s="188">
        <f>_xlfn.XLOOKUP(D86,'[1]World Population'!$C$2:$C$267,'[1]World Population'!$BN$2:$BN$267)</f>
        <v>1967998</v>
      </c>
      <c r="I86" s="188">
        <v>69.707351684570298</v>
      </c>
      <c r="J86" s="194">
        <f>_xlfn.XLOOKUP(D86,'[2]GDP 2015 Constant'!$B$6:$B$271,'[2]GDP 2015 Constant'!$BM$6:$BM$271)</f>
        <v>1218759824</v>
      </c>
      <c r="K86" s="193">
        <f t="shared" si="2"/>
        <v>619.28915781418482</v>
      </c>
      <c r="L86" s="194">
        <f>_xlfn.XLOOKUP(D86,'[5]Tourism Receipts'!$B$6:$B$271,'[5]Tourism Receipts'!$BK$6:$BK$271)</f>
        <v>20000000</v>
      </c>
      <c r="M86" s="195">
        <f t="shared" si="3"/>
        <v>1.6410124132874272E-2</v>
      </c>
      <c r="N86">
        <v>17.595336734249301</v>
      </c>
      <c r="O86" s="188">
        <v>575871</v>
      </c>
      <c r="P86" s="188">
        <v>113.75</v>
      </c>
      <c r="Q86">
        <v>0</v>
      </c>
      <c r="R86">
        <v>0</v>
      </c>
      <c r="S86">
        <v>0</v>
      </c>
      <c r="T86">
        <v>3.9957277114554199</v>
      </c>
    </row>
    <row r="87" spans="1:20" x14ac:dyDescent="0.2">
      <c r="A87" s="161" t="s">
        <v>150</v>
      </c>
      <c r="B87" s="161">
        <v>328</v>
      </c>
      <c r="C87" s="161" t="s">
        <v>729</v>
      </c>
      <c r="D87" t="str">
        <f>_xlfn.XLOOKUP(B87,'Country Code M49'!$B$2:$B$250,'Country Code M49'!$C$2:$C$250,,0)</f>
        <v>GUY</v>
      </c>
      <c r="E87" s="27">
        <f>_xlfn.XLOOKUP(B87,'[3]Food Service Estimates'!$B$3:$B$237,'[3]Food Service Estimates'!$D$3:$D$237)</f>
        <v>27.648074566430626</v>
      </c>
      <c r="F87" s="162">
        <v>21642.912770601895</v>
      </c>
      <c r="G87" s="160" t="s">
        <v>872</v>
      </c>
      <c r="H87" s="188">
        <f>_xlfn.XLOOKUP(D87,'[1]World Population'!$C$2:$C$267,'[1]World Population'!$BN$2:$BN$267)</f>
        <v>786559</v>
      </c>
      <c r="I87" s="188">
        <v>88.907379150390597</v>
      </c>
      <c r="J87" s="194">
        <f>_xlfn.XLOOKUP(D87,'[2]GDP 2015 Constant'!$B$6:$B$271,'[2]GDP 2015 Constant'!$BM$6:$BM$271)</f>
        <v>7275908034</v>
      </c>
      <c r="K87" s="193">
        <f t="shared" si="2"/>
        <v>9250.3016734917528</v>
      </c>
      <c r="L87" s="194">
        <f>_xlfn.XLOOKUP(D87,'[5]Tourism Receipts'!$B$6:$B$271,'[5]Tourism Receipts'!$BK$6:$BK$271)</f>
        <v>0</v>
      </c>
      <c r="M87" s="195">
        <f t="shared" si="3"/>
        <v>0</v>
      </c>
      <c r="N87">
        <v>19.4861983599491</v>
      </c>
      <c r="O87" s="188">
        <v>4893055</v>
      </c>
      <c r="P87" s="188">
        <v>78.2</v>
      </c>
      <c r="Q87">
        <v>36.4481561015822</v>
      </c>
      <c r="R87">
        <v>11.714118839635001</v>
      </c>
      <c r="S87">
        <v>39.055808760009398</v>
      </c>
      <c r="T87">
        <v>413.73486937590701</v>
      </c>
    </row>
    <row r="88" spans="1:20" x14ac:dyDescent="0.2">
      <c r="A88" s="161" t="s">
        <v>150</v>
      </c>
      <c r="B88" s="161">
        <v>332</v>
      </c>
      <c r="C88" s="161" t="s">
        <v>730</v>
      </c>
      <c r="D88" t="str">
        <f>_xlfn.XLOOKUP(B88,'Country Code M49'!$B$2:$B$250,'Country Code M49'!$C$2:$C$250,,0)</f>
        <v>HTI</v>
      </c>
      <c r="E88" s="27">
        <f>_xlfn.XLOOKUP(B88,'[3]Food Service Estimates'!$B$3:$B$237,'[3]Food Service Estimates'!$D$3:$D$237)</f>
        <v>27.648074566430626</v>
      </c>
      <c r="F88" s="162">
        <v>311403.02864916477</v>
      </c>
      <c r="G88" s="160" t="s">
        <v>872</v>
      </c>
      <c r="H88" s="188">
        <f>_xlfn.XLOOKUP(D88,'[1]World Population'!$C$2:$C$267,'[1]World Population'!$BN$2:$BN$267)</f>
        <v>11402533</v>
      </c>
      <c r="I88" s="188">
        <v>100</v>
      </c>
      <c r="J88" s="194">
        <f>_xlfn.XLOOKUP(D88,'[2]GDP 2015 Constant'!$B$6:$B$271,'[2]GDP 2015 Constant'!$BM$6:$BM$271)</f>
        <v>14956795315</v>
      </c>
      <c r="K88" s="193">
        <f t="shared" si="2"/>
        <v>1311.7081366920841</v>
      </c>
      <c r="L88" s="194">
        <f>_xlfn.XLOOKUP(D88,'[5]Tourism Receipts'!$B$6:$B$271,'[5]Tourism Receipts'!$BK$6:$BK$271)</f>
        <v>620000000</v>
      </c>
      <c r="M88" s="195">
        <f t="shared" si="3"/>
        <v>4.1452730143215176E-2</v>
      </c>
      <c r="N88">
        <v>10.7536504478567</v>
      </c>
      <c r="O88" s="188">
        <v>4124378</v>
      </c>
      <c r="P88" s="188">
        <v>103.58</v>
      </c>
      <c r="Q88">
        <v>62.096345654127198</v>
      </c>
      <c r="R88">
        <v>39.918512672508903</v>
      </c>
      <c r="S88">
        <v>619.83708702698095</v>
      </c>
      <c r="T88">
        <v>88.520940209133997</v>
      </c>
    </row>
    <row r="89" spans="1:20" x14ac:dyDescent="0.2">
      <c r="A89" s="161" t="s">
        <v>150</v>
      </c>
      <c r="B89" s="161">
        <v>340</v>
      </c>
      <c r="C89" s="161" t="s">
        <v>731</v>
      </c>
      <c r="D89" t="str">
        <f>_xlfn.XLOOKUP(B89,'Country Code M49'!$B$2:$B$250,'Country Code M49'!$C$2:$C$250,,0)</f>
        <v>HND</v>
      </c>
      <c r="E89" s="27">
        <f>_xlfn.XLOOKUP(B89,'[3]Food Service Estimates'!$B$3:$B$237,'[3]Food Service Estimates'!$D$3:$D$237)</f>
        <v>27.648074566430626</v>
      </c>
      <c r="F89" s="162">
        <v>269460.89953188947</v>
      </c>
      <c r="G89" s="160" t="s">
        <v>872</v>
      </c>
      <c r="H89" s="188">
        <f>_xlfn.XLOOKUP(D89,'[1]World Population'!$C$2:$C$267,'[1]World Population'!$BN$2:$BN$267)</f>
        <v>9904608</v>
      </c>
      <c r="I89" s="188">
        <v>99.981048583984403</v>
      </c>
      <c r="J89" s="194">
        <f>_xlfn.XLOOKUP(D89,'[2]GDP 2015 Constant'!$B$6:$B$271,'[2]GDP 2015 Constant'!$BM$6:$BM$271)</f>
        <v>22176498034</v>
      </c>
      <c r="K89" s="193">
        <f t="shared" si="2"/>
        <v>2239.0081499439452</v>
      </c>
      <c r="L89" s="194">
        <f>_xlfn.XLOOKUP(D89,'[5]Tourism Receipts'!$B$6:$B$271,'[5]Tourism Receipts'!$BK$6:$BK$271)</f>
        <v>601000000</v>
      </c>
      <c r="M89" s="195">
        <f t="shared" si="3"/>
        <v>2.7100762215863574E-2</v>
      </c>
      <c r="N89">
        <v>3.34248182381838</v>
      </c>
      <c r="O89" s="188">
        <v>2735697</v>
      </c>
      <c r="P89" s="188">
        <v>93.67</v>
      </c>
      <c r="Q89">
        <v>79.494705021861407</v>
      </c>
      <c r="R89">
        <v>81.775933445836301</v>
      </c>
      <c r="S89">
        <v>3965.9582334833499</v>
      </c>
      <c r="T89">
        <v>106.83923953539301</v>
      </c>
    </row>
    <row r="90" spans="1:20" x14ac:dyDescent="0.2">
      <c r="A90" s="161" t="s">
        <v>156</v>
      </c>
      <c r="B90" s="161">
        <v>348</v>
      </c>
      <c r="C90" s="161" t="s">
        <v>110</v>
      </c>
      <c r="D90" t="str">
        <f>_xlfn.XLOOKUP(B90,'Country Code M49'!$B$2:$B$250,'Country Code M49'!$C$2:$C$250,,0)</f>
        <v>HUN</v>
      </c>
      <c r="E90" s="27">
        <f>_xlfn.XLOOKUP(B90,'[3]Food Service Estimates'!$B$3:$B$237,'[3]Food Service Estimates'!$D$3:$D$237)</f>
        <v>25.5704180040103</v>
      </c>
      <c r="F90" s="162">
        <v>247641.82724343854</v>
      </c>
      <c r="G90" s="160" t="s">
        <v>877</v>
      </c>
      <c r="H90" s="188">
        <f>_xlfn.XLOOKUP(D90,'[1]World Population'!$C$2:$C$267,'[1]World Population'!$BN$2:$BN$267)</f>
        <v>9750149</v>
      </c>
      <c r="I90" s="188">
        <v>100</v>
      </c>
      <c r="J90" s="194">
        <f>_xlfn.XLOOKUP(D90,'[2]GDP 2015 Constant'!$B$6:$B$271,'[2]GDP 2015 Constant'!$BM$6:$BM$271)</f>
        <v>140409000000</v>
      </c>
      <c r="K90" s="193">
        <f t="shared" si="2"/>
        <v>14400.703004641262</v>
      </c>
      <c r="L90" s="194">
        <f>_xlfn.XLOOKUP(D90,'[5]Tourism Receipts'!$B$6:$B$271,'[5]Tourism Receipts'!$BK$6:$BK$271)</f>
        <v>9618000000</v>
      </c>
      <c r="M90" s="195">
        <f t="shared" si="3"/>
        <v>6.8499882486165412E-2</v>
      </c>
      <c r="N90">
        <v>4.3756563979129304</v>
      </c>
      <c r="O90" s="188">
        <v>22362</v>
      </c>
      <c r="P90" s="188">
        <v>103.44</v>
      </c>
      <c r="Q90">
        <v>43.320661929267402</v>
      </c>
      <c r="R90">
        <v>44.302569053129801</v>
      </c>
      <c r="S90">
        <v>53832.479091958703</v>
      </c>
      <c r="T90">
        <v>3.6344639492214599</v>
      </c>
    </row>
    <row r="91" spans="1:20" x14ac:dyDescent="0.2">
      <c r="A91" s="161" t="s">
        <v>153</v>
      </c>
      <c r="B91" s="161">
        <v>352</v>
      </c>
      <c r="C91" s="161" t="s">
        <v>775</v>
      </c>
      <c r="D91" t="str">
        <f>_xlfn.XLOOKUP(B91,'Country Code M49'!$B$2:$B$250,'Country Code M49'!$C$2:$C$250,,0)</f>
        <v>ISL</v>
      </c>
      <c r="E91" s="27">
        <f>_xlfn.XLOOKUP(B91,'[3]Food Service Estimates'!$B$3:$B$237,'[3]Food Service Estimates'!$D$3:$D$237)</f>
        <v>25.5704180040103</v>
      </c>
      <c r="F91" s="162">
        <v>8668.3717033594912</v>
      </c>
      <c r="G91" s="160" t="s">
        <v>877</v>
      </c>
      <c r="H91" s="188">
        <f>_xlfn.XLOOKUP(D91,'[1]World Population'!$C$2:$C$267,'[1]World Population'!$BN$2:$BN$267)</f>
        <v>366463</v>
      </c>
      <c r="I91" s="188">
        <v>49.517101287841797</v>
      </c>
      <c r="J91" s="194">
        <f>_xlfn.XLOOKUP(D91,'[2]GDP 2015 Constant'!$B$6:$B$271,'[2]GDP 2015 Constant'!$BM$6:$BM$271)</f>
        <v>19491448632</v>
      </c>
      <c r="K91" s="193">
        <f t="shared" si="2"/>
        <v>53188.039807565838</v>
      </c>
      <c r="L91" s="194">
        <f>_xlfn.XLOOKUP(D91,'[5]Tourism Receipts'!$B$6:$B$271,'[5]Tourism Receipts'!$BK$6:$BK$271)</f>
        <v>0</v>
      </c>
      <c r="M91" s="195">
        <f t="shared" si="3"/>
        <v>0</v>
      </c>
      <c r="N91">
        <v>16.729204706558001</v>
      </c>
      <c r="O91" s="188">
        <v>898024053</v>
      </c>
      <c r="P91" s="188">
        <v>116.38</v>
      </c>
      <c r="Q91">
        <v>23.6891407335327</v>
      </c>
      <c r="R91">
        <v>18.690982707408899</v>
      </c>
      <c r="S91">
        <v>804.51634928329997</v>
      </c>
      <c r="T91">
        <v>464.14941022941701</v>
      </c>
    </row>
    <row r="92" spans="1:20" x14ac:dyDescent="0.2">
      <c r="A92" s="161" t="s">
        <v>149</v>
      </c>
      <c r="B92" s="161">
        <v>356</v>
      </c>
      <c r="C92" s="161" t="s">
        <v>111</v>
      </c>
      <c r="D92" t="str">
        <f>_xlfn.XLOOKUP(B92,'Country Code M49'!$B$2:$B$250,'Country Code M49'!$C$2:$C$250,,0)</f>
        <v>IND</v>
      </c>
      <c r="E92" s="27">
        <f>_xlfn.XLOOKUP(B92,'[3]Food Service Estimates'!$B$3:$B$237,'[3]Food Service Estimates'!$D$3:$D$237)</f>
        <v>27.648074566430626</v>
      </c>
      <c r="F92" s="162">
        <v>37778821.223298088</v>
      </c>
      <c r="G92" s="160" t="s">
        <v>872</v>
      </c>
      <c r="H92" s="188">
        <f>_xlfn.XLOOKUP(D92,'[1]World Population'!$C$2:$C$267,'[1]World Population'!$BN$2:$BN$267)</f>
        <v>1380004385</v>
      </c>
      <c r="I92" s="188">
        <v>99.900001525878906</v>
      </c>
      <c r="J92" s="194">
        <f>_xlfn.XLOOKUP(D92,'[2]GDP 2015 Constant'!$B$6:$B$271,'[2]GDP 2015 Constant'!$BM$6:$BM$271)</f>
        <v>2508590000000</v>
      </c>
      <c r="K92" s="193">
        <f t="shared" si="2"/>
        <v>1817.8130644128353</v>
      </c>
      <c r="L92" s="194">
        <f>_xlfn.XLOOKUP(D92,'[5]Tourism Receipts'!$B$6:$B$271,'[5]Tourism Receipts'!$BK$6:$BK$271)</f>
        <v>29143000000</v>
      </c>
      <c r="M92" s="195">
        <f t="shared" si="3"/>
        <v>1.1617283015558541E-2</v>
      </c>
      <c r="N92">
        <v>12.7126026577522</v>
      </c>
      <c r="O92" s="188">
        <v>118597107</v>
      </c>
      <c r="P92" s="188">
        <v>114.52</v>
      </c>
      <c r="Q92">
        <v>22.071562457953998</v>
      </c>
      <c r="R92">
        <v>18.5915277970883</v>
      </c>
      <c r="S92">
        <v>811.90985816864804</v>
      </c>
      <c r="T92">
        <v>145.68354354869399</v>
      </c>
    </row>
    <row r="93" spans="1:20" x14ac:dyDescent="0.2">
      <c r="A93" s="161" t="s">
        <v>157</v>
      </c>
      <c r="B93" s="161">
        <v>360</v>
      </c>
      <c r="C93" s="161" t="s">
        <v>112</v>
      </c>
      <c r="D93" t="str">
        <f>_xlfn.XLOOKUP(B93,'Country Code M49'!$B$2:$B$250,'Country Code M49'!$C$2:$C$250,,0)</f>
        <v>IDN</v>
      </c>
      <c r="E93" s="27">
        <f>_xlfn.XLOOKUP(B93,'[3]Food Service Estimates'!$B$3:$B$237,'[3]Food Service Estimates'!$D$3:$D$237)</f>
        <v>27.648074566430626</v>
      </c>
      <c r="F93" s="162">
        <v>7482276.7683850275</v>
      </c>
      <c r="G93" s="160" t="s">
        <v>872</v>
      </c>
      <c r="H93" s="188">
        <f>_xlfn.XLOOKUP(D93,'[1]World Population'!$C$2:$C$267,'[1]World Population'!$BN$2:$BN$267)</f>
        <v>273523621</v>
      </c>
      <c r="I93" s="188">
        <v>100</v>
      </c>
      <c r="J93" s="194">
        <f>_xlfn.XLOOKUP(D93,'[2]GDP 2015 Constant'!$B$6:$B$271,'[2]GDP 2015 Constant'!$BM$6:$BM$271)</f>
        <v>1027660000000</v>
      </c>
      <c r="K93" s="193">
        <f t="shared" si="2"/>
        <v>3757.1160993075623</v>
      </c>
      <c r="L93" s="194">
        <f>_xlfn.XLOOKUP(D93,'[5]Tourism Receipts'!$B$6:$B$271,'[5]Tourism Receipts'!$BK$6:$BK$271)</f>
        <v>17915000000</v>
      </c>
      <c r="M93" s="195">
        <f t="shared" si="3"/>
        <v>1.7432808516435395E-2</v>
      </c>
      <c r="N93">
        <v>13.871221407557901</v>
      </c>
      <c r="O93" s="188">
        <v>20264140</v>
      </c>
      <c r="P93" s="188">
        <v>99.41</v>
      </c>
      <c r="Q93">
        <v>28.167148640330499</v>
      </c>
      <c r="R93">
        <v>22.709737583718201</v>
      </c>
      <c r="S93">
        <v>3022.1219387882202</v>
      </c>
      <c r="T93">
        <v>51.767613559322001</v>
      </c>
    </row>
    <row r="94" spans="1:20" x14ac:dyDescent="0.2">
      <c r="A94" s="161" t="s">
        <v>149</v>
      </c>
      <c r="B94" s="161">
        <v>364</v>
      </c>
      <c r="C94" s="161" t="s">
        <v>799</v>
      </c>
      <c r="D94" t="str">
        <f>_xlfn.XLOOKUP(B94,'Country Code M49'!$B$2:$B$250,'Country Code M49'!$C$2:$C$250,,0)</f>
        <v>IRN</v>
      </c>
      <c r="E94" s="27">
        <f>_xlfn.XLOOKUP(B94,'[3]Food Service Estimates'!$B$3:$B$237,'[3]Food Service Estimates'!$D$3:$D$237)</f>
        <v>27.648074566430626</v>
      </c>
      <c r="F94" s="162">
        <v>2292409.6897935723</v>
      </c>
      <c r="G94" s="160" t="s">
        <v>872</v>
      </c>
      <c r="H94" s="188">
        <f>_xlfn.XLOOKUP(D94,'[1]World Population'!$C$2:$C$267,'[1]World Population'!$BN$2:$BN$267)</f>
        <v>83992953</v>
      </c>
      <c r="I94" s="188">
        <v>27.534709930419901</v>
      </c>
      <c r="J94" s="194">
        <f>_xlfn.XLOOKUP(D94,'[2]GDP 2015 Constant'!$B$6:$B$271,'[2]GDP 2015 Constant'!$BM$6:$BM$271)</f>
        <v>447938000000</v>
      </c>
      <c r="K94" s="193">
        <f t="shared" si="2"/>
        <v>5333.0426422797636</v>
      </c>
      <c r="L94" s="194">
        <f>_xlfn.XLOOKUP(D94,'[5]Tourism Receipts'!$B$6:$B$271,'[5]Tourism Receipts'!$BK$6:$BK$271)</f>
        <v>5252000000</v>
      </c>
      <c r="M94" s="195">
        <f t="shared" si="3"/>
        <v>1.1724836919395095E-2</v>
      </c>
      <c r="N94">
        <v>3.7700082530619898</v>
      </c>
      <c r="O94" s="188">
        <v>11707564</v>
      </c>
      <c r="P94" s="188">
        <v>149.4</v>
      </c>
      <c r="Q94">
        <v>24.999149743576599</v>
      </c>
      <c r="R94">
        <v>38.051868198883803</v>
      </c>
      <c r="S94">
        <v>1328.23049342541</v>
      </c>
      <c r="T94">
        <v>92.651252625953603</v>
      </c>
    </row>
    <row r="95" spans="1:20" x14ac:dyDescent="0.2">
      <c r="A95" s="161" t="s">
        <v>148</v>
      </c>
      <c r="B95" s="161">
        <v>368</v>
      </c>
      <c r="C95" s="161" t="s">
        <v>113</v>
      </c>
      <c r="D95" t="str">
        <f>_xlfn.XLOOKUP(B95,'Country Code M49'!$B$2:$B$250,'Country Code M49'!$C$2:$C$250,,0)</f>
        <v>IRQ</v>
      </c>
      <c r="E95" s="27">
        <f>_xlfn.XLOOKUP(B95,'[3]Food Service Estimates'!$B$3:$B$237,'[3]Food Service Estimates'!$D$3:$D$237)</f>
        <v>27.648074566430626</v>
      </c>
      <c r="F95" s="162">
        <v>1086840.2815914745</v>
      </c>
      <c r="G95" s="160" t="s">
        <v>872</v>
      </c>
      <c r="H95" s="188">
        <f>_xlfn.XLOOKUP(D95,'[1]World Population'!$C$2:$C$267,'[1]World Population'!$BN$2:$BN$267)</f>
        <v>40222503</v>
      </c>
      <c r="I95" s="188">
        <v>15.465084075927701</v>
      </c>
      <c r="J95" s="194">
        <f>_xlfn.XLOOKUP(D95,'[2]GDP 2015 Constant'!$B$6:$B$271,'[2]GDP 2015 Constant'!$BM$6:$BM$271)</f>
        <v>178917000000</v>
      </c>
      <c r="K95" s="193">
        <f t="shared" si="2"/>
        <v>4448.1816559252911</v>
      </c>
      <c r="L95" s="194">
        <f>_xlfn.XLOOKUP(D95,'[5]Tourism Receipts'!$B$6:$B$271,'[5]Tourism Receipts'!$BK$6:$BK$271)</f>
        <v>1986000000</v>
      </c>
      <c r="M95" s="195">
        <f t="shared" si="3"/>
        <v>1.1100119049615186E-2</v>
      </c>
      <c r="N95">
        <v>0.90289814077455499</v>
      </c>
      <c r="O95" s="188">
        <v>1812143</v>
      </c>
      <c r="P95" s="188">
        <v>115.91</v>
      </c>
      <c r="Q95">
        <v>94.434845312653806</v>
      </c>
      <c r="R95">
        <v>127.927930234974</v>
      </c>
      <c r="S95">
        <v>5672.0641341079599</v>
      </c>
      <c r="T95">
        <v>72.371519814196503</v>
      </c>
    </row>
    <row r="96" spans="1:20" x14ac:dyDescent="0.2">
      <c r="A96" s="161" t="s">
        <v>153</v>
      </c>
      <c r="B96" s="161">
        <v>372</v>
      </c>
      <c r="C96" s="161" t="s">
        <v>114</v>
      </c>
      <c r="D96" t="str">
        <f>_xlfn.XLOOKUP(B96,'Country Code M49'!$B$2:$B$250,'Country Code M49'!$C$2:$C$250,,0)</f>
        <v>IRL</v>
      </c>
      <c r="E96" s="27">
        <f>_xlfn.XLOOKUP(B96,'[3]Food Service Estimates'!$B$3:$B$237,'[3]Food Service Estimates'!$D$3:$D$237)</f>
        <v>56.14642745390838</v>
      </c>
      <c r="F96" s="162">
        <v>274134.9320437077</v>
      </c>
      <c r="G96" s="160" t="s">
        <v>881</v>
      </c>
      <c r="H96" s="188">
        <f>_xlfn.XLOOKUP(D96,'[1]World Population'!$C$2:$C$267,'[1]World Population'!$BN$2:$BN$267)</f>
        <v>4985674</v>
      </c>
      <c r="I96" s="188">
        <v>47.348419189453097</v>
      </c>
      <c r="J96" s="194">
        <f>_xlfn.XLOOKUP(D96,'[2]GDP 2015 Constant'!$B$6:$B$271,'[2]GDP 2015 Constant'!$BM$6:$BM$271)</f>
        <v>392535000000</v>
      </c>
      <c r="K96" s="193">
        <f t="shared" si="2"/>
        <v>78732.584601399925</v>
      </c>
      <c r="L96" s="194">
        <f>_xlfn.XLOOKUP(D96,'[5]Tourism Receipts'!$B$6:$B$271,'[5]Tourism Receipts'!$BK$6:$BK$271)</f>
        <v>15276000000</v>
      </c>
      <c r="M96" s="195">
        <f t="shared" si="3"/>
        <v>3.8916274981848756E-2</v>
      </c>
      <c r="N96">
        <v>0.31667066547429501</v>
      </c>
      <c r="O96" s="188">
        <v>40052</v>
      </c>
      <c r="P96" s="188">
        <v>0</v>
      </c>
      <c r="Q96">
        <v>0</v>
      </c>
      <c r="R96">
        <v>0</v>
      </c>
      <c r="S96">
        <v>0</v>
      </c>
      <c r="T96">
        <v>149.17894736842101</v>
      </c>
    </row>
    <row r="97" spans="1:20" x14ac:dyDescent="0.2">
      <c r="A97" s="161" t="s">
        <v>153</v>
      </c>
      <c r="B97" s="161">
        <v>833</v>
      </c>
      <c r="C97" s="161" t="s">
        <v>776</v>
      </c>
      <c r="D97" t="str">
        <f>_xlfn.XLOOKUP(B97,'Country Code M49'!$B$2:$B$250,'Country Code M49'!$C$2:$C$250,,0)</f>
        <v>IMN</v>
      </c>
      <c r="E97" s="27">
        <f>_xlfn.XLOOKUP(B97,'[3]Food Service Estimates'!$B$3:$B$237,'[3]Food Service Estimates'!$D$3:$D$237)</f>
        <v>25.5704180040103</v>
      </c>
      <c r="F97" s="162">
        <v>2163.2573631392711</v>
      </c>
      <c r="G97" s="160" t="s">
        <v>877</v>
      </c>
      <c r="H97" s="188">
        <f>_xlfn.XLOOKUP(D97,'[1]World Population'!$C$2:$C$267,'[1]World Population'!$BN$2:$BN$267)</f>
        <v>85032</v>
      </c>
      <c r="I97" s="188">
        <v>100</v>
      </c>
      <c r="J97" s="194" t="e">
        <f>_xlfn.XLOOKUP(D97,'[2]GDP 2015 Constant'!$B$6:$B$271,'[2]GDP 2015 Constant'!$BM$6:$BM$271)</f>
        <v>#REF!</v>
      </c>
      <c r="K97" s="193" t="e">
        <f t="shared" si="2"/>
        <v>#REF!</v>
      </c>
      <c r="L97" s="194">
        <f>_xlfn.XLOOKUP(D97,'[5]Tourism Receipts'!$B$6:$B$271,'[5]Tourism Receipts'!$BK$6:$BK$271)</f>
        <v>0</v>
      </c>
      <c r="M97" s="195" t="e">
        <f t="shared" si="3"/>
        <v>#REF!</v>
      </c>
      <c r="N97">
        <v>1.1323306510742901</v>
      </c>
      <c r="O97" s="188">
        <v>683115</v>
      </c>
      <c r="P97" s="188">
        <v>101.87</v>
      </c>
      <c r="Q97">
        <v>29.1640430822093</v>
      </c>
      <c r="R97">
        <v>29.513438473867801</v>
      </c>
      <c r="S97">
        <v>6600.8982801222</v>
      </c>
      <c r="T97">
        <v>425.836414048059</v>
      </c>
    </row>
    <row r="98" spans="1:20" x14ac:dyDescent="0.2">
      <c r="A98" s="161" t="s">
        <v>148</v>
      </c>
      <c r="B98" s="161">
        <v>376</v>
      </c>
      <c r="C98" s="161" t="s">
        <v>115</v>
      </c>
      <c r="D98" t="str">
        <f>_xlfn.XLOOKUP(B98,'Country Code M49'!$B$2:$B$250,'Country Code M49'!$C$2:$C$250,,0)</f>
        <v>ISR</v>
      </c>
      <c r="E98" s="27">
        <f>_xlfn.XLOOKUP(B98,'[3]Food Service Estimates'!$B$3:$B$237,'[3]Food Service Estimates'!$D$3:$D$237)</f>
        <v>27.437618593108716</v>
      </c>
      <c r="F98" s="162">
        <v>233752.04784213039</v>
      </c>
      <c r="G98" s="160" t="s">
        <v>881</v>
      </c>
      <c r="H98" s="188">
        <f>_xlfn.XLOOKUP(D98,'[1]World Population'!$C$2:$C$267,'[1]World Population'!$BN$2:$BN$267)</f>
        <v>9215100</v>
      </c>
      <c r="I98" s="188">
        <v>100</v>
      </c>
      <c r="J98" s="194">
        <f>_xlfn.XLOOKUP(D98,'[2]GDP 2015 Constant'!$B$6:$B$271,'[2]GDP 2015 Constant'!$BM$6:$BM$271)</f>
        <v>345460000000</v>
      </c>
      <c r="K98" s="193">
        <f t="shared" si="2"/>
        <v>37488.470011177305</v>
      </c>
      <c r="L98" s="194">
        <f>_xlfn.XLOOKUP(D98,'[5]Tourism Receipts'!$B$6:$B$271,'[5]Tourism Receipts'!$BK$6:$BK$271)</f>
        <v>8048000000</v>
      </c>
      <c r="M98" s="195">
        <f t="shared" si="3"/>
        <v>2.3296474266195796E-2</v>
      </c>
      <c r="N98">
        <v>1.90731132855232</v>
      </c>
      <c r="O98" s="188">
        <v>17217178</v>
      </c>
      <c r="P98" s="188">
        <v>99.93</v>
      </c>
      <c r="Q98">
        <v>28.9499970418731</v>
      </c>
      <c r="R98">
        <v>31.602678297602999</v>
      </c>
      <c r="S98">
        <v>5002.4066798773601</v>
      </c>
      <c r="T98">
        <v>201.03520257543499</v>
      </c>
    </row>
    <row r="99" spans="1:20" x14ac:dyDescent="0.2">
      <c r="A99" s="161" t="s">
        <v>155</v>
      </c>
      <c r="B99" s="161">
        <v>380</v>
      </c>
      <c r="C99" s="161" t="s">
        <v>116</v>
      </c>
      <c r="D99" t="str">
        <f>_xlfn.XLOOKUP(B99,'Country Code M49'!$B$2:$B$250,'Country Code M49'!$C$2:$C$250,,0)</f>
        <v>ITA</v>
      </c>
      <c r="E99" s="27">
        <f>_xlfn.XLOOKUP(B99,'[3]Food Service Estimates'!$B$3:$B$237,'[3]Food Service Estimates'!$D$3:$D$237)</f>
        <v>25.5704180040103</v>
      </c>
      <c r="F99" s="162">
        <v>1548291.3671846238</v>
      </c>
      <c r="G99" s="160" t="s">
        <v>877</v>
      </c>
      <c r="H99" s="188">
        <f>_xlfn.XLOOKUP(D99,'[1]World Population'!$C$2:$C$267,'[1]World Population'!$BN$2:$BN$267)</f>
        <v>59449527</v>
      </c>
      <c r="I99" s="188">
        <v>52.171096801757798</v>
      </c>
      <c r="J99" s="194">
        <f>_xlfn.XLOOKUP(D99,'[2]GDP 2015 Constant'!$B$6:$B$271,'[2]GDP 2015 Constant'!$BM$6:$BM$271)</f>
        <v>1745330000000</v>
      </c>
      <c r="K99" s="193">
        <f t="shared" si="2"/>
        <v>29358.181436834646</v>
      </c>
      <c r="L99" s="194">
        <f>_xlfn.XLOOKUP(D99,'[5]Tourism Receipts'!$B$6:$B$271,'[5]Tourism Receipts'!$BK$6:$BK$271)</f>
        <v>51602000000</v>
      </c>
      <c r="M99" s="195">
        <f t="shared" si="3"/>
        <v>2.9565755473176993E-2</v>
      </c>
      <c r="N99">
        <v>7.0196021385184899</v>
      </c>
      <c r="O99" s="188">
        <v>1293702</v>
      </c>
      <c r="P99" s="188">
        <v>100.81</v>
      </c>
      <c r="Q99">
        <v>51.414057756044997</v>
      </c>
      <c r="R99">
        <v>38.036080747410601</v>
      </c>
      <c r="S99">
        <v>1050.73253900597</v>
      </c>
      <c r="T99">
        <v>273.42206832871699</v>
      </c>
    </row>
    <row r="100" spans="1:20" x14ac:dyDescent="0.2">
      <c r="A100" s="161" t="s">
        <v>150</v>
      </c>
      <c r="B100" s="161">
        <v>388</v>
      </c>
      <c r="C100" s="161" t="s">
        <v>732</v>
      </c>
      <c r="D100" t="str">
        <f>_xlfn.XLOOKUP(B100,'Country Code M49'!$B$2:$B$250,'Country Code M49'!$C$2:$C$250,,0)</f>
        <v>JAM</v>
      </c>
      <c r="E100" s="27">
        <f>_xlfn.XLOOKUP(B100,'[3]Food Service Estimates'!$B$3:$B$237,'[3]Food Service Estimates'!$D$3:$D$237)</f>
        <v>27.648074566430626</v>
      </c>
      <c r="F100" s="162">
        <v>81514.818244207418</v>
      </c>
      <c r="G100" s="160" t="s">
        <v>872</v>
      </c>
      <c r="H100" s="188">
        <f>_xlfn.XLOOKUP(D100,'[1]World Population'!$C$2:$C$267,'[1]World Population'!$BN$2:$BN$267)</f>
        <v>2961161</v>
      </c>
      <c r="I100" s="188">
        <v>100</v>
      </c>
      <c r="J100" s="194">
        <f>_xlfn.XLOOKUP(D100,'[2]GDP 2015 Constant'!$B$6:$B$271,'[2]GDP 2015 Constant'!$BM$6:$BM$271)</f>
        <v>13440715454</v>
      </c>
      <c r="K100" s="193">
        <f t="shared" si="2"/>
        <v>4539.0019164780297</v>
      </c>
      <c r="L100" s="194">
        <f>_xlfn.XLOOKUP(D100,'[5]Tourism Receipts'!$B$6:$B$271,'[5]Tourism Receipts'!$BK$6:$BK$271)</f>
        <v>0</v>
      </c>
      <c r="M100" s="195">
        <f t="shared" si="3"/>
        <v>0</v>
      </c>
      <c r="N100">
        <v>1.0329079491315201</v>
      </c>
      <c r="O100" s="188">
        <v>10376129</v>
      </c>
      <c r="P100" s="188">
        <v>99.22</v>
      </c>
      <c r="Q100">
        <v>18.306046193576101</v>
      </c>
      <c r="R100">
        <v>17.445377832273799</v>
      </c>
      <c r="S100">
        <v>7819.7146359093604</v>
      </c>
      <c r="T100">
        <v>346.39506172839498</v>
      </c>
    </row>
    <row r="101" spans="1:20" x14ac:dyDescent="0.2">
      <c r="A101" s="161" t="s">
        <v>152</v>
      </c>
      <c r="B101" s="161">
        <v>392</v>
      </c>
      <c r="C101" s="161" t="s">
        <v>117</v>
      </c>
      <c r="D101" t="str">
        <f>_xlfn.XLOOKUP(B101,'Country Code M49'!$B$2:$B$250,'Country Code M49'!$C$2:$C$250,,0)</f>
        <v>JPN</v>
      </c>
      <c r="E101" s="27">
        <f>_xlfn.XLOOKUP(B101,'[3]Food Service Estimates'!$B$3:$B$237,'[3]Food Service Estimates'!$D$3:$D$237)</f>
        <v>14.746421607138945</v>
      </c>
      <c r="F101" s="162">
        <v>1870735.4690081286</v>
      </c>
      <c r="G101" s="160" t="s">
        <v>881</v>
      </c>
      <c r="H101" s="188">
        <f>_xlfn.XLOOKUP(D101,'[1]World Population'!$C$2:$C$267,'[1]World Population'!$BN$2:$BN$267)</f>
        <v>126261000</v>
      </c>
      <c r="I101" s="188">
        <v>98.099998474121094</v>
      </c>
      <c r="J101" s="194">
        <f>_xlfn.XLOOKUP(D101,'[2]GDP 2015 Constant'!$B$6:$B$271,'[2]GDP 2015 Constant'!$BM$6:$BM$271)</f>
        <v>4363130000000</v>
      </c>
      <c r="K101" s="193">
        <f t="shared" si="2"/>
        <v>34556.434686878769</v>
      </c>
      <c r="L101" s="194">
        <f>_xlfn.XLOOKUP(D101,'[5]Tourism Receipts'!$B$6:$B$271,'[5]Tourism Receipts'!$BK$6:$BK$271)</f>
        <v>45276000000</v>
      </c>
      <c r="M101" s="195">
        <f t="shared" si="3"/>
        <v>1.037695415905554E-2</v>
      </c>
      <c r="N101">
        <v>4.9126437446810103</v>
      </c>
      <c r="O101" s="188">
        <v>875633</v>
      </c>
      <c r="P101" s="188">
        <v>99.04</v>
      </c>
      <c r="Q101">
        <v>53.376769088439701</v>
      </c>
      <c r="R101">
        <v>36.335030591663298</v>
      </c>
      <c r="S101">
        <v>1864.9323868107199</v>
      </c>
      <c r="T101">
        <v>114.90798927855499</v>
      </c>
    </row>
    <row r="102" spans="1:20" x14ac:dyDescent="0.2">
      <c r="A102" s="161" t="s">
        <v>148</v>
      </c>
      <c r="B102" s="161">
        <v>400</v>
      </c>
      <c r="C102" s="161" t="s">
        <v>859</v>
      </c>
      <c r="D102" t="str">
        <f>_xlfn.XLOOKUP(B102,'Country Code M49'!$B$2:$B$250,'Country Code M49'!$C$2:$C$250,,0)</f>
        <v>JOR</v>
      </c>
      <c r="E102" s="27">
        <f>_xlfn.XLOOKUP(B102,'[3]Food Service Estimates'!$B$3:$B$237,'[3]Food Service Estimates'!$D$3:$D$237)</f>
        <v>27.648074566430626</v>
      </c>
      <c r="F102" s="162">
        <v>279292.55484771228</v>
      </c>
      <c r="G102" s="160" t="s">
        <v>872</v>
      </c>
      <c r="H102" s="188">
        <f>_xlfn.XLOOKUP(D102,'[1]World Population'!$C$2:$C$267,'[1]World Population'!$BN$2:$BN$267)</f>
        <v>10203140</v>
      </c>
      <c r="I102" s="188">
        <v>100</v>
      </c>
      <c r="J102" s="194">
        <f>_xlfn.XLOOKUP(D102,'[2]GDP 2015 Constant'!$B$6:$B$271,'[2]GDP 2015 Constant'!$BM$6:$BM$271)</f>
        <v>41108073617</v>
      </c>
      <c r="K102" s="193">
        <f t="shared" si="2"/>
        <v>4028.9630071723018</v>
      </c>
      <c r="L102" s="194">
        <f>_xlfn.XLOOKUP(D102,'[5]Tourism Receipts'!$B$6:$B$271,'[5]Tourism Receipts'!$BK$6:$BK$271)</f>
        <v>6221000000</v>
      </c>
      <c r="M102" s="195">
        <f t="shared" si="3"/>
        <v>0.15133280284453277</v>
      </c>
      <c r="N102">
        <v>4.4663359581275097</v>
      </c>
      <c r="O102" s="188">
        <v>7939086</v>
      </c>
      <c r="P102" s="188">
        <v>116.77</v>
      </c>
      <c r="Q102">
        <v>25.9027380865315</v>
      </c>
      <c r="R102">
        <v>36.4389870990994</v>
      </c>
      <c r="S102">
        <v>5600.2084648650798</v>
      </c>
      <c r="T102">
        <v>6.9473148868392798</v>
      </c>
    </row>
    <row r="103" spans="1:20" x14ac:dyDescent="0.2">
      <c r="A103" s="161" t="s">
        <v>871</v>
      </c>
      <c r="B103" s="161">
        <v>398</v>
      </c>
      <c r="C103" s="161" t="s">
        <v>690</v>
      </c>
      <c r="D103" t="str">
        <f>_xlfn.XLOOKUP(B103,'Country Code M49'!$B$2:$B$250,'Country Code M49'!$C$2:$C$250,,0)</f>
        <v>KAZ</v>
      </c>
      <c r="E103" s="27">
        <f>_xlfn.XLOOKUP(B103,'[3]Food Service Estimates'!$B$3:$B$237,'[3]Food Service Estimates'!$D$3:$D$237)</f>
        <v>27.648074566430626</v>
      </c>
      <c r="F103" s="162">
        <v>512910.49051168113</v>
      </c>
      <c r="G103" s="160" t="s">
        <v>872</v>
      </c>
      <c r="H103" s="188">
        <f>_xlfn.XLOOKUP(D103,'[1]World Population'!$C$2:$C$267,'[1]World Population'!$BN$2:$BN$267)</f>
        <v>18755666</v>
      </c>
      <c r="I103" s="188">
        <v>100</v>
      </c>
      <c r="J103" s="194">
        <f>_xlfn.XLOOKUP(D103,'[2]GDP 2015 Constant'!$B$6:$B$271,'[2]GDP 2015 Constant'!$BM$6:$BM$271)</f>
        <v>205829000000</v>
      </c>
      <c r="K103" s="193">
        <f t="shared" si="2"/>
        <v>10974.230400562688</v>
      </c>
      <c r="L103" s="194">
        <f>_xlfn.XLOOKUP(D103,'[5]Tourism Receipts'!$B$6:$B$271,'[5]Tourism Receipts'!$BK$6:$BK$271)</f>
        <v>2651000000</v>
      </c>
      <c r="M103" s="195">
        <f t="shared" si="3"/>
        <v>1.2879623376686473E-2</v>
      </c>
      <c r="N103">
        <v>20.8611638110686</v>
      </c>
      <c r="O103" s="188">
        <v>38718025</v>
      </c>
      <c r="P103" s="188">
        <v>108.87</v>
      </c>
      <c r="Q103">
        <v>21.872777843383499</v>
      </c>
      <c r="R103">
        <v>11.4279966637126</v>
      </c>
      <c r="S103">
        <v>164.32526011795699</v>
      </c>
      <c r="T103">
        <v>94.478160030923803</v>
      </c>
    </row>
    <row r="104" spans="1:20" x14ac:dyDescent="0.2">
      <c r="A104" s="161" t="s">
        <v>154</v>
      </c>
      <c r="B104" s="161">
        <v>404</v>
      </c>
      <c r="C104" s="161" t="s">
        <v>118</v>
      </c>
      <c r="D104" t="str">
        <f>_xlfn.XLOOKUP(B104,'Country Code M49'!$B$2:$B$250,'Country Code M49'!$C$2:$C$250,,0)</f>
        <v>KEN</v>
      </c>
      <c r="E104" s="27">
        <f>_xlfn.XLOOKUP(B104,'[3]Food Service Estimates'!$B$3:$B$237,'[3]Food Service Estimates'!$D$3:$D$237)</f>
        <v>31.137437546052631</v>
      </c>
      <c r="F104" s="162">
        <v>1637019.6415461709</v>
      </c>
      <c r="G104" s="160" t="s">
        <v>881</v>
      </c>
      <c r="H104" s="188">
        <f>_xlfn.XLOOKUP(D104,'[1]World Population'!$C$2:$C$267,'[1]World Population'!$BN$2:$BN$267)</f>
        <v>53771300</v>
      </c>
      <c r="I104" s="188">
        <v>100</v>
      </c>
      <c r="J104" s="194">
        <f>_xlfn.XLOOKUP(D104,'[2]GDP 2015 Constant'!$B$6:$B$271,'[2]GDP 2015 Constant'!$BM$6:$BM$271)</f>
        <v>84054150946</v>
      </c>
      <c r="K104" s="193">
        <f t="shared" si="2"/>
        <v>1563.1787021329221</v>
      </c>
      <c r="L104" s="194">
        <f>_xlfn.XLOOKUP(D104,'[5]Tourism Receipts'!$B$6:$B$271,'[5]Tourism Receipts'!$BK$6:$BK$271)</f>
        <v>1784000000</v>
      </c>
      <c r="M104" s="195">
        <f t="shared" si="3"/>
        <v>2.1224412832938116E-2</v>
      </c>
      <c r="N104">
        <v>31.166940146898</v>
      </c>
      <c r="O104" s="188">
        <v>53041</v>
      </c>
      <c r="P104" s="188">
        <v>94.42</v>
      </c>
      <c r="Q104">
        <v>88.991566242123099</v>
      </c>
      <c r="R104">
        <v>0</v>
      </c>
      <c r="S104">
        <v>0</v>
      </c>
      <c r="T104">
        <v>147.464197530864</v>
      </c>
    </row>
    <row r="105" spans="1:20" x14ac:dyDescent="0.2">
      <c r="A105" s="161" t="s">
        <v>875</v>
      </c>
      <c r="B105" s="161">
        <v>296</v>
      </c>
      <c r="C105" s="161" t="s">
        <v>758</v>
      </c>
      <c r="D105" t="str">
        <f>_xlfn.XLOOKUP(B105,'Country Code M49'!$B$2:$B$250,'Country Code M49'!$C$2:$C$250,,0)</f>
        <v>KIR</v>
      </c>
      <c r="E105" s="27">
        <f>_xlfn.XLOOKUP(B105,'[3]Food Service Estimates'!$B$3:$B$237,'[3]Food Service Estimates'!$D$3:$D$237)</f>
        <v>27.648074566430626</v>
      </c>
      <c r="F105" s="162">
        <v>3251.4135690122416</v>
      </c>
      <c r="G105" s="160" t="s">
        <v>872</v>
      </c>
      <c r="H105" s="188">
        <f>_xlfn.XLOOKUP(D105,'[1]World Population'!$C$2:$C$267,'[1]World Population'!$BN$2:$BN$267)</f>
        <v>119446</v>
      </c>
      <c r="I105" s="188">
        <v>56.258693695068402</v>
      </c>
      <c r="J105" s="194">
        <f>_xlfn.XLOOKUP(D105,'[2]GDP 2015 Constant'!$B$6:$B$271,'[2]GDP 2015 Constant'!$BM$6:$BM$271)</f>
        <v>176050030.09999999</v>
      </c>
      <c r="K105" s="193">
        <f t="shared" si="2"/>
        <v>1473.8880339232792</v>
      </c>
      <c r="L105" s="194">
        <f>_xlfn.XLOOKUP(D105,'[5]Tourism Receipts'!$B$6:$B$271,'[5]Tourism Receipts'!$BK$6:$BK$271)</f>
        <v>0</v>
      </c>
      <c r="M105" s="195">
        <f t="shared" si="3"/>
        <v>0</v>
      </c>
      <c r="N105">
        <v>0.38457981162383698</v>
      </c>
      <c r="O105" s="188">
        <v>0</v>
      </c>
      <c r="P105" s="188">
        <v>118.39</v>
      </c>
      <c r="Q105">
        <v>45.619963447481801</v>
      </c>
      <c r="R105">
        <v>53.293432793340202</v>
      </c>
      <c r="S105">
        <v>15590.612578533501</v>
      </c>
      <c r="T105">
        <v>239.65</v>
      </c>
    </row>
    <row r="106" spans="1:20" x14ac:dyDescent="0.2">
      <c r="A106" s="161" t="s">
        <v>148</v>
      </c>
      <c r="B106" s="161">
        <v>414</v>
      </c>
      <c r="C106" s="161" t="s">
        <v>860</v>
      </c>
      <c r="D106" t="str">
        <f>_xlfn.XLOOKUP(B106,'Country Code M49'!$B$2:$B$250,'Country Code M49'!$C$2:$C$250,,0)</f>
        <v>KWT</v>
      </c>
      <c r="E106" s="27">
        <f>_xlfn.XLOOKUP(B106,'[3]Food Service Estimates'!$B$3:$B$237,'[3]Food Service Estimates'!$D$3:$D$237)</f>
        <v>25.5704180040103</v>
      </c>
      <c r="F106" s="162">
        <v>107577.30558467173</v>
      </c>
      <c r="G106" s="160" t="s">
        <v>877</v>
      </c>
      <c r="H106" s="188">
        <f>_xlfn.XLOOKUP(D106,'[1]World Population'!$C$2:$C$267,'[1]World Population'!$BN$2:$BN$267)</f>
        <v>4270563</v>
      </c>
      <c r="I106" s="188">
        <v>62.273067474365199</v>
      </c>
      <c r="J106" s="194">
        <f>_xlfn.XLOOKUP(D106,'[2]GDP 2015 Constant'!$B$6:$B$271,'[2]GDP 2015 Constant'!$BM$6:$BM$271)</f>
        <v>104327000000</v>
      </c>
      <c r="K106" s="193">
        <f t="shared" si="2"/>
        <v>24429.331682965454</v>
      </c>
      <c r="L106" s="194">
        <f>_xlfn.XLOOKUP(D106,'[5]Tourism Receipts'!$B$6:$B$271,'[5]Tourism Receipts'!$BK$6:$BK$271)</f>
        <v>919000000</v>
      </c>
      <c r="M106" s="195">
        <f t="shared" si="3"/>
        <v>8.8088414312689906E-3</v>
      </c>
      <c r="N106">
        <v>11.665108228408601</v>
      </c>
      <c r="O106" s="188">
        <v>4154812</v>
      </c>
      <c r="P106" s="188">
        <v>110.21</v>
      </c>
      <c r="Q106">
        <v>67.273829896646504</v>
      </c>
      <c r="R106">
        <v>35.2341542041409</v>
      </c>
      <c r="S106">
        <v>1941.22183189101</v>
      </c>
      <c r="T106">
        <v>34.306047966631901</v>
      </c>
    </row>
    <row r="107" spans="1:20" x14ac:dyDescent="0.2">
      <c r="A107" s="161" t="s">
        <v>871</v>
      </c>
      <c r="B107" s="161">
        <v>417</v>
      </c>
      <c r="C107" s="161" t="s">
        <v>691</v>
      </c>
      <c r="D107" t="str">
        <f>_xlfn.XLOOKUP(B107,'Country Code M49'!$B$2:$B$250,'Country Code M49'!$C$2:$C$250,,0)</f>
        <v>KGZ</v>
      </c>
      <c r="E107" s="27">
        <f>_xlfn.XLOOKUP(B107,'[3]Food Service Estimates'!$B$3:$B$237,'[3]Food Service Estimates'!$D$3:$D$237)</f>
        <v>27.648074566430626</v>
      </c>
      <c r="F107" s="162">
        <v>177387.28161076226</v>
      </c>
      <c r="G107" s="160" t="s">
        <v>872</v>
      </c>
      <c r="H107" s="188">
        <f>_xlfn.XLOOKUP(D107,'[1]World Population'!$C$2:$C$267,'[1]World Population'!$BN$2:$BN$267)</f>
        <v>6579900</v>
      </c>
      <c r="I107" s="188">
        <v>71.994758605957003</v>
      </c>
      <c r="J107" s="194">
        <f>_xlfn.XLOOKUP(D107,'[2]GDP 2015 Constant'!$B$6:$B$271,'[2]GDP 2015 Constant'!$BM$6:$BM$271)</f>
        <v>7255421236</v>
      </c>
      <c r="K107" s="193">
        <f t="shared" si="2"/>
        <v>1102.6643620723719</v>
      </c>
      <c r="L107" s="194">
        <f>_xlfn.XLOOKUP(D107,'[5]Tourism Receipts'!$B$6:$B$271,'[5]Tourism Receipts'!$BK$6:$BK$271)</f>
        <v>518000000</v>
      </c>
      <c r="M107" s="195">
        <f t="shared" si="3"/>
        <v>7.1394889855572269E-2</v>
      </c>
      <c r="N107">
        <v>16.050339057034101</v>
      </c>
      <c r="O107" s="188">
        <v>4635257</v>
      </c>
      <c r="P107" s="188">
        <v>103.85</v>
      </c>
      <c r="Q107">
        <v>0</v>
      </c>
      <c r="R107">
        <v>0</v>
      </c>
      <c r="S107">
        <v>0</v>
      </c>
      <c r="T107">
        <v>31.5232062391681</v>
      </c>
    </row>
    <row r="108" spans="1:20" x14ac:dyDescent="0.2">
      <c r="A108" s="161" t="s">
        <v>157</v>
      </c>
      <c r="B108" s="161">
        <v>418</v>
      </c>
      <c r="C108" s="161" t="s">
        <v>791</v>
      </c>
      <c r="D108" t="str">
        <f>_xlfn.XLOOKUP(B108,'Country Code M49'!$B$2:$B$250,'Country Code M49'!$C$2:$C$250,,0)</f>
        <v>LAO</v>
      </c>
      <c r="E108" s="27">
        <f>_xlfn.XLOOKUP(B108,'[3]Food Service Estimates'!$B$3:$B$237,'[3]Food Service Estimates'!$D$3:$D$237)</f>
        <v>27.648074566430626</v>
      </c>
      <c r="F108" s="162">
        <v>198222.87060402439</v>
      </c>
      <c r="G108" s="160" t="s">
        <v>872</v>
      </c>
      <c r="H108" s="188">
        <f>_xlfn.XLOOKUP(D108,'[1]World Population'!$C$2:$C$267,'[1]World Population'!$BN$2:$BN$267)</f>
        <v>7275556</v>
      </c>
      <c r="I108" s="188">
        <v>91.571563720703097</v>
      </c>
      <c r="J108" s="194">
        <f>_xlfn.XLOOKUP(D108,'[2]GDP 2015 Constant'!$B$6:$B$271,'[2]GDP 2015 Constant'!$BM$6:$BM$271)</f>
        <v>18584865506</v>
      </c>
      <c r="K108" s="193">
        <f t="shared" si="2"/>
        <v>2554.4254632910529</v>
      </c>
      <c r="L108" s="194">
        <f>_xlfn.XLOOKUP(D108,'[5]Tourism Receipts'!$B$6:$B$271,'[5]Tourism Receipts'!$BK$6:$BK$271)</f>
        <v>833000000</v>
      </c>
      <c r="M108" s="195">
        <f t="shared" si="3"/>
        <v>4.4821416637697564E-2</v>
      </c>
      <c r="N108">
        <v>3.9951679796622299</v>
      </c>
      <c r="O108" s="188">
        <v>602157</v>
      </c>
      <c r="P108" s="188">
        <v>110.98</v>
      </c>
      <c r="Q108">
        <v>62.1773858393124</v>
      </c>
      <c r="R108">
        <v>59.836973152085399</v>
      </c>
      <c r="S108">
        <v>3507.4045206547198</v>
      </c>
      <c r="T108">
        <v>30.5391129680219</v>
      </c>
    </row>
    <row r="109" spans="1:20" x14ac:dyDescent="0.2">
      <c r="A109" s="161" t="s">
        <v>153</v>
      </c>
      <c r="B109" s="161">
        <v>428</v>
      </c>
      <c r="C109" s="161" t="s">
        <v>777</v>
      </c>
      <c r="D109" t="str">
        <f>_xlfn.XLOOKUP(B109,'Country Code M49'!$B$2:$B$250,'Country Code M49'!$C$2:$C$250,,0)</f>
        <v>LVA</v>
      </c>
      <c r="E109" s="27">
        <f>_xlfn.XLOOKUP(B109,'[3]Food Service Estimates'!$B$3:$B$237,'[3]Food Service Estimates'!$D$3:$D$237)</f>
        <v>25.5704180040103</v>
      </c>
      <c r="F109" s="162">
        <v>48755.116008246434</v>
      </c>
      <c r="G109" s="160" t="s">
        <v>877</v>
      </c>
      <c r="H109" s="188">
        <f>_xlfn.XLOOKUP(D109,'[1]World Population'!$C$2:$C$267,'[1]World Population'!$BN$2:$BN$267)</f>
        <v>1900449</v>
      </c>
      <c r="I109" s="188">
        <v>47.352737426757798</v>
      </c>
      <c r="J109" s="194">
        <f>_xlfn.XLOOKUP(D109,'[2]GDP 2015 Constant'!$B$6:$B$271,'[2]GDP 2015 Constant'!$BM$6:$BM$271)</f>
        <v>29570216090</v>
      </c>
      <c r="K109" s="193">
        <f t="shared" si="2"/>
        <v>15559.594648422557</v>
      </c>
      <c r="L109" s="194">
        <f>_xlfn.XLOOKUP(D109,'[5]Tourism Receipts'!$B$6:$B$271,'[5]Tourism Receipts'!$BK$6:$BK$271)</f>
        <v>0</v>
      </c>
      <c r="M109" s="195">
        <f t="shared" si="3"/>
        <v>0</v>
      </c>
      <c r="N109">
        <v>3.1690998514984998</v>
      </c>
      <c r="O109" s="188">
        <v>755918</v>
      </c>
      <c r="P109" s="188">
        <v>100.2</v>
      </c>
      <c r="Q109">
        <v>47.502786145557799</v>
      </c>
      <c r="R109">
        <v>20.6977589568566</v>
      </c>
      <c r="S109">
        <v>2588.8645443588798</v>
      </c>
      <c r="T109">
        <v>667.19863147605099</v>
      </c>
    </row>
    <row r="110" spans="1:20" x14ac:dyDescent="0.2">
      <c r="A110" s="161" t="s">
        <v>148</v>
      </c>
      <c r="B110" s="161">
        <v>422</v>
      </c>
      <c r="C110" s="161" t="s">
        <v>119</v>
      </c>
      <c r="D110" t="str">
        <f>_xlfn.XLOOKUP(B110,'Country Code M49'!$B$2:$B$250,'Country Code M49'!$C$2:$C$250,,0)</f>
        <v>LBN</v>
      </c>
      <c r="E110" s="27">
        <f>_xlfn.XLOOKUP(B110,'[3]Food Service Estimates'!$B$3:$B$237,'[3]Food Service Estimates'!$D$3:$D$237)</f>
        <v>27.648074566430626</v>
      </c>
      <c r="F110" s="162">
        <v>189546.90480507843</v>
      </c>
      <c r="G110" s="160" t="s">
        <v>872</v>
      </c>
      <c r="H110" s="188">
        <f>_xlfn.XLOOKUP(D110,'[1]World Population'!$C$2:$C$267,'[1]World Population'!$BN$2:$BN$267)</f>
        <v>6825442</v>
      </c>
      <c r="I110" s="188">
        <v>100</v>
      </c>
      <c r="J110" s="194">
        <f>_xlfn.XLOOKUP(D110,'[2]GDP 2015 Constant'!$B$6:$B$271,'[2]GDP 2015 Constant'!$BM$6:$BM$271)</f>
        <v>34621752540</v>
      </c>
      <c r="K110" s="193">
        <f t="shared" si="2"/>
        <v>5072.4557530486672</v>
      </c>
      <c r="L110" s="194">
        <f>_xlfn.XLOOKUP(D110,'[5]Tourism Receipts'!$B$6:$B$271,'[5]Tourism Receipts'!$BK$6:$BK$271)</f>
        <v>8694000000</v>
      </c>
      <c r="M110" s="195">
        <f t="shared" si="3"/>
        <v>0.25111380453532639</v>
      </c>
      <c r="N110">
        <v>4.3386561443384801</v>
      </c>
      <c r="O110" s="188">
        <v>1520399</v>
      </c>
      <c r="P110" s="188">
        <v>98.58</v>
      </c>
      <c r="Q110">
        <v>94.440733195572705</v>
      </c>
      <c r="R110">
        <v>45.878177980757698</v>
      </c>
      <c r="S110">
        <v>0</v>
      </c>
      <c r="T110">
        <v>70.561660079051407</v>
      </c>
    </row>
    <row r="111" spans="1:20" x14ac:dyDescent="0.2">
      <c r="A111" s="161" t="s">
        <v>154</v>
      </c>
      <c r="B111" s="161">
        <v>426</v>
      </c>
      <c r="C111" s="161" t="s">
        <v>833</v>
      </c>
      <c r="D111" t="str">
        <f>_xlfn.XLOOKUP(B111,'Country Code M49'!$B$2:$B$250,'Country Code M49'!$C$2:$C$250,,0)</f>
        <v>LSO</v>
      </c>
      <c r="E111" s="27">
        <f>_xlfn.XLOOKUP(B111,'[3]Food Service Estimates'!$B$3:$B$237,'[3]Food Service Estimates'!$D$3:$D$237)</f>
        <v>27.648074566430626</v>
      </c>
      <c r="F111" s="162">
        <v>58760.452876035015</v>
      </c>
      <c r="G111" s="160" t="s">
        <v>872</v>
      </c>
      <c r="H111" s="188">
        <f>_xlfn.XLOOKUP(D111,'[1]World Population'!$C$2:$C$267,'[1]World Population'!$BN$2:$BN$267)</f>
        <v>2142252</v>
      </c>
      <c r="I111" s="188">
        <v>33.3354682922363</v>
      </c>
      <c r="J111" s="194">
        <f>_xlfn.XLOOKUP(D111,'[2]GDP 2015 Constant'!$B$6:$B$271,'[2]GDP 2015 Constant'!$BM$6:$BM$271)</f>
        <v>2213872052</v>
      </c>
      <c r="K111" s="193">
        <f t="shared" si="2"/>
        <v>1033.4321321674574</v>
      </c>
      <c r="L111" s="194">
        <f>_xlfn.XLOOKUP(D111,'[5]Tourism Receipts'!$B$6:$B$271,'[5]Tourism Receipts'!$BK$6:$BK$271)</f>
        <v>0</v>
      </c>
      <c r="M111" s="195">
        <f t="shared" si="3"/>
        <v>0</v>
      </c>
      <c r="N111">
        <v>36.437151322457403</v>
      </c>
      <c r="O111" s="188">
        <v>2423184</v>
      </c>
      <c r="P111" s="188">
        <v>100.62</v>
      </c>
      <c r="Q111">
        <v>0</v>
      </c>
      <c r="R111">
        <v>0</v>
      </c>
      <c r="S111">
        <v>0</v>
      </c>
      <c r="T111">
        <v>52.509105066445201</v>
      </c>
    </row>
    <row r="112" spans="1:20" x14ac:dyDescent="0.2">
      <c r="A112" s="161" t="s">
        <v>154</v>
      </c>
      <c r="B112" s="161">
        <v>430</v>
      </c>
      <c r="C112" s="161" t="s">
        <v>834</v>
      </c>
      <c r="D112" t="str">
        <f>_xlfn.XLOOKUP(B112,'Country Code M49'!$B$2:$B$250,'Country Code M49'!$C$2:$C$250,,0)</f>
        <v>LBR</v>
      </c>
      <c r="E112" s="27">
        <f>_xlfn.XLOOKUP(B112,'[3]Food Service Estimates'!$B$3:$B$237,'[3]Food Service Estimates'!$D$3:$D$237)</f>
        <v>27.648074566430626</v>
      </c>
      <c r="F112" s="162">
        <v>136509.6033642946</v>
      </c>
      <c r="G112" s="160" t="s">
        <v>872</v>
      </c>
      <c r="H112" s="188">
        <f>_xlfn.XLOOKUP(D112,'[1]World Population'!$C$2:$C$267,'[1]World Population'!$BN$2:$BN$267)</f>
        <v>5057677</v>
      </c>
      <c r="I112" s="188">
        <v>66.747726440429702</v>
      </c>
      <c r="J112" s="194">
        <f>_xlfn.XLOOKUP(D112,'[2]GDP 2015 Constant'!$B$6:$B$271,'[2]GDP 2015 Constant'!$BM$6:$BM$271)</f>
        <v>3115556272</v>
      </c>
      <c r="K112" s="193">
        <f t="shared" si="2"/>
        <v>616.00538587181427</v>
      </c>
      <c r="L112" s="194">
        <f>_xlfn.XLOOKUP(D112,'[5]Tourism Receipts'!$B$6:$B$271,'[5]Tourism Receipts'!$BK$6:$BK$271)</f>
        <v>0</v>
      </c>
      <c r="M112" s="195">
        <f t="shared" si="3"/>
        <v>0</v>
      </c>
      <c r="N112">
        <v>4.0887897516922997</v>
      </c>
      <c r="O112" s="188">
        <v>1326777</v>
      </c>
      <c r="P112" s="188">
        <v>104.59</v>
      </c>
      <c r="Q112">
        <v>24.167629179766902</v>
      </c>
      <c r="R112">
        <v>42.835117286532302</v>
      </c>
      <c r="S112">
        <v>1811.05460057695</v>
      </c>
      <c r="T112">
        <v>3.9051610079907202</v>
      </c>
    </row>
    <row r="113" spans="1:20" x14ac:dyDescent="0.2">
      <c r="A113" s="161" t="s">
        <v>876</v>
      </c>
      <c r="B113" s="161">
        <v>434</v>
      </c>
      <c r="C113" s="161" t="s">
        <v>766</v>
      </c>
      <c r="D113" t="str">
        <f>_xlfn.XLOOKUP(B113,'Country Code M49'!$B$2:$B$250,'Country Code M49'!$C$2:$C$250,,0)</f>
        <v>LBY</v>
      </c>
      <c r="E113" s="27">
        <f>_xlfn.XLOOKUP(B113,'[3]Food Service Estimates'!$B$3:$B$237,'[3]Food Service Estimates'!$D$3:$D$237)</f>
        <v>27.648074566430626</v>
      </c>
      <c r="F113" s="162">
        <v>187384.82537398356</v>
      </c>
      <c r="G113" s="160" t="s">
        <v>872</v>
      </c>
      <c r="H113" s="188">
        <f>_xlfn.XLOOKUP(D113,'[1]World Population'!$C$2:$C$267,'[1]World Population'!$BN$2:$BN$267)</f>
        <v>6871287</v>
      </c>
      <c r="I113" s="188">
        <v>96.123313903808594</v>
      </c>
      <c r="J113" s="194">
        <f>_xlfn.XLOOKUP(D113,'[2]GDP 2015 Constant'!$B$6:$B$271,'[2]GDP 2015 Constant'!$BM$6:$BM$271)</f>
        <v>46364963765</v>
      </c>
      <c r="K113" s="193">
        <f t="shared" si="2"/>
        <v>6747.638945222343</v>
      </c>
      <c r="L113" s="194">
        <f>_xlfn.XLOOKUP(D113,'[5]Tourism Receipts'!$B$6:$B$271,'[5]Tourism Receipts'!$BK$6:$BK$271)</f>
        <v>0</v>
      </c>
      <c r="M113" s="195">
        <f t="shared" si="3"/>
        <v>0</v>
      </c>
      <c r="N113">
        <v>0.13933681936312101</v>
      </c>
      <c r="O113" s="188">
        <v>32639</v>
      </c>
      <c r="P113" s="188">
        <v>0</v>
      </c>
      <c r="Q113">
        <v>0</v>
      </c>
      <c r="R113">
        <v>0</v>
      </c>
      <c r="S113">
        <v>0</v>
      </c>
      <c r="T113">
        <v>238.35624999999999</v>
      </c>
    </row>
    <row r="114" spans="1:20" x14ac:dyDescent="0.2">
      <c r="A114" s="161" t="s">
        <v>147</v>
      </c>
      <c r="B114" s="161">
        <v>438</v>
      </c>
      <c r="C114" s="161" t="s">
        <v>868</v>
      </c>
      <c r="D114" t="str">
        <f>_xlfn.XLOOKUP(B114,'Country Code M49'!$B$2:$B$250,'Country Code M49'!$C$2:$C$250,,0)</f>
        <v>LIE</v>
      </c>
      <c r="E114" s="27">
        <f>_xlfn.XLOOKUP(B114,'[3]Food Service Estimates'!$B$3:$B$237,'[3]Food Service Estimates'!$D$3:$D$237)</f>
        <v>25.5704180040103</v>
      </c>
      <c r="F114" s="162">
        <v>971.67588415239129</v>
      </c>
      <c r="G114" s="160" t="s">
        <v>877</v>
      </c>
      <c r="H114" s="188">
        <f>_xlfn.XLOOKUP(D114,'[1]World Population'!$C$2:$C$267,'[1]World Population'!$BN$2:$BN$267)</f>
        <v>38137</v>
      </c>
      <c r="I114" s="188">
        <v>79.730499267578097</v>
      </c>
      <c r="J114" s="194" t="e">
        <f>_xlfn.XLOOKUP(D114,'[2]GDP 2015 Constant'!$B$6:$B$271,'[2]GDP 2015 Constant'!$BM$6:$BM$271)</f>
        <v>#REF!</v>
      </c>
      <c r="K114" s="193" t="e">
        <f t="shared" si="2"/>
        <v>#REF!</v>
      </c>
      <c r="L114" s="194">
        <f>_xlfn.XLOOKUP(D114,'[5]Tourism Receipts'!$B$6:$B$271,'[5]Tourism Receipts'!$BK$6:$BK$271)</f>
        <v>0</v>
      </c>
      <c r="M114" s="195" t="e">
        <f t="shared" si="3"/>
        <v>#REF!</v>
      </c>
      <c r="N114">
        <v>3.1064859566756899</v>
      </c>
      <c r="O114" s="188">
        <v>893078</v>
      </c>
      <c r="P114" s="188">
        <v>107.56</v>
      </c>
      <c r="Q114">
        <v>73.385992684621797</v>
      </c>
      <c r="R114">
        <v>77.314777955815302</v>
      </c>
      <c r="S114">
        <v>3821.1451704373999</v>
      </c>
      <c r="T114">
        <v>44.632465665921401</v>
      </c>
    </row>
    <row r="115" spans="1:20" x14ac:dyDescent="0.2">
      <c r="A115" s="161" t="s">
        <v>153</v>
      </c>
      <c r="B115" s="161">
        <v>440</v>
      </c>
      <c r="C115" s="161" t="s">
        <v>778</v>
      </c>
      <c r="D115" t="str">
        <f>_xlfn.XLOOKUP(B115,'Country Code M49'!$B$2:$B$250,'Country Code M49'!$C$2:$C$250,,0)</f>
        <v>LTU</v>
      </c>
      <c r="E115" s="27">
        <f>_xlfn.XLOOKUP(B115,'[3]Food Service Estimates'!$B$3:$B$237,'[3]Food Service Estimates'!$D$3:$D$237)</f>
        <v>25.5704180040103</v>
      </c>
      <c r="F115" s="162">
        <v>70564.125523866824</v>
      </c>
      <c r="G115" s="160" t="s">
        <v>877</v>
      </c>
      <c r="H115" s="188">
        <f>_xlfn.XLOOKUP(D115,'[1]World Population'!$C$2:$C$267,'[1]World Population'!$BN$2:$BN$267)</f>
        <v>2794885</v>
      </c>
      <c r="I115" s="188">
        <v>61.767082214355497</v>
      </c>
      <c r="J115" s="194">
        <f>_xlfn.XLOOKUP(D115,'[2]GDP 2015 Constant'!$B$6:$B$271,'[2]GDP 2015 Constant'!$BM$6:$BM$271)</f>
        <v>48110631393</v>
      </c>
      <c r="K115" s="193">
        <f t="shared" si="2"/>
        <v>17213.814304703057</v>
      </c>
      <c r="L115" s="194">
        <f>_xlfn.XLOOKUP(D115,'[5]Tourism Receipts'!$B$6:$B$271,'[5]Tourism Receipts'!$BK$6:$BK$271)</f>
        <v>0</v>
      </c>
      <c r="M115" s="195">
        <f t="shared" si="3"/>
        <v>0</v>
      </c>
      <c r="N115">
        <v>0.21874304173027401</v>
      </c>
      <c r="O115" s="188">
        <v>53882</v>
      </c>
      <c r="P115" s="188">
        <v>113.78</v>
      </c>
      <c r="Q115">
        <v>163.71243456542999</v>
      </c>
      <c r="R115">
        <v>205.48207753851599</v>
      </c>
      <c r="S115">
        <v>13914.6784488756</v>
      </c>
      <c r="T115">
        <v>244.87426489438599</v>
      </c>
    </row>
    <row r="116" spans="1:20" x14ac:dyDescent="0.2">
      <c r="A116" s="161" t="s">
        <v>147</v>
      </c>
      <c r="B116" s="161">
        <v>442</v>
      </c>
      <c r="C116" s="161" t="s">
        <v>120</v>
      </c>
      <c r="D116" t="str">
        <f>_xlfn.XLOOKUP(B116,'Country Code M49'!$B$2:$B$250,'Country Code M49'!$C$2:$C$250,,0)</f>
        <v>LUX</v>
      </c>
      <c r="E116" s="27">
        <f>_xlfn.XLOOKUP(B116,'[3]Food Service Estimates'!$B$3:$B$237,'[3]Food Service Estimates'!$D$3:$D$237)</f>
        <v>20.9</v>
      </c>
      <c r="F116" s="162">
        <v>12868.13</v>
      </c>
      <c r="G116" s="160" t="s">
        <v>881</v>
      </c>
      <c r="H116" s="188">
        <f>_xlfn.XLOOKUP(D116,'[1]World Population'!$C$2:$C$267,'[1]World Population'!$BN$2:$BN$267)</f>
        <v>630419</v>
      </c>
      <c r="I116" s="188">
        <v>100</v>
      </c>
      <c r="J116" s="194">
        <f>_xlfn.XLOOKUP(D116,'[2]GDP 2015 Constant'!$B$6:$B$271,'[2]GDP 2015 Constant'!$BM$6:$BM$271)</f>
        <v>66117875823</v>
      </c>
      <c r="K116" s="193">
        <f t="shared" si="2"/>
        <v>104879.25621372453</v>
      </c>
      <c r="L116" s="194">
        <f>_xlfn.XLOOKUP(D116,'[5]Tourism Receipts'!$B$6:$B$271,'[5]Tourism Receipts'!$BK$6:$BK$271)</f>
        <v>5642000000</v>
      </c>
      <c r="M116" s="195">
        <f t="shared" si="3"/>
        <v>8.5332444966983556E-2</v>
      </c>
      <c r="N116">
        <v>22.815124858235201</v>
      </c>
      <c r="O116" s="188">
        <v>17020562</v>
      </c>
      <c r="P116" s="188">
        <v>102.41</v>
      </c>
      <c r="Q116">
        <v>36.693806456154199</v>
      </c>
      <c r="R116">
        <v>28.249657179942801</v>
      </c>
      <c r="S116">
        <v>0</v>
      </c>
      <c r="T116">
        <v>47.595426263320697</v>
      </c>
    </row>
    <row r="117" spans="1:20" x14ac:dyDescent="0.2">
      <c r="A117" s="161" t="s">
        <v>154</v>
      </c>
      <c r="B117" s="161">
        <v>450</v>
      </c>
      <c r="C117" s="161" t="s">
        <v>835</v>
      </c>
      <c r="D117" t="str">
        <f>_xlfn.XLOOKUP(B117,'Country Code M49'!$B$2:$B$250,'Country Code M49'!$C$2:$C$250,,0)</f>
        <v>MDG</v>
      </c>
      <c r="E117" s="27">
        <f>_xlfn.XLOOKUP(B117,'[3]Food Service Estimates'!$B$3:$B$237,'[3]Food Service Estimates'!$D$3:$D$237)</f>
        <v>27.648074566430626</v>
      </c>
      <c r="F117" s="162">
        <v>745649.21740443748</v>
      </c>
      <c r="G117" s="160" t="s">
        <v>872</v>
      </c>
      <c r="H117" s="188">
        <f>_xlfn.XLOOKUP(D117,'[1]World Population'!$C$2:$C$267,'[1]World Population'!$BN$2:$BN$267)</f>
        <v>27691019</v>
      </c>
      <c r="I117" s="188">
        <v>86.737136840820298</v>
      </c>
      <c r="J117" s="194">
        <f>_xlfn.XLOOKUP(D117,'[2]GDP 2015 Constant'!$B$6:$B$271,'[2]GDP 2015 Constant'!$BM$6:$BM$271)</f>
        <v>12244127641</v>
      </c>
      <c r="K117" s="193">
        <f t="shared" si="2"/>
        <v>442.16963055783538</v>
      </c>
      <c r="L117" s="194">
        <f>_xlfn.XLOOKUP(D117,'[5]Tourism Receipts'!$B$6:$B$271,'[5]Tourism Receipts'!$BK$6:$BK$271)</f>
        <v>879000000</v>
      </c>
      <c r="M117" s="195">
        <f t="shared" si="3"/>
        <v>7.1789516229529476E-2</v>
      </c>
      <c r="N117">
        <v>23.002540313068899</v>
      </c>
      <c r="O117" s="188">
        <v>15796178</v>
      </c>
      <c r="P117" s="188">
        <v>132.97</v>
      </c>
      <c r="Q117">
        <v>0</v>
      </c>
      <c r="R117">
        <v>0</v>
      </c>
      <c r="S117">
        <v>0</v>
      </c>
      <c r="T117">
        <v>202.905759439966</v>
      </c>
    </row>
    <row r="118" spans="1:20" x14ac:dyDescent="0.2">
      <c r="A118" s="161" t="s">
        <v>154</v>
      </c>
      <c r="B118" s="161">
        <v>454</v>
      </c>
      <c r="C118" s="161" t="s">
        <v>836</v>
      </c>
      <c r="D118" t="str">
        <f>_xlfn.XLOOKUP(B118,'Country Code M49'!$B$2:$B$250,'Country Code M49'!$C$2:$C$250,,0)</f>
        <v>MWI</v>
      </c>
      <c r="E118" s="27">
        <f>_xlfn.XLOOKUP(B118,'[3]Food Service Estimates'!$B$3:$B$237,'[3]Food Service Estimates'!$D$3:$D$237)</f>
        <v>27.648074566430626</v>
      </c>
      <c r="F118" s="162">
        <v>515047.68667566619</v>
      </c>
      <c r="G118" s="160" t="s">
        <v>872</v>
      </c>
      <c r="H118" s="188">
        <f>_xlfn.XLOOKUP(D118,'[1]World Population'!$C$2:$C$267,'[1]World Population'!$BN$2:$BN$267)</f>
        <v>19129955</v>
      </c>
      <c r="I118" s="188">
        <v>92.540542602539105</v>
      </c>
      <c r="J118" s="194">
        <f>_xlfn.XLOOKUP(D118,'[2]GDP 2015 Constant'!$B$6:$B$271,'[2]GDP 2015 Constant'!$BM$6:$BM$271)</f>
        <v>7537262760</v>
      </c>
      <c r="K118" s="193">
        <f t="shared" si="2"/>
        <v>394.00316205657566</v>
      </c>
      <c r="L118" s="194">
        <f>_xlfn.XLOOKUP(D118,'[5]Tourism Receipts'!$B$6:$B$271,'[5]Tourism Receipts'!$BK$6:$BK$271)</f>
        <v>55000000</v>
      </c>
      <c r="M118" s="195">
        <f t="shared" si="3"/>
        <v>7.2970787607250674E-3</v>
      </c>
      <c r="N118">
        <v>7.2397623575184404</v>
      </c>
      <c r="O118" s="188">
        <v>7392394</v>
      </c>
      <c r="P118" s="188">
        <v>97.57</v>
      </c>
      <c r="Q118">
        <v>61.8476540824403</v>
      </c>
      <c r="R118">
        <v>65.259663184729305</v>
      </c>
      <c r="S118">
        <v>4651.9514135620202</v>
      </c>
      <c r="T118">
        <v>98.511635976259299</v>
      </c>
    </row>
    <row r="119" spans="1:20" x14ac:dyDescent="0.2">
      <c r="A119" s="161" t="s">
        <v>157</v>
      </c>
      <c r="B119" s="161">
        <v>458</v>
      </c>
      <c r="C119" s="161" t="s">
        <v>121</v>
      </c>
      <c r="D119" t="str">
        <f>_xlfn.XLOOKUP(B119,'Country Code M49'!$B$2:$B$250,'Country Code M49'!$C$2:$C$250,,0)</f>
        <v>MYS</v>
      </c>
      <c r="E119" s="27">
        <f>_xlfn.XLOOKUP(B119,'[3]Food Service Estimates'!$B$3:$B$237,'[3]Food Service Estimates'!$D$3:$D$237)</f>
        <v>89.563549462297971</v>
      </c>
      <c r="F119" s="162">
        <v>2861537.4926105277</v>
      </c>
      <c r="G119" s="160" t="s">
        <v>881</v>
      </c>
      <c r="H119" s="188">
        <f>_xlfn.XLOOKUP(D119,'[1]World Population'!$C$2:$C$267,'[1]World Population'!$BN$2:$BN$267)</f>
        <v>32365998</v>
      </c>
      <c r="I119" s="188">
        <v>100</v>
      </c>
      <c r="J119" s="194">
        <f>_xlfn.XLOOKUP(D119,'[2]GDP 2015 Constant'!$B$6:$B$271,'[2]GDP 2015 Constant'!$BM$6:$BM$271)</f>
        <v>344099000000</v>
      </c>
      <c r="K119" s="193">
        <f t="shared" si="2"/>
        <v>10631.496671290655</v>
      </c>
      <c r="L119" s="194">
        <f>_xlfn.XLOOKUP(D119,'[5]Tourism Receipts'!$B$6:$B$271,'[5]Tourism Receipts'!$BK$6:$BK$271)</f>
        <v>21775000000</v>
      </c>
      <c r="M119" s="195">
        <f t="shared" si="3"/>
        <v>6.3281206861978676E-2</v>
      </c>
      <c r="N119">
        <v>4.60699986258878</v>
      </c>
      <c r="O119" s="188">
        <v>320709</v>
      </c>
      <c r="P119" s="188">
        <v>105.49</v>
      </c>
      <c r="Q119">
        <v>83.719369050368897</v>
      </c>
      <c r="R119">
        <v>69.446830850487899</v>
      </c>
      <c r="S119">
        <v>0</v>
      </c>
      <c r="T119">
        <v>1801.80666666667</v>
      </c>
    </row>
    <row r="120" spans="1:20" x14ac:dyDescent="0.2">
      <c r="A120" s="161" t="s">
        <v>149</v>
      </c>
      <c r="B120" s="161">
        <v>462</v>
      </c>
      <c r="C120" s="161" t="s">
        <v>800</v>
      </c>
      <c r="D120" t="str">
        <f>_xlfn.XLOOKUP(B120,'Country Code M49'!$B$2:$B$250,'Country Code M49'!$C$2:$C$250,,0)</f>
        <v>MDV</v>
      </c>
      <c r="E120" s="27">
        <f>_xlfn.XLOOKUP(B120,'[3]Food Service Estimates'!$B$3:$B$237,'[3]Food Service Estimates'!$D$3:$D$237)</f>
        <v>27.648074566430626</v>
      </c>
      <c r="F120" s="162">
        <v>14681.127594774664</v>
      </c>
      <c r="G120" s="160" t="s">
        <v>872</v>
      </c>
      <c r="H120" s="188">
        <f>_xlfn.XLOOKUP(D120,'[1]World Population'!$C$2:$C$267,'[1]World Population'!$BN$2:$BN$267)</f>
        <v>540542</v>
      </c>
      <c r="I120" s="188">
        <v>73.346481323242202</v>
      </c>
      <c r="J120" s="194">
        <f>_xlfn.XLOOKUP(D120,'[2]GDP 2015 Constant'!$B$6:$B$271,'[2]GDP 2015 Constant'!$BM$6:$BM$271)</f>
        <v>3600460153</v>
      </c>
      <c r="K120" s="193">
        <f t="shared" si="2"/>
        <v>6660.833298800093</v>
      </c>
      <c r="L120" s="194">
        <f>_xlfn.XLOOKUP(D120,'[5]Tourism Receipts'!$B$6:$B$271,'[5]Tourism Receipts'!$BK$6:$BK$271)</f>
        <v>3054000000</v>
      </c>
      <c r="M120" s="195">
        <f t="shared" si="3"/>
        <v>0.848224912989337</v>
      </c>
      <c r="N120">
        <v>37.307797318090799</v>
      </c>
      <c r="O120" s="188">
        <v>11358895</v>
      </c>
      <c r="P120" s="188">
        <v>134.57</v>
      </c>
      <c r="Q120">
        <v>35.622408402120698</v>
      </c>
      <c r="R120">
        <v>25.705291132007002</v>
      </c>
      <c r="S120">
        <v>0</v>
      </c>
      <c r="T120">
        <v>16.5964595677722</v>
      </c>
    </row>
    <row r="121" spans="1:20" x14ac:dyDescent="0.2">
      <c r="A121" s="161" t="s">
        <v>154</v>
      </c>
      <c r="B121" s="161">
        <v>466</v>
      </c>
      <c r="C121" s="161" t="s">
        <v>837</v>
      </c>
      <c r="D121" t="str">
        <f>_xlfn.XLOOKUP(B121,'Country Code M49'!$B$2:$B$250,'Country Code M49'!$C$2:$C$250,,0)</f>
        <v>MLI</v>
      </c>
      <c r="E121" s="27">
        <f>_xlfn.XLOOKUP(B121,'[3]Food Service Estimates'!$B$3:$B$237,'[3]Food Service Estimates'!$D$3:$D$237)</f>
        <v>27.648074566430626</v>
      </c>
      <c r="F121" s="162">
        <v>543505.84982689319</v>
      </c>
      <c r="G121" s="160" t="s">
        <v>872</v>
      </c>
      <c r="H121" s="188">
        <f>_xlfn.XLOOKUP(D121,'[1]World Population'!$C$2:$C$267,'[1]World Population'!$BN$2:$BN$267)</f>
        <v>20250834</v>
      </c>
      <c r="I121" s="188">
        <v>100</v>
      </c>
      <c r="J121" s="194">
        <f>_xlfn.XLOOKUP(D121,'[2]GDP 2015 Constant'!$B$6:$B$271,'[2]GDP 2015 Constant'!$BM$6:$BM$271)</f>
        <v>15830713977</v>
      </c>
      <c r="K121" s="193">
        <f t="shared" si="2"/>
        <v>781.73145743034581</v>
      </c>
      <c r="L121" s="194">
        <f>_xlfn.XLOOKUP(D121,'[5]Tourism Receipts'!$B$6:$B$271,'[5]Tourism Receipts'!$BK$6:$BK$271)</f>
        <v>231000000</v>
      </c>
      <c r="M121" s="195">
        <f t="shared" si="3"/>
        <v>1.4591887664423311E-2</v>
      </c>
      <c r="N121">
        <v>0.47568325233029801</v>
      </c>
      <c r="O121" s="188">
        <v>27086</v>
      </c>
      <c r="P121" s="188">
        <v>74.27</v>
      </c>
      <c r="Q121">
        <v>127.757221921013</v>
      </c>
      <c r="R121">
        <v>146.079187783961</v>
      </c>
      <c r="S121">
        <v>4924.54401944044</v>
      </c>
      <c r="T121">
        <v>1610.4124999999999</v>
      </c>
    </row>
    <row r="122" spans="1:20" x14ac:dyDescent="0.2">
      <c r="A122" s="161" t="s">
        <v>155</v>
      </c>
      <c r="B122" s="161">
        <v>470</v>
      </c>
      <c r="C122" s="161" t="s">
        <v>122</v>
      </c>
      <c r="D122" t="str">
        <f>_xlfn.XLOOKUP(B122,'Country Code M49'!$B$2:$B$250,'Country Code M49'!$C$2:$C$250,,0)</f>
        <v>MLT</v>
      </c>
      <c r="E122" s="27">
        <f>_xlfn.XLOOKUP(B122,'[3]Food Service Estimates'!$B$3:$B$237,'[3]Food Service Estimates'!$D$3:$D$237)</f>
        <v>25.5704180040103</v>
      </c>
      <c r="F122" s="162">
        <v>11261.212088966136</v>
      </c>
      <c r="G122" s="160" t="s">
        <v>877</v>
      </c>
      <c r="H122" s="188">
        <f>_xlfn.XLOOKUP(D122,'[1]World Population'!$C$2:$C$267,'[1]World Population'!$BN$2:$BN$267)</f>
        <v>515332</v>
      </c>
      <c r="I122" s="188">
        <v>98.204772949218807</v>
      </c>
      <c r="J122" s="194">
        <f>_xlfn.XLOOKUP(D122,'[2]GDP 2015 Constant'!$B$6:$B$271,'[2]GDP 2015 Constant'!$BM$6:$BM$271)</f>
        <v>13103388907</v>
      </c>
      <c r="K122" s="193">
        <f t="shared" si="2"/>
        <v>25427.081778348715</v>
      </c>
      <c r="L122" s="194">
        <f>_xlfn.XLOOKUP(D122,'[5]Tourism Receipts'!$B$6:$B$271,'[5]Tourism Receipts'!$BK$6:$BK$271)</f>
        <v>0</v>
      </c>
      <c r="M122" s="195">
        <f t="shared" si="3"/>
        <v>0</v>
      </c>
      <c r="N122">
        <v>20.150779538482499</v>
      </c>
      <c r="O122" s="188">
        <v>13145</v>
      </c>
      <c r="P122" s="188">
        <v>96.09</v>
      </c>
      <c r="Q122">
        <v>85.884626892412001</v>
      </c>
      <c r="R122">
        <v>37.872741501581501</v>
      </c>
      <c r="S122">
        <v>0</v>
      </c>
      <c r="T122">
        <v>328.85555555555601</v>
      </c>
    </row>
    <row r="123" spans="1:20" x14ac:dyDescent="0.2">
      <c r="A123" s="161" t="s">
        <v>875</v>
      </c>
      <c r="B123" s="161">
        <v>584</v>
      </c>
      <c r="C123" s="161" t="s">
        <v>759</v>
      </c>
      <c r="D123" t="str">
        <f>_xlfn.XLOOKUP(B123,'Country Code M49'!$B$2:$B$250,'Country Code M49'!$C$2:$C$250,,0)</f>
        <v>MHL</v>
      </c>
      <c r="E123" s="27">
        <f>_xlfn.XLOOKUP(B123,'[3]Food Service Estimates'!$B$3:$B$237,'[3]Food Service Estimates'!$D$3:$D$237)</f>
        <v>27.648074566430626</v>
      </c>
      <c r="F123" s="162">
        <v>1625.7067845061208</v>
      </c>
      <c r="G123" s="160" t="s">
        <v>872</v>
      </c>
      <c r="H123" s="188">
        <f>_xlfn.XLOOKUP(D123,'[1]World Population'!$C$2:$C$267,'[1]World Population'!$BN$2:$BN$267)</f>
        <v>59194</v>
      </c>
      <c r="I123" s="188">
        <v>94.1617431640625</v>
      </c>
      <c r="J123" s="194">
        <f>_xlfn.XLOOKUP(D123,'[2]GDP 2015 Constant'!$B$6:$B$271,'[2]GDP 2015 Constant'!$BM$6:$BM$271)</f>
        <v>207699800</v>
      </c>
      <c r="K123" s="193">
        <f t="shared" si="2"/>
        <v>3508.7981890056426</v>
      </c>
      <c r="L123" s="194">
        <f>_xlfn.XLOOKUP(D123,'[5]Tourism Receipts'!$B$6:$B$271,'[5]Tourism Receipts'!$BK$6:$BK$271)</f>
        <v>20100000.379999999</v>
      </c>
      <c r="M123" s="195">
        <f t="shared" si="3"/>
        <v>9.6774288564553265E-2</v>
      </c>
      <c r="N123">
        <v>21.6769475143352</v>
      </c>
      <c r="O123" s="188">
        <v>2077143</v>
      </c>
      <c r="P123" s="188">
        <v>110.49</v>
      </c>
      <c r="Q123">
        <v>47.925066808759802</v>
      </c>
      <c r="R123">
        <v>39.184759906082697</v>
      </c>
      <c r="S123">
        <v>0</v>
      </c>
      <c r="T123">
        <v>4.5111671679441203</v>
      </c>
    </row>
    <row r="124" spans="1:20" x14ac:dyDescent="0.2">
      <c r="A124" s="161" t="s">
        <v>154</v>
      </c>
      <c r="B124" s="161">
        <v>478</v>
      </c>
      <c r="C124" s="161" t="s">
        <v>838</v>
      </c>
      <c r="D124" t="str">
        <f>_xlfn.XLOOKUP(B124,'Country Code M49'!$B$2:$B$250,'Country Code M49'!$C$2:$C$250,,0)</f>
        <v>MRT</v>
      </c>
      <c r="E124" s="27">
        <f>_xlfn.XLOOKUP(B124,'[3]Food Service Estimates'!$B$3:$B$237,'[3]Food Service Estimates'!$D$3:$D$237)</f>
        <v>27.648074566430626</v>
      </c>
      <c r="F124" s="162">
        <v>125126.89106529509</v>
      </c>
      <c r="G124" s="160" t="s">
        <v>872</v>
      </c>
      <c r="H124" s="188">
        <f>_xlfn.XLOOKUP(D124,'[1]World Population'!$C$2:$C$267,'[1]World Population'!$BN$2:$BN$267)</f>
        <v>4649660</v>
      </c>
      <c r="I124" s="188">
        <v>100</v>
      </c>
      <c r="J124" s="194">
        <f>_xlfn.XLOOKUP(D124,'[2]GDP 2015 Constant'!$B$6:$B$271,'[2]GDP 2015 Constant'!$BM$6:$BM$271)</f>
        <v>7206781562</v>
      </c>
      <c r="K124" s="193">
        <f t="shared" si="2"/>
        <v>1549.958827527174</v>
      </c>
      <c r="L124" s="194">
        <f>_xlfn.XLOOKUP(D124,'[5]Tourism Receipts'!$B$6:$B$271,'[5]Tourism Receipts'!$BK$6:$BK$271)</f>
        <v>6000000</v>
      </c>
      <c r="M124" s="195">
        <f t="shared" si="3"/>
        <v>8.3254916891568745E-4</v>
      </c>
      <c r="N124">
        <v>2.8979195350162801</v>
      </c>
      <c r="O124" s="188">
        <v>749824</v>
      </c>
      <c r="P124" s="188">
        <v>80.78</v>
      </c>
      <c r="Q124">
        <v>54.020729092208697</v>
      </c>
      <c r="R124">
        <v>38.470338421768801</v>
      </c>
      <c r="S124">
        <v>2182.5091559114098</v>
      </c>
      <c r="T124">
        <v>623.51724137931001</v>
      </c>
    </row>
    <row r="125" spans="1:20" x14ac:dyDescent="0.2">
      <c r="A125" s="161" t="s">
        <v>154</v>
      </c>
      <c r="B125" s="161">
        <v>480</v>
      </c>
      <c r="C125" s="161" t="s">
        <v>839</v>
      </c>
      <c r="D125" t="str">
        <f>_xlfn.XLOOKUP(B125,'Country Code M49'!$B$2:$B$250,'Country Code M49'!$C$2:$C$250,,0)</f>
        <v>MUS</v>
      </c>
      <c r="E125" s="27">
        <f>_xlfn.XLOOKUP(B125,'[3]Food Service Estimates'!$B$3:$B$237,'[3]Food Service Estimates'!$D$3:$D$237)</f>
        <v>25.5704180040103</v>
      </c>
      <c r="F125" s="162">
        <v>32466.759739691875</v>
      </c>
      <c r="G125" s="160" t="s">
        <v>877</v>
      </c>
      <c r="H125" s="188">
        <f>_xlfn.XLOOKUP(D125,'[1]World Population'!$C$2:$C$267,'[1]World Population'!$BN$2:$BN$267)</f>
        <v>1265740</v>
      </c>
      <c r="I125" s="188">
        <v>97.113334655761705</v>
      </c>
      <c r="J125" s="194">
        <f>_xlfn.XLOOKUP(D125,'[2]GDP 2015 Constant'!$B$6:$B$271,'[2]GDP 2015 Constant'!$BM$6:$BM$271)</f>
        <v>11465336643</v>
      </c>
      <c r="K125" s="193">
        <f t="shared" si="2"/>
        <v>9058.208354796403</v>
      </c>
      <c r="L125" s="194">
        <f>_xlfn.XLOOKUP(D125,'[5]Tourism Receipts'!$B$6:$B$271,'[5]Tourism Receipts'!$BK$6:$BK$271)</f>
        <v>2161000000</v>
      </c>
      <c r="M125" s="195">
        <f t="shared" si="3"/>
        <v>0.18848116433801951</v>
      </c>
      <c r="N125">
        <v>3.3943129765772801</v>
      </c>
      <c r="O125" s="188">
        <v>24844052</v>
      </c>
      <c r="P125" s="188">
        <v>112.83</v>
      </c>
      <c r="Q125">
        <v>41.301832499876298</v>
      </c>
      <c r="R125">
        <v>38.809281330790803</v>
      </c>
      <c r="S125">
        <v>2157.3237875172699</v>
      </c>
      <c r="T125">
        <v>66.325138506648798</v>
      </c>
    </row>
    <row r="126" spans="1:20" x14ac:dyDescent="0.2">
      <c r="A126" s="161" t="s">
        <v>150</v>
      </c>
      <c r="B126" s="161">
        <v>484</v>
      </c>
      <c r="C126" s="161" t="s">
        <v>123</v>
      </c>
      <c r="D126" t="str">
        <f>_xlfn.XLOOKUP(B126,'Country Code M49'!$B$2:$B$250,'Country Code M49'!$C$2:$C$250,,0)</f>
        <v>MEX</v>
      </c>
      <c r="E126" s="27">
        <f>_xlfn.XLOOKUP(B126,'[3]Food Service Estimates'!$B$3:$B$237,'[3]Food Service Estimates'!$D$3:$D$237)</f>
        <v>27.648074566430626</v>
      </c>
      <c r="F126" s="162">
        <v>3527216.9368496705</v>
      </c>
      <c r="G126" s="160" t="s">
        <v>872</v>
      </c>
      <c r="H126" s="188">
        <f>_xlfn.XLOOKUP(D126,'[1]World Population'!$C$2:$C$267,'[1]World Population'!$BN$2:$BN$267)</f>
        <v>128932753</v>
      </c>
      <c r="I126" s="188">
        <v>67.333267211914105</v>
      </c>
      <c r="J126" s="194">
        <f>_xlfn.XLOOKUP(D126,'[2]GDP 2015 Constant'!$B$6:$B$271,'[2]GDP 2015 Constant'!$BM$6:$BM$271)</f>
        <v>1150420000000</v>
      </c>
      <c r="K126" s="193">
        <f t="shared" si="2"/>
        <v>8922.6358177584243</v>
      </c>
      <c r="L126" s="194">
        <f>_xlfn.XLOOKUP(D126,'[5]Tourism Receipts'!$B$6:$B$271,'[5]Tourism Receipts'!$BK$6:$BK$271)</f>
        <v>23802000000</v>
      </c>
      <c r="M126" s="195">
        <f t="shared" si="3"/>
        <v>2.0689835016776483E-2</v>
      </c>
      <c r="N126">
        <v>22.512933644046399</v>
      </c>
      <c r="O126" s="188">
        <v>88643</v>
      </c>
      <c r="P126" s="188">
        <v>99.73</v>
      </c>
      <c r="Q126">
        <v>65.376731355006797</v>
      </c>
      <c r="R126">
        <v>31.443993517837001</v>
      </c>
      <c r="S126">
        <v>0</v>
      </c>
      <c r="T126">
        <v>164.31571428571399</v>
      </c>
    </row>
    <row r="127" spans="1:20" x14ac:dyDescent="0.2">
      <c r="A127" s="161" t="s">
        <v>875</v>
      </c>
      <c r="B127" s="161">
        <v>583</v>
      </c>
      <c r="C127" s="161" t="s">
        <v>760</v>
      </c>
      <c r="D127" t="str">
        <f>_xlfn.XLOOKUP(B127,'Country Code M49'!$B$2:$B$250,'Country Code M49'!$C$2:$C$250,,0)</f>
        <v>FSM</v>
      </c>
      <c r="E127" s="27">
        <f>_xlfn.XLOOKUP(B127,'[3]Food Service Estimates'!$B$3:$B$237,'[3]Food Service Estimates'!$D$3:$D$237)</f>
        <v>27.648074566430626</v>
      </c>
      <c r="F127" s="162">
        <v>3146.350885659805</v>
      </c>
      <c r="G127" s="160" t="s">
        <v>872</v>
      </c>
      <c r="H127" s="188">
        <f>_xlfn.XLOOKUP(D127,'[1]World Population'!$C$2:$C$267,'[1]World Population'!$BN$2:$BN$267)</f>
        <v>115021</v>
      </c>
      <c r="I127" s="188">
        <v>76.559089660644503</v>
      </c>
      <c r="J127" s="194">
        <f>_xlfn.XLOOKUP(D127,'[2]GDP 2015 Constant'!$B$6:$B$271,'[2]GDP 2015 Constant'!$BM$6:$BM$271)</f>
        <v>326589289.5</v>
      </c>
      <c r="K127" s="193">
        <f t="shared" si="2"/>
        <v>2839.3883682110222</v>
      </c>
      <c r="L127" s="194">
        <f>_xlfn.XLOOKUP(D127,'[5]Tourism Receipts'!$B$6:$B$271,'[5]Tourism Receipts'!$BK$6:$BK$271)</f>
        <v>0</v>
      </c>
      <c r="M127" s="195">
        <f t="shared" si="3"/>
        <v>0</v>
      </c>
      <c r="N127">
        <v>0</v>
      </c>
      <c r="O127" s="188">
        <v>0</v>
      </c>
      <c r="P127" s="188">
        <v>0</v>
      </c>
      <c r="Q127">
        <v>0</v>
      </c>
      <c r="R127">
        <v>0</v>
      </c>
      <c r="S127">
        <v>0</v>
      </c>
      <c r="T127">
        <v>19360.631475086298</v>
      </c>
    </row>
    <row r="128" spans="1:20" x14ac:dyDescent="0.2">
      <c r="A128" s="161" t="s">
        <v>147</v>
      </c>
      <c r="B128" s="161">
        <v>492</v>
      </c>
      <c r="C128" s="161" t="s">
        <v>869</v>
      </c>
      <c r="D128" t="str">
        <f>_xlfn.XLOOKUP(B128,'Country Code M49'!$B$2:$B$250,'Country Code M49'!$C$2:$C$250,,0)</f>
        <v>MCO</v>
      </c>
      <c r="E128" s="27">
        <f>_xlfn.XLOOKUP(B128,'[3]Food Service Estimates'!$B$3:$B$237,'[3]Food Service Estimates'!$D$3:$D$237)</f>
        <v>25.5704180040103</v>
      </c>
      <c r="F128" s="162">
        <v>997.24630215640173</v>
      </c>
      <c r="G128" s="160" t="s">
        <v>877</v>
      </c>
      <c r="H128" s="188">
        <f>_xlfn.XLOOKUP(D128,'[1]World Population'!$C$2:$C$267,'[1]World Population'!$BN$2:$BN$267)</f>
        <v>39244</v>
      </c>
      <c r="I128" s="188">
        <v>100</v>
      </c>
      <c r="J128" s="194">
        <f>_xlfn.XLOOKUP(D128,'[2]GDP 2015 Constant'!$B$6:$B$271,'[2]GDP 2015 Constant'!$BM$6:$BM$271)</f>
        <v>6248493129</v>
      </c>
      <c r="K128" s="193">
        <f t="shared" si="2"/>
        <v>159221.61678218326</v>
      </c>
      <c r="L128" s="194">
        <f>_xlfn.XLOOKUP(D128,'[5]Tourism Receipts'!$B$6:$B$271,'[5]Tourism Receipts'!$BK$6:$BK$271)</f>
        <v>0</v>
      </c>
      <c r="M128" s="195">
        <f t="shared" si="3"/>
        <v>0</v>
      </c>
      <c r="N128">
        <v>11.558382861257201</v>
      </c>
      <c r="O128" s="188">
        <v>1027515</v>
      </c>
      <c r="P128" s="188">
        <v>173.71</v>
      </c>
      <c r="Q128">
        <v>68.191090964265399</v>
      </c>
      <c r="R128">
        <v>59.217233181074697</v>
      </c>
      <c r="S128">
        <v>2006.3868336943699</v>
      </c>
      <c r="T128">
        <v>2.1048331819068098</v>
      </c>
    </row>
    <row r="129" spans="1:20" x14ac:dyDescent="0.2">
      <c r="A129" s="161" t="s">
        <v>152</v>
      </c>
      <c r="B129" s="161">
        <v>496</v>
      </c>
      <c r="C129" s="161" t="s">
        <v>698</v>
      </c>
      <c r="D129" t="str">
        <f>_xlfn.XLOOKUP(B129,'Country Code M49'!$B$2:$B$250,'Country Code M49'!$C$2:$C$250,,0)</f>
        <v>MNG</v>
      </c>
      <c r="E129" s="27">
        <f>_xlfn.XLOOKUP(B129,'[3]Food Service Estimates'!$B$3:$B$237,'[3]Food Service Estimates'!$D$3:$D$237)</f>
        <v>27.648074566430626</v>
      </c>
      <c r="F129" s="162">
        <v>89170.570091652044</v>
      </c>
      <c r="G129" s="160" t="s">
        <v>872</v>
      </c>
      <c r="H129" s="188">
        <f>_xlfn.XLOOKUP(D129,'[1]World Population'!$C$2:$C$267,'[1]World Population'!$BN$2:$BN$267)</f>
        <v>3278292</v>
      </c>
      <c r="I129" s="188">
        <v>100</v>
      </c>
      <c r="J129" s="194">
        <f>_xlfn.XLOOKUP(D129,'[2]GDP 2015 Constant'!$B$6:$B$271,'[2]GDP 2015 Constant'!$BM$6:$BM$271)</f>
        <v>13528524725</v>
      </c>
      <c r="K129" s="193">
        <f t="shared" si="2"/>
        <v>4126.6991241170708</v>
      </c>
      <c r="L129" s="194">
        <f>_xlfn.XLOOKUP(D129,'[5]Tourism Receipts'!$B$6:$B$271,'[5]Tourism Receipts'!$BK$6:$BK$271)</f>
        <v>526000000</v>
      </c>
      <c r="M129" s="195">
        <f t="shared" si="3"/>
        <v>3.8880810043387788E-2</v>
      </c>
      <c r="N129">
        <v>6.3938419259579096</v>
      </c>
      <c r="O129" s="188">
        <v>201999</v>
      </c>
      <c r="P129" s="188">
        <v>102.58</v>
      </c>
      <c r="Q129">
        <v>66.734296491841306</v>
      </c>
      <c r="R129">
        <v>43.846641436784303</v>
      </c>
      <c r="S129">
        <v>4612.3413904568897</v>
      </c>
      <c r="T129">
        <v>46.193754646840098</v>
      </c>
    </row>
    <row r="130" spans="1:20" x14ac:dyDescent="0.2">
      <c r="A130" s="161" t="s">
        <v>155</v>
      </c>
      <c r="B130" s="161">
        <v>499</v>
      </c>
      <c r="C130" s="161" t="s">
        <v>808</v>
      </c>
      <c r="D130" t="str">
        <f>_xlfn.XLOOKUP(B130,'Country Code M49'!$B$2:$B$250,'Country Code M49'!$C$2:$C$250,,0)</f>
        <v>MNE</v>
      </c>
      <c r="E130" s="27">
        <f>_xlfn.XLOOKUP(B130,'[3]Food Service Estimates'!$B$3:$B$237,'[3]Food Service Estimates'!$D$3:$D$237)</f>
        <v>27.648074566430626</v>
      </c>
      <c r="F130" s="162">
        <v>17362.990827718433</v>
      </c>
      <c r="G130" s="160" t="s">
        <v>872</v>
      </c>
      <c r="H130" s="188">
        <f>_xlfn.XLOOKUP(D130,'[1]World Population'!$C$2:$C$267,'[1]World Population'!$BN$2:$BN$267)</f>
        <v>621306</v>
      </c>
      <c r="I130" s="188">
        <v>91.963027954101605</v>
      </c>
      <c r="J130" s="194">
        <f>_xlfn.XLOOKUP(D130,'[2]GDP 2015 Constant'!$B$6:$B$271,'[2]GDP 2015 Constant'!$BM$6:$BM$271)</f>
        <v>4048140209</v>
      </c>
      <c r="K130" s="193">
        <f t="shared" si="2"/>
        <v>6515.5337450467241</v>
      </c>
      <c r="L130" s="194">
        <f>_xlfn.XLOOKUP(D130,'[5]Tourism Receipts'!$B$6:$B$271,'[5]Tourism Receipts'!$BK$6:$BK$271)</f>
        <v>1224000000</v>
      </c>
      <c r="M130" s="195">
        <f t="shared" si="3"/>
        <v>0.30236106873935603</v>
      </c>
      <c r="N130">
        <v>12.145929150264701</v>
      </c>
      <c r="O130" s="188">
        <v>13460542</v>
      </c>
      <c r="P130" s="188">
        <v>100.61</v>
      </c>
      <c r="Q130">
        <v>49.198304318682702</v>
      </c>
      <c r="R130">
        <v>39.3169362407899</v>
      </c>
      <c r="S130">
        <v>904.44186388081198</v>
      </c>
      <c r="T130">
        <v>82.703468518933406</v>
      </c>
    </row>
    <row r="131" spans="1:20" x14ac:dyDescent="0.2">
      <c r="A131" s="161" t="s">
        <v>876</v>
      </c>
      <c r="B131" s="161">
        <v>504</v>
      </c>
      <c r="C131" s="161" t="s">
        <v>767</v>
      </c>
      <c r="D131" t="str">
        <f>_xlfn.XLOOKUP(B131,'Country Code M49'!$B$2:$B$250,'Country Code M49'!$C$2:$C$250,,0)</f>
        <v>MAR</v>
      </c>
      <c r="E131" s="27">
        <f>_xlfn.XLOOKUP(B131,'[3]Food Service Estimates'!$B$3:$B$237,'[3]Food Service Estimates'!$D$3:$D$237)</f>
        <v>27.648074566430626</v>
      </c>
      <c r="F131" s="162">
        <v>1008375.0459719446</v>
      </c>
      <c r="G131" s="160" t="s">
        <v>872</v>
      </c>
      <c r="H131" s="188">
        <f>_xlfn.XLOOKUP(D131,'[1]World Population'!$C$2:$C$267,'[1]World Population'!$BN$2:$BN$267)</f>
        <v>36910558</v>
      </c>
      <c r="I131" s="188">
        <v>82.925918579101605</v>
      </c>
      <c r="J131" s="194">
        <f>_xlfn.XLOOKUP(D131,'[2]GDP 2015 Constant'!$B$6:$B$271,'[2]GDP 2015 Constant'!$BM$6:$BM$271)</f>
        <v>105726000000</v>
      </c>
      <c r="K131" s="193">
        <f t="shared" ref="K131:K194" si="4">J131/H131</f>
        <v>2864.3836812220502</v>
      </c>
      <c r="L131" s="194">
        <f>_xlfn.XLOOKUP(D131,'[5]Tourism Receipts'!$B$6:$B$271,'[5]Tourism Receipts'!$BK$6:$BK$271)</f>
        <v>9520000000</v>
      </c>
      <c r="M131" s="195">
        <f t="shared" ref="M131:M194" si="5">L131/J131</f>
        <v>9.0044076196961961E-2</v>
      </c>
      <c r="N131">
        <v>24.211433334701699</v>
      </c>
      <c r="O131" s="188">
        <v>19667795</v>
      </c>
      <c r="P131" s="188">
        <v>130.86000000000001</v>
      </c>
      <c r="Q131">
        <v>82.334153994728993</v>
      </c>
      <c r="R131">
        <v>32.268361516192101</v>
      </c>
      <c r="S131">
        <v>478.92064396394898</v>
      </c>
      <c r="T131">
        <v>39.745968870012</v>
      </c>
    </row>
    <row r="132" spans="1:20" x14ac:dyDescent="0.2">
      <c r="A132" s="161" t="s">
        <v>154</v>
      </c>
      <c r="B132" s="161">
        <v>508</v>
      </c>
      <c r="C132" s="161" t="s">
        <v>841</v>
      </c>
      <c r="D132" t="str">
        <f>_xlfn.XLOOKUP(B132,'Country Code M49'!$B$2:$B$250,'Country Code M49'!$C$2:$C$250,,0)</f>
        <v>MOZ</v>
      </c>
      <c r="E132" s="27">
        <f>_xlfn.XLOOKUP(B132,'[3]Food Service Estimates'!$B$3:$B$237,'[3]Food Service Estimates'!$D$3:$D$237)</f>
        <v>27.648074566430626</v>
      </c>
      <c r="F132" s="162">
        <v>839561.43228423235</v>
      </c>
      <c r="G132" s="160" t="s">
        <v>872</v>
      </c>
      <c r="H132" s="188">
        <f>_xlfn.XLOOKUP(D132,'[1]World Population'!$C$2:$C$267,'[1]World Population'!$BN$2:$BN$267)</f>
        <v>31255435</v>
      </c>
      <c r="I132" s="188">
        <v>93.586448669433594</v>
      </c>
      <c r="J132" s="194">
        <f>_xlfn.XLOOKUP(D132,'[2]GDP 2015 Constant'!$B$6:$B$271,'[2]GDP 2015 Constant'!$BM$6:$BM$271)</f>
        <v>17959233845</v>
      </c>
      <c r="K132" s="193">
        <f t="shared" si="4"/>
        <v>574.59554938205144</v>
      </c>
      <c r="L132" s="194">
        <f>_xlfn.XLOOKUP(D132,'[5]Tourism Receipts'!$B$6:$B$271,'[5]Tourism Receipts'!$BK$6:$BK$271)</f>
        <v>331000000</v>
      </c>
      <c r="M132" s="195">
        <f t="shared" si="5"/>
        <v>1.8430630329598005E-2</v>
      </c>
      <c r="N132">
        <v>21.354050769455799</v>
      </c>
      <c r="O132" s="188">
        <v>37466040</v>
      </c>
      <c r="P132" s="188">
        <v>103.02</v>
      </c>
      <c r="Q132">
        <v>34.0891936609382</v>
      </c>
      <c r="R132">
        <v>30.389750715507098</v>
      </c>
      <c r="S132">
        <v>215.29885838048099</v>
      </c>
      <c r="T132">
        <v>83.364937870593096</v>
      </c>
    </row>
    <row r="133" spans="1:20" x14ac:dyDescent="0.2">
      <c r="A133" s="161" t="s">
        <v>157</v>
      </c>
      <c r="B133" s="161">
        <v>104</v>
      </c>
      <c r="C133" s="161" t="s">
        <v>792</v>
      </c>
      <c r="D133" t="str">
        <f>_xlfn.XLOOKUP(B133,'Country Code M49'!$B$2:$B$250,'Country Code M49'!$C$2:$C$250,,0)</f>
        <v>MMR</v>
      </c>
      <c r="E133" s="27">
        <f>_xlfn.XLOOKUP(B133,'[3]Food Service Estimates'!$B$3:$B$237,'[3]Food Service Estimates'!$D$3:$D$237)</f>
        <v>27.648074566430626</v>
      </c>
      <c r="F133" s="162">
        <v>1494251.2491725697</v>
      </c>
      <c r="G133" s="160" t="s">
        <v>872</v>
      </c>
      <c r="H133" s="188">
        <f>_xlfn.XLOOKUP(D133,'[1]World Population'!$C$2:$C$267,'[1]World Population'!$BN$2:$BN$267)</f>
        <v>54409794</v>
      </c>
      <c r="I133" s="188">
        <v>100</v>
      </c>
      <c r="J133" s="194">
        <f>_xlfn.XLOOKUP(D133,'[2]GDP 2015 Constant'!$B$6:$B$271,'[2]GDP 2015 Constant'!$BM$6:$BM$271)</f>
        <v>86343026585</v>
      </c>
      <c r="K133" s="193">
        <f t="shared" si="4"/>
        <v>1586.9022879410277</v>
      </c>
      <c r="L133" s="194">
        <f>_xlfn.XLOOKUP(D133,'[5]Tourism Receipts'!$B$6:$B$271,'[5]Tourism Receipts'!$BK$6:$BK$271)</f>
        <v>1670000000</v>
      </c>
      <c r="M133" s="195">
        <f t="shared" si="5"/>
        <v>1.9341457741882329E-2</v>
      </c>
      <c r="N133">
        <v>7.0832565980882602</v>
      </c>
      <c r="O133" s="188">
        <v>1218801</v>
      </c>
      <c r="P133" s="188">
        <v>103.21</v>
      </c>
      <c r="Q133">
        <v>45.831301572099001</v>
      </c>
      <c r="R133">
        <v>36.361647216527999</v>
      </c>
      <c r="S133">
        <v>1652.57193328483</v>
      </c>
      <c r="T133">
        <v>3.08629523011333</v>
      </c>
    </row>
    <row r="134" spans="1:20" x14ac:dyDescent="0.2">
      <c r="A134" s="161" t="s">
        <v>154</v>
      </c>
      <c r="B134" s="161">
        <v>516</v>
      </c>
      <c r="C134" s="161" t="s">
        <v>842</v>
      </c>
      <c r="D134" t="str">
        <f>_xlfn.XLOOKUP(B134,'Country Code M49'!$B$2:$B$250,'Country Code M49'!$C$2:$C$250,,0)</f>
        <v>NAM</v>
      </c>
      <c r="E134" s="27">
        <f>_xlfn.XLOOKUP(B134,'[3]Food Service Estimates'!$B$3:$B$237,'[3]Food Service Estimates'!$D$3:$D$237)</f>
        <v>27.648074566430626</v>
      </c>
      <c r="F134" s="162">
        <v>68968.122005961195</v>
      </c>
      <c r="G134" s="160" t="s">
        <v>872</v>
      </c>
      <c r="H134" s="188">
        <f>_xlfn.XLOOKUP(D134,'[1]World Population'!$C$2:$C$267,'[1]World Population'!$BN$2:$BN$267)</f>
        <v>2540916</v>
      </c>
      <c r="I134" s="188">
        <v>100</v>
      </c>
      <c r="J134" s="194">
        <f>_xlfn.XLOOKUP(D134,'[2]GDP 2015 Constant'!$B$6:$B$271,'[2]GDP 2015 Constant'!$BM$6:$BM$271)</f>
        <v>10352990575</v>
      </c>
      <c r="K134" s="193">
        <f t="shared" si="4"/>
        <v>4074.5111507031324</v>
      </c>
      <c r="L134" s="194">
        <f>_xlfn.XLOOKUP(D134,'[5]Tourism Receipts'!$B$6:$B$271,'[5]Tourism Receipts'!$BK$6:$BK$271)</f>
        <v>488000000</v>
      </c>
      <c r="M134" s="195">
        <f t="shared" si="5"/>
        <v>4.7136138728688062E-2</v>
      </c>
      <c r="N134">
        <v>0</v>
      </c>
      <c r="O134" s="188">
        <v>0</v>
      </c>
      <c r="P134" s="188">
        <v>101.25</v>
      </c>
      <c r="Q134">
        <v>90.75</v>
      </c>
      <c r="R134">
        <v>63.674698795180703</v>
      </c>
      <c r="S134">
        <v>0</v>
      </c>
      <c r="T134">
        <v>541.70000000000005</v>
      </c>
    </row>
    <row r="135" spans="1:20" x14ac:dyDescent="0.2">
      <c r="A135" s="161" t="s">
        <v>875</v>
      </c>
      <c r="B135" s="161">
        <v>520</v>
      </c>
      <c r="C135" s="161" t="s">
        <v>761</v>
      </c>
      <c r="D135" t="str">
        <f>_xlfn.XLOOKUP(B135,'Country Code M49'!$B$2:$B$250,'Country Code M49'!$C$2:$C$250,,0)</f>
        <v>NRU</v>
      </c>
      <c r="E135" s="27">
        <f>_xlfn.XLOOKUP(B135,'[3]Food Service Estimates'!$B$3:$B$237,'[3]Food Service Estimates'!$D$3:$D$237)</f>
        <v>25.5704180040103</v>
      </c>
      <c r="F135" s="162">
        <v>276.16051444331129</v>
      </c>
      <c r="G135" s="160" t="s">
        <v>877</v>
      </c>
      <c r="H135" s="188">
        <f>_xlfn.XLOOKUP(D135,'[1]World Population'!$C$2:$C$267,'[1]World Population'!$BN$2:$BN$267)</f>
        <v>10834</v>
      </c>
      <c r="I135" s="188">
        <v>100</v>
      </c>
      <c r="J135" s="194">
        <f>_xlfn.XLOOKUP(D135,'[2]GDP 2015 Constant'!$B$6:$B$271,'[2]GDP 2015 Constant'!$BM$6:$BM$271)</f>
        <v>90650121.430000007</v>
      </c>
      <c r="K135" s="193">
        <f t="shared" si="4"/>
        <v>8367.1886127007583</v>
      </c>
      <c r="L135" s="194">
        <f>_xlfn.XLOOKUP(D135,'[5]Tourism Receipts'!$B$6:$B$271,'[5]Tourism Receipts'!$BK$6:$BK$271)</f>
        <v>1600000</v>
      </c>
      <c r="M135" s="195">
        <f t="shared" si="5"/>
        <v>1.765027972119728E-2</v>
      </c>
      <c r="N135">
        <v>21.583372760108801</v>
      </c>
      <c r="O135" s="188">
        <v>23141618</v>
      </c>
      <c r="P135" s="188">
        <v>114.67</v>
      </c>
      <c r="Q135">
        <v>40.6317459237858</v>
      </c>
      <c r="R135">
        <v>7.7799364744805901</v>
      </c>
      <c r="S135">
        <v>146.47300366141599</v>
      </c>
      <c r="T135">
        <v>203.25642134635501</v>
      </c>
    </row>
    <row r="136" spans="1:20" x14ac:dyDescent="0.2">
      <c r="A136" s="161" t="s">
        <v>149</v>
      </c>
      <c r="B136" s="161">
        <v>524</v>
      </c>
      <c r="C136" s="161" t="s">
        <v>801</v>
      </c>
      <c r="D136" t="str">
        <f>_xlfn.XLOOKUP(B136,'Country Code M49'!$B$2:$B$250,'Country Code M49'!$C$2:$C$250,,0)</f>
        <v>NPL</v>
      </c>
      <c r="E136" s="27">
        <f>_xlfn.XLOOKUP(B136,'[3]Food Service Estimates'!$B$3:$B$237,'[3]Food Service Estimates'!$D$3:$D$237)</f>
        <v>27.648074566430626</v>
      </c>
      <c r="F136" s="162">
        <v>790975.47084864392</v>
      </c>
      <c r="G136" s="160" t="s">
        <v>872</v>
      </c>
      <c r="H136" s="188">
        <f>_xlfn.XLOOKUP(D136,'[1]World Population'!$C$2:$C$267,'[1]World Population'!$BN$2:$BN$267)</f>
        <v>29136808</v>
      </c>
      <c r="I136" s="188">
        <v>99.160606384277301</v>
      </c>
      <c r="J136" s="194">
        <f>_xlfn.XLOOKUP(D136,'[2]GDP 2015 Constant'!$B$6:$B$271,'[2]GDP 2015 Constant'!$BM$6:$BM$271)</f>
        <v>29880062111</v>
      </c>
      <c r="K136" s="193">
        <f t="shared" si="4"/>
        <v>1025.5091124257674</v>
      </c>
      <c r="L136" s="194">
        <f>_xlfn.XLOOKUP(D136,'[5]Tourism Receipts'!$B$6:$B$271,'[5]Tourism Receipts'!$BK$6:$BK$271)</f>
        <v>740000000</v>
      </c>
      <c r="M136" s="195">
        <f t="shared" si="5"/>
        <v>2.4765678105052449E-2</v>
      </c>
      <c r="N136">
        <v>1.63580569580164</v>
      </c>
      <c r="O136" s="188">
        <v>1354158</v>
      </c>
      <c r="P136" s="188">
        <v>102.13</v>
      </c>
      <c r="Q136">
        <v>74.139746533210499</v>
      </c>
      <c r="R136">
        <v>82.537712700862798</v>
      </c>
      <c r="S136">
        <v>6712.7747582450002</v>
      </c>
      <c r="T136">
        <v>518.01306801306805</v>
      </c>
    </row>
    <row r="137" spans="1:20" x14ac:dyDescent="0.2">
      <c r="A137" s="161" t="s">
        <v>147</v>
      </c>
      <c r="B137" s="161">
        <v>528</v>
      </c>
      <c r="C137" s="161" t="s">
        <v>124</v>
      </c>
      <c r="D137" t="str">
        <f>_xlfn.XLOOKUP(B137,'Country Code M49'!$B$2:$B$250,'Country Code M49'!$C$2:$C$250,,0)</f>
        <v>NLD</v>
      </c>
      <c r="E137" s="27">
        <f>_xlfn.XLOOKUP(B137,'[3]Food Service Estimates'!$B$3:$B$237,'[3]Food Service Estimates'!$D$3:$D$237)</f>
        <v>25.5704180040103</v>
      </c>
      <c r="F137" s="162">
        <v>437179.9936563645</v>
      </c>
      <c r="G137" s="160" t="s">
        <v>877</v>
      </c>
      <c r="H137" s="188">
        <f>_xlfn.XLOOKUP(D137,'[1]World Population'!$C$2:$C$267,'[1]World Population'!$BN$2:$BN$267)</f>
        <v>17441500</v>
      </c>
      <c r="I137" s="188">
        <v>0</v>
      </c>
      <c r="J137" s="194">
        <f>_xlfn.XLOOKUP(D137,'[2]GDP 2015 Constant'!$B$6:$B$271,'[2]GDP 2015 Constant'!$BM$6:$BM$271)</f>
        <v>808332000000</v>
      </c>
      <c r="K137" s="193">
        <f t="shared" si="4"/>
        <v>46345.325803399937</v>
      </c>
      <c r="L137" s="194">
        <f>_xlfn.XLOOKUP(D137,'[5]Tourism Receipts'!$B$6:$B$271,'[5]Tourism Receipts'!$BK$6:$BK$271)</f>
        <v>23919099609</v>
      </c>
      <c r="M137" s="195">
        <f t="shared" si="5"/>
        <v>2.9590687500927835E-2</v>
      </c>
      <c r="N137">
        <v>1.79324055666004</v>
      </c>
      <c r="O137" s="188">
        <v>77460</v>
      </c>
      <c r="P137" s="188">
        <v>100.36</v>
      </c>
      <c r="Q137">
        <v>0</v>
      </c>
      <c r="R137">
        <v>0</v>
      </c>
      <c r="S137">
        <v>0</v>
      </c>
      <c r="T137">
        <v>14.8774617067834</v>
      </c>
    </row>
    <row r="138" spans="1:20" x14ac:dyDescent="0.2">
      <c r="A138" s="161" t="s">
        <v>874</v>
      </c>
      <c r="B138" s="161">
        <v>540</v>
      </c>
      <c r="C138" s="161" t="s">
        <v>753</v>
      </c>
      <c r="D138" t="str">
        <f>_xlfn.XLOOKUP(B138,'Country Code M49'!$B$2:$B$250,'Country Code M49'!$C$2:$C$250,,0)</f>
        <v>NCL</v>
      </c>
      <c r="E138" s="27">
        <f>_xlfn.XLOOKUP(B138,'[3]Food Service Estimates'!$B$3:$B$237,'[3]Food Service Estimates'!$D$3:$D$237)</f>
        <v>25.5704180040103</v>
      </c>
      <c r="F138" s="162">
        <v>7231.3142115341125</v>
      </c>
      <c r="G138" s="160" t="s">
        <v>877</v>
      </c>
      <c r="H138" s="188">
        <f>_xlfn.XLOOKUP(D138,'[1]World Population'!$C$2:$C$267,'[1]World Population'!$BN$2:$BN$267)</f>
        <v>271960</v>
      </c>
      <c r="I138" s="188">
        <v>99.689231872558594</v>
      </c>
      <c r="J138" s="194" t="e">
        <f>_xlfn.XLOOKUP(D138,'[2]GDP 2015 Constant'!$B$6:$B$271,'[2]GDP 2015 Constant'!$BM$6:$BM$271)</f>
        <v>#REF!</v>
      </c>
      <c r="K138" s="193" t="e">
        <f t="shared" si="4"/>
        <v>#REF!</v>
      </c>
      <c r="L138" s="194">
        <f>_xlfn.XLOOKUP(D138,'[5]Tourism Receipts'!$B$6:$B$271,'[5]Tourism Receipts'!$BK$6:$BK$271)</f>
        <v>0</v>
      </c>
      <c r="M138" s="195" t="e">
        <f t="shared" si="5"/>
        <v>#REF!</v>
      </c>
      <c r="N138">
        <v>5.6533535823093102</v>
      </c>
      <c r="O138" s="188">
        <v>677048</v>
      </c>
      <c r="P138" s="188">
        <v>102.91</v>
      </c>
      <c r="Q138">
        <v>27.9162463641795</v>
      </c>
      <c r="R138">
        <v>27.318831856330998</v>
      </c>
      <c r="S138">
        <v>9012.73109708845</v>
      </c>
      <c r="T138">
        <v>19.331586343093701</v>
      </c>
    </row>
    <row r="139" spans="1:20" x14ac:dyDescent="0.2">
      <c r="A139" s="161" t="s">
        <v>146</v>
      </c>
      <c r="B139" s="161">
        <v>554</v>
      </c>
      <c r="C139" s="161" t="s">
        <v>125</v>
      </c>
      <c r="D139" t="str">
        <f>_xlfn.XLOOKUP(B139,'Country Code M49'!$B$2:$B$250,'Country Code M49'!$C$2:$C$250,,0)</f>
        <v>NZL</v>
      </c>
      <c r="E139" s="27">
        <f>_xlfn.XLOOKUP(B139,'[3]Food Service Estimates'!$B$3:$B$237,'[3]Food Service Estimates'!$D$3:$D$237)</f>
        <v>25.5704180040103</v>
      </c>
      <c r="F139" s="162">
        <v>122305.86635498166</v>
      </c>
      <c r="G139" s="160" t="s">
        <v>877</v>
      </c>
      <c r="H139" s="188">
        <f>_xlfn.XLOOKUP(D139,'[1]World Population'!$C$2:$C$267,'[1]World Population'!$BN$2:$BN$267)</f>
        <v>5090200</v>
      </c>
      <c r="I139" s="188">
        <v>100</v>
      </c>
      <c r="J139" s="194">
        <f>_xlfn.XLOOKUP(D139,'[2]GDP 2015 Constant'!$B$6:$B$271,'[2]GDP 2015 Constant'!$BM$6:$BM$271)</f>
        <v>199618000000</v>
      </c>
      <c r="K139" s="193">
        <f t="shared" si="4"/>
        <v>39216.140819614164</v>
      </c>
      <c r="L139" s="194">
        <f>_xlfn.XLOOKUP(D139,'[5]Tourism Receipts'!$B$6:$B$271,'[5]Tourism Receipts'!$BK$6:$BK$271)</f>
        <v>10961000000</v>
      </c>
      <c r="M139" s="195">
        <f t="shared" si="5"/>
        <v>5.4909877866725444E-2</v>
      </c>
      <c r="N139">
        <v>15.2482371495271</v>
      </c>
      <c r="O139" s="188">
        <v>2715272</v>
      </c>
      <c r="P139" s="188">
        <v>131.55000000000001</v>
      </c>
      <c r="Q139">
        <v>51.707349119682299</v>
      </c>
      <c r="R139">
        <v>45.092780342359703</v>
      </c>
      <c r="S139">
        <v>568.31371828895703</v>
      </c>
      <c r="T139">
        <v>55.048645504404199</v>
      </c>
    </row>
    <row r="140" spans="1:20" x14ac:dyDescent="0.2">
      <c r="A140" s="161" t="s">
        <v>150</v>
      </c>
      <c r="B140" s="161">
        <v>558</v>
      </c>
      <c r="C140" s="161" t="s">
        <v>735</v>
      </c>
      <c r="D140" t="str">
        <f>_xlfn.XLOOKUP(B140,'Country Code M49'!$B$2:$B$250,'Country Code M49'!$C$2:$C$250,,0)</f>
        <v>NIC</v>
      </c>
      <c r="E140" s="27">
        <f>_xlfn.XLOOKUP(B140,'[3]Food Service Estimates'!$B$3:$B$237,'[3]Food Service Estimates'!$D$3:$D$237)</f>
        <v>27.648074566430626</v>
      </c>
      <c r="F140" s="162">
        <v>180970.47207457168</v>
      </c>
      <c r="G140" s="160" t="s">
        <v>872</v>
      </c>
      <c r="H140" s="188">
        <f>_xlfn.XLOOKUP(D140,'[1]World Population'!$C$2:$C$267,'[1]World Population'!$BN$2:$BN$267)</f>
        <v>6624554</v>
      </c>
      <c r="I140" s="188">
        <v>100</v>
      </c>
      <c r="J140" s="194">
        <f>_xlfn.XLOOKUP(D140,'[2]GDP 2015 Constant'!$B$6:$B$271,'[2]GDP 2015 Constant'!$BM$6:$BM$271)</f>
        <v>12745084493</v>
      </c>
      <c r="K140" s="193">
        <f t="shared" si="4"/>
        <v>1923.9158580336125</v>
      </c>
      <c r="L140" s="194">
        <f>_xlfn.XLOOKUP(D140,'[5]Tourism Receipts'!$B$6:$B$271,'[5]Tourism Receipts'!$BK$6:$BK$271)</f>
        <v>0</v>
      </c>
      <c r="M140" s="195">
        <f t="shared" si="5"/>
        <v>0</v>
      </c>
      <c r="N140">
        <v>36.9148824391823</v>
      </c>
      <c r="O140" s="188">
        <v>20182041</v>
      </c>
      <c r="P140" s="188">
        <v>129.1</v>
      </c>
      <c r="Q140">
        <v>26.298843362383799</v>
      </c>
      <c r="R140">
        <v>11.421733448618401</v>
      </c>
      <c r="S140">
        <v>51.194941918948601</v>
      </c>
      <c r="T140">
        <v>19.109999210547102</v>
      </c>
    </row>
    <row r="141" spans="1:20" x14ac:dyDescent="0.2">
      <c r="A141" s="161" t="s">
        <v>154</v>
      </c>
      <c r="B141" s="161">
        <v>562</v>
      </c>
      <c r="C141" s="161" t="s">
        <v>843</v>
      </c>
      <c r="D141" t="str">
        <f>_xlfn.XLOOKUP(B141,'Country Code M49'!$B$2:$B$250,'Country Code M49'!$C$2:$C$250,,0)</f>
        <v>NER</v>
      </c>
      <c r="E141" s="27">
        <f>_xlfn.XLOOKUP(B141,'[3]Food Service Estimates'!$B$3:$B$237,'[3]Food Service Estimates'!$D$3:$D$237)</f>
        <v>27.648074566430626</v>
      </c>
      <c r="F141" s="162">
        <v>644495.97179569432</v>
      </c>
      <c r="G141" s="160" t="s">
        <v>872</v>
      </c>
      <c r="H141" s="188">
        <f>_xlfn.XLOOKUP(D141,'[1]World Population'!$C$2:$C$267,'[1]World Population'!$BN$2:$BN$267)</f>
        <v>24206636</v>
      </c>
      <c r="I141" s="188">
        <v>100</v>
      </c>
      <c r="J141" s="194">
        <f>_xlfn.XLOOKUP(D141,'[2]GDP 2015 Constant'!$B$6:$B$271,'[2]GDP 2015 Constant'!$BM$6:$BM$271)</f>
        <v>12649312791</v>
      </c>
      <c r="K141" s="193">
        <f t="shared" si="4"/>
        <v>522.55558314670407</v>
      </c>
      <c r="L141" s="194">
        <f>_xlfn.XLOOKUP(D141,'[5]Tourism Receipts'!$B$6:$B$271,'[5]Tourism Receipts'!$BK$6:$BK$271)</f>
        <v>114000000</v>
      </c>
      <c r="M141" s="195">
        <f t="shared" si="5"/>
        <v>9.0123473016740577E-3</v>
      </c>
      <c r="N141">
        <v>21.906295930281001</v>
      </c>
      <c r="O141" s="188">
        <v>99033580</v>
      </c>
      <c r="P141" s="188">
        <v>106.31</v>
      </c>
      <c r="Q141">
        <v>17.510944310365399</v>
      </c>
      <c r="R141">
        <v>14.220926791244301</v>
      </c>
      <c r="S141">
        <v>144.52543846407599</v>
      </c>
      <c r="T141">
        <v>226.335504024068</v>
      </c>
    </row>
    <row r="142" spans="1:20" x14ac:dyDescent="0.2">
      <c r="A142" s="161" t="s">
        <v>154</v>
      </c>
      <c r="B142" s="161">
        <v>566</v>
      </c>
      <c r="C142" s="161" t="s">
        <v>126</v>
      </c>
      <c r="D142" t="str">
        <f>_xlfn.XLOOKUP(B142,'Country Code M49'!$B$2:$B$250,'Country Code M49'!$C$2:$C$250,,0)</f>
        <v>NGA</v>
      </c>
      <c r="E142" s="27">
        <f>_xlfn.XLOOKUP(B142,'[3]Food Service Estimates'!$B$3:$B$237,'[3]Food Service Estimates'!$D$3:$D$237)</f>
        <v>27.648074566430626</v>
      </c>
      <c r="F142" s="162">
        <v>5556256.5979383374</v>
      </c>
      <c r="G142" s="160" t="s">
        <v>872</v>
      </c>
      <c r="H142" s="188">
        <f>_xlfn.XLOOKUP(D142,'[1]World Population'!$C$2:$C$267,'[1]World Population'!$BN$2:$BN$267)</f>
        <v>206139587</v>
      </c>
      <c r="I142" s="188">
        <v>100</v>
      </c>
      <c r="J142" s="194">
        <f>_xlfn.XLOOKUP(D142,'[2]GDP 2015 Constant'!$B$6:$B$271,'[2]GDP 2015 Constant'!$BM$6:$BM$271)</f>
        <v>493918000000</v>
      </c>
      <c r="K142" s="193">
        <f t="shared" si="4"/>
        <v>2396.0366234749467</v>
      </c>
      <c r="L142" s="194">
        <f>_xlfn.XLOOKUP(D142,'[5]Tourism Receipts'!$B$6:$B$271,'[5]Tourism Receipts'!$BK$6:$BK$271)</f>
        <v>1977000000</v>
      </c>
      <c r="M142" s="195">
        <f t="shared" si="5"/>
        <v>4.0026887054126397E-3</v>
      </c>
      <c r="N142">
        <v>8.13229139447626</v>
      </c>
      <c r="O142" s="188">
        <v>860473</v>
      </c>
      <c r="P142" s="188">
        <v>102.17</v>
      </c>
      <c r="Q142">
        <v>72.8400703306813</v>
      </c>
      <c r="R142">
        <v>62.4080567878813</v>
      </c>
      <c r="S142">
        <v>3513.9549720407199</v>
      </c>
      <c r="T142">
        <v>82.178072957969903</v>
      </c>
    </row>
    <row r="143" spans="1:20" x14ac:dyDescent="0.2">
      <c r="A143" s="161" t="s">
        <v>155</v>
      </c>
      <c r="B143" s="161">
        <v>807</v>
      </c>
      <c r="C143" s="161" t="s">
        <v>809</v>
      </c>
      <c r="D143" t="str">
        <f>_xlfn.XLOOKUP(B143,'Country Code M49'!$B$2:$B$250,'Country Code M49'!$C$2:$C$250,,0)</f>
        <v>MKD</v>
      </c>
      <c r="E143" s="27">
        <f>_xlfn.XLOOKUP(B143,'[3]Food Service Estimates'!$B$3:$B$237,'[3]Food Service Estimates'!$D$3:$D$237)</f>
        <v>27.648074566430626</v>
      </c>
      <c r="F143" s="162">
        <v>57604.763359158213</v>
      </c>
      <c r="G143" s="160" t="s">
        <v>872</v>
      </c>
      <c r="H143" s="188">
        <f>_xlfn.XLOOKUP(D143,'[1]World Population'!$C$2:$C$267,'[1]World Population'!$BN$2:$BN$267)</f>
        <v>2072531</v>
      </c>
      <c r="I143" s="188">
        <v>100</v>
      </c>
      <c r="J143" s="194">
        <f>_xlfn.XLOOKUP(D143,'[2]GDP 2015 Constant'!$B$6:$B$271,'[2]GDP 2015 Constant'!$BM$6:$BM$271)</f>
        <v>10501957283</v>
      </c>
      <c r="K143" s="193">
        <f t="shared" si="4"/>
        <v>5067.2136064551023</v>
      </c>
      <c r="L143" s="194">
        <f>_xlfn.XLOOKUP(D143,'[5]Tourism Receipts'!$B$6:$B$271,'[5]Tourism Receipts'!$BK$6:$BK$271)</f>
        <v>387000000</v>
      </c>
      <c r="M143" s="195">
        <f t="shared" si="5"/>
        <v>3.6850273674837231E-2</v>
      </c>
      <c r="N143">
        <v>0</v>
      </c>
      <c r="O143" s="188">
        <v>4721</v>
      </c>
      <c r="P143" s="188">
        <v>0</v>
      </c>
      <c r="Q143">
        <v>58.141321044546899</v>
      </c>
      <c r="R143">
        <v>42.047377326565098</v>
      </c>
      <c r="S143">
        <v>0</v>
      </c>
      <c r="T143">
        <v>125.123913043478</v>
      </c>
    </row>
    <row r="144" spans="1:20" x14ac:dyDescent="0.2">
      <c r="A144" s="161" t="s">
        <v>875</v>
      </c>
      <c r="B144" s="161">
        <v>580</v>
      </c>
      <c r="C144" s="161" t="s">
        <v>762</v>
      </c>
      <c r="D144" t="str">
        <f>_xlfn.XLOOKUP(B144,'Country Code M49'!$B$2:$B$250,'Country Code M49'!$C$2:$C$250,,0)</f>
        <v>MNP</v>
      </c>
      <c r="E144" s="27">
        <f>_xlfn.XLOOKUP(B144,'[3]Food Service Estimates'!$B$3:$B$237,'[3]Food Service Estimates'!$D$3:$D$237)</f>
        <v>25.5704180040103</v>
      </c>
      <c r="F144" s="162">
        <v>1462.6279098293892</v>
      </c>
      <c r="G144" s="160" t="s">
        <v>877</v>
      </c>
      <c r="H144" s="188">
        <f>_xlfn.XLOOKUP(D144,'[1]World Population'!$C$2:$C$267,'[1]World Population'!$BN$2:$BN$267)</f>
        <v>57557</v>
      </c>
      <c r="I144" s="188">
        <v>100</v>
      </c>
      <c r="J144" s="194" t="e">
        <f>_xlfn.XLOOKUP(D144,'[2]GDP 2015 Constant'!$B$6:$B$271,'[2]GDP 2015 Constant'!$BM$6:$BM$271)</f>
        <v>#REF!</v>
      </c>
      <c r="K144" s="193" t="e">
        <f t="shared" si="4"/>
        <v>#REF!</v>
      </c>
      <c r="L144" s="194">
        <f>_xlfn.XLOOKUP(D144,'[5]Tourism Receipts'!$B$6:$B$271,'[5]Tourism Receipts'!$BK$6:$BK$271)</f>
        <v>0</v>
      </c>
      <c r="M144" s="195" t="e">
        <f t="shared" si="5"/>
        <v>#REF!</v>
      </c>
      <c r="N144">
        <v>1.8441222129803301</v>
      </c>
      <c r="O144" s="188">
        <v>915909</v>
      </c>
      <c r="P144" s="188">
        <v>100.31</v>
      </c>
      <c r="Q144">
        <v>32.237935788851701</v>
      </c>
      <c r="R144">
        <v>36.263106555270099</v>
      </c>
      <c r="S144">
        <v>22999.934595128299</v>
      </c>
      <c r="T144">
        <v>14.7672152298338</v>
      </c>
    </row>
    <row r="145" spans="1:20" x14ac:dyDescent="0.2">
      <c r="A145" s="161" t="s">
        <v>153</v>
      </c>
      <c r="B145" s="161">
        <v>578</v>
      </c>
      <c r="C145" s="161" t="s">
        <v>127</v>
      </c>
      <c r="D145" t="str">
        <f>_xlfn.XLOOKUP(B145,'Country Code M49'!$B$2:$B$250,'Country Code M49'!$C$2:$C$250,,0)</f>
        <v>NOR</v>
      </c>
      <c r="E145" s="27">
        <f>_xlfn.XLOOKUP(B145,'[3]Food Service Estimates'!$B$3:$B$237,'[3]Food Service Estimates'!$D$3:$D$237)</f>
        <v>4.961141497472104</v>
      </c>
      <c r="F145" s="162">
        <v>26685.484000752698</v>
      </c>
      <c r="G145" s="160" t="s">
        <v>881</v>
      </c>
      <c r="H145" s="188">
        <f>_xlfn.XLOOKUP(D145,'[1]World Population'!$C$2:$C$267,'[1]World Population'!$BN$2:$BN$267)</f>
        <v>5379475</v>
      </c>
      <c r="I145" s="188">
        <v>100</v>
      </c>
      <c r="J145" s="194">
        <f>_xlfn.XLOOKUP(D145,'[2]GDP 2015 Constant'!$B$6:$B$271,'[2]GDP 2015 Constant'!$BM$6:$BM$271)</f>
        <v>403553000000</v>
      </c>
      <c r="K145" s="193">
        <f t="shared" si="4"/>
        <v>75017.171750031368</v>
      </c>
      <c r="L145" s="194">
        <f>_xlfn.XLOOKUP(D145,'[5]Tourism Receipts'!$B$6:$B$271,'[5]Tourism Receipts'!$BK$6:$BK$271)</f>
        <v>7280000000</v>
      </c>
      <c r="M145" s="195">
        <f t="shared" si="5"/>
        <v>1.8039761815672292E-2</v>
      </c>
      <c r="N145">
        <v>1.99471933938581</v>
      </c>
      <c r="O145" s="188">
        <v>700833</v>
      </c>
      <c r="P145" s="188">
        <v>152.75</v>
      </c>
      <c r="Q145">
        <v>38.657912687585302</v>
      </c>
      <c r="R145">
        <v>49.492016987897003</v>
      </c>
      <c r="S145">
        <v>6445.5814196021902</v>
      </c>
      <c r="T145">
        <v>16.499586429725401</v>
      </c>
    </row>
    <row r="146" spans="1:20" x14ac:dyDescent="0.2">
      <c r="A146" s="161" t="s">
        <v>148</v>
      </c>
      <c r="B146" s="161">
        <v>512</v>
      </c>
      <c r="C146" s="161" t="s">
        <v>861</v>
      </c>
      <c r="D146" t="str">
        <f>_xlfn.XLOOKUP(B146,'Country Code M49'!$B$2:$B$250,'Country Code M49'!$C$2:$C$250,,0)</f>
        <v>OMN</v>
      </c>
      <c r="E146" s="27">
        <f>_xlfn.XLOOKUP(B146,'[3]Food Service Estimates'!$B$3:$B$237,'[3]Food Service Estimates'!$D$3:$D$237)</f>
        <v>25.5704180040103</v>
      </c>
      <c r="F146" s="162">
        <v>127212.82956995124</v>
      </c>
      <c r="G146" s="160" t="s">
        <v>877</v>
      </c>
      <c r="H146" s="188">
        <f>_xlfn.XLOOKUP(D146,'[1]World Population'!$C$2:$C$267,'[1]World Population'!$BN$2:$BN$267)</f>
        <v>5106622</v>
      </c>
      <c r="I146" s="188">
        <v>100</v>
      </c>
      <c r="J146" s="194">
        <f>_xlfn.XLOOKUP(D146,'[2]GDP 2015 Constant'!$B$6:$B$271,'[2]GDP 2015 Constant'!$BM$6:$BM$271)</f>
        <v>80394695533</v>
      </c>
      <c r="K146" s="193">
        <f t="shared" si="4"/>
        <v>15743.224294455316</v>
      </c>
      <c r="L146" s="194">
        <f>_xlfn.XLOOKUP(D146,'[5]Tourism Receipts'!$B$6:$B$271,'[5]Tourism Receipts'!$BK$6:$BK$271)</f>
        <v>2874000000</v>
      </c>
      <c r="M146" s="195">
        <f t="shared" si="5"/>
        <v>3.5748627206633243E-2</v>
      </c>
      <c r="N146">
        <v>20.677871322288699</v>
      </c>
      <c r="O146" s="188">
        <v>138797696</v>
      </c>
      <c r="P146" s="188">
        <v>118.48</v>
      </c>
      <c r="Q146">
        <v>19.044256657534198</v>
      </c>
      <c r="R146">
        <v>9.3908633787795104</v>
      </c>
      <c r="S146">
        <v>447.505156703301</v>
      </c>
      <c r="T146">
        <v>286.54567636986297</v>
      </c>
    </row>
    <row r="147" spans="1:20" x14ac:dyDescent="0.2">
      <c r="A147" s="161" t="s">
        <v>149</v>
      </c>
      <c r="B147" s="161">
        <v>586</v>
      </c>
      <c r="C147" s="161" t="s">
        <v>128</v>
      </c>
      <c r="D147" t="str">
        <f>_xlfn.XLOOKUP(B147,'Country Code M49'!$B$2:$B$250,'Country Code M49'!$C$2:$C$250,,0)</f>
        <v>PAK</v>
      </c>
      <c r="E147" s="27">
        <f>_xlfn.XLOOKUP(B147,'[3]Food Service Estimates'!$B$3:$B$237,'[3]Food Service Estimates'!$D$3:$D$237)</f>
        <v>27.648074566430626</v>
      </c>
      <c r="F147" s="162">
        <v>5987613.5629014187</v>
      </c>
      <c r="G147" s="160" t="s">
        <v>872</v>
      </c>
      <c r="H147" s="188">
        <f>_xlfn.XLOOKUP(D147,'[1]World Population'!$C$2:$C$267,'[1]World Population'!$BN$2:$BN$267)</f>
        <v>220892331</v>
      </c>
      <c r="I147" s="188">
        <v>100</v>
      </c>
      <c r="J147" s="194">
        <f>_xlfn.XLOOKUP(D147,'[2]GDP 2015 Constant'!$B$6:$B$271,'[2]GDP 2015 Constant'!$BM$6:$BM$271)</f>
        <v>320099000000</v>
      </c>
      <c r="K147" s="193">
        <f t="shared" si="4"/>
        <v>1449.1177604531686</v>
      </c>
      <c r="L147" s="194">
        <f>_xlfn.XLOOKUP(D147,'[5]Tourism Receipts'!$B$6:$B$271,'[5]Tourism Receipts'!$BK$6:$BK$271)</f>
        <v>845000000</v>
      </c>
      <c r="M147" s="195">
        <f t="shared" si="5"/>
        <v>2.6398083093043092E-3</v>
      </c>
      <c r="N147">
        <v>3.4646243617797201</v>
      </c>
      <c r="O147" s="188">
        <v>3440</v>
      </c>
      <c r="P147" s="188">
        <v>0</v>
      </c>
      <c r="Q147">
        <v>0</v>
      </c>
      <c r="R147">
        <v>0</v>
      </c>
      <c r="S147">
        <v>0</v>
      </c>
      <c r="T147">
        <v>39.330434782608698</v>
      </c>
    </row>
    <row r="148" spans="1:20" x14ac:dyDescent="0.2">
      <c r="A148" s="161" t="s">
        <v>875</v>
      </c>
      <c r="B148" s="161">
        <v>585</v>
      </c>
      <c r="C148" s="161" t="s">
        <v>763</v>
      </c>
      <c r="D148" t="str">
        <f>_xlfn.XLOOKUP(B148,'Country Code M49'!$B$2:$B$250,'Country Code M49'!$C$2:$C$250,,0)</f>
        <v>PLW</v>
      </c>
      <c r="E148" s="27">
        <f>_xlfn.XLOOKUP(B148,'[3]Food Service Estimates'!$B$3:$B$237,'[3]Food Service Estimates'!$D$3:$D$237)</f>
        <v>25.5704180040103</v>
      </c>
      <c r="F148" s="162">
        <v>460.26752407218538</v>
      </c>
      <c r="G148" s="160" t="s">
        <v>877</v>
      </c>
      <c r="H148" s="188">
        <f>_xlfn.XLOOKUP(D148,'[1]World Population'!$C$2:$C$267,'[1]World Population'!$BN$2:$BN$267)</f>
        <v>18092</v>
      </c>
      <c r="I148" s="188">
        <v>100</v>
      </c>
      <c r="J148" s="194">
        <f>_xlfn.XLOOKUP(D148,'[2]GDP 2015 Constant'!$B$6:$B$271,'[2]GDP 2015 Constant'!$BM$6:$BM$271)</f>
        <v>239735252.90000001</v>
      </c>
      <c r="K148" s="193">
        <f t="shared" si="4"/>
        <v>13250.898347335838</v>
      </c>
      <c r="L148" s="194">
        <f>_xlfn.XLOOKUP(D148,'[5]Tourism Receipts'!$B$6:$B$271,'[5]Tourism Receipts'!$BK$6:$BK$271)</f>
        <v>0</v>
      </c>
      <c r="M148" s="195">
        <f t="shared" si="5"/>
        <v>0</v>
      </c>
      <c r="N148">
        <v>2.1869214401522901</v>
      </c>
      <c r="O148" s="188">
        <v>1362863</v>
      </c>
      <c r="P148" s="188">
        <v>106.5</v>
      </c>
      <c r="Q148">
        <v>47.199542052817598</v>
      </c>
      <c r="R148">
        <v>41.207993340876101</v>
      </c>
      <c r="S148">
        <v>2064.1779135270199</v>
      </c>
      <c r="T148">
        <v>58.166190347802598</v>
      </c>
    </row>
    <row r="149" spans="1:20" x14ac:dyDescent="0.2">
      <c r="A149" s="161" t="s">
        <v>150</v>
      </c>
      <c r="B149" s="161">
        <v>591</v>
      </c>
      <c r="C149" s="161" t="s">
        <v>736</v>
      </c>
      <c r="D149" t="str">
        <f>_xlfn.XLOOKUP(B149,'Country Code M49'!$B$2:$B$250,'Country Code M49'!$C$2:$C$250,,0)</f>
        <v>PAN</v>
      </c>
      <c r="E149" s="27">
        <f>_xlfn.XLOOKUP(B149,'[3]Food Service Estimates'!$B$3:$B$237,'[3]Food Service Estimates'!$D$3:$D$237)</f>
        <v>25.5704180040103</v>
      </c>
      <c r="F149" s="162">
        <v>108582.22301222934</v>
      </c>
      <c r="G149" s="160" t="s">
        <v>877</v>
      </c>
      <c r="H149" s="188">
        <f>_xlfn.XLOOKUP(D149,'[1]World Population'!$C$2:$C$267,'[1]World Population'!$BN$2:$BN$267)</f>
        <v>4314768</v>
      </c>
      <c r="I149" s="188">
        <v>100</v>
      </c>
      <c r="J149" s="194">
        <f>_xlfn.XLOOKUP(D149,'[2]GDP 2015 Constant'!$B$6:$B$271,'[2]GDP 2015 Constant'!$BM$6:$BM$271)</f>
        <v>52520697170</v>
      </c>
      <c r="K149" s="193">
        <f t="shared" si="4"/>
        <v>12172.31081022201</v>
      </c>
      <c r="L149" s="194">
        <f>_xlfn.XLOOKUP(D149,'[5]Tourism Receipts'!$B$6:$B$271,'[5]Tourism Receipts'!$BK$6:$BK$271)</f>
        <v>7139000000</v>
      </c>
      <c r="M149" s="195">
        <f t="shared" si="5"/>
        <v>0.13592736548969159</v>
      </c>
      <c r="N149">
        <v>16.976143352460401</v>
      </c>
      <c r="O149" s="188">
        <v>7753046</v>
      </c>
      <c r="P149" s="188">
        <v>101.7</v>
      </c>
      <c r="Q149">
        <v>0</v>
      </c>
      <c r="R149">
        <v>0</v>
      </c>
      <c r="S149">
        <v>0</v>
      </c>
      <c r="T149">
        <v>19.756717307777201</v>
      </c>
    </row>
    <row r="150" spans="1:20" x14ac:dyDescent="0.2">
      <c r="A150" s="161" t="s">
        <v>874</v>
      </c>
      <c r="B150" s="161">
        <v>598</v>
      </c>
      <c r="C150" s="161" t="s">
        <v>754</v>
      </c>
      <c r="D150" t="str">
        <f>_xlfn.XLOOKUP(B150,'Country Code M49'!$B$2:$B$250,'Country Code M49'!$C$2:$C$250,,0)</f>
        <v>PNG</v>
      </c>
      <c r="E150" s="27">
        <f>_xlfn.XLOOKUP(B150,'[3]Food Service Estimates'!$B$3:$B$237,'[3]Food Service Estimates'!$D$3:$D$237)</f>
        <v>27.648074566430626</v>
      </c>
      <c r="F150" s="162">
        <v>242642.26720245183</v>
      </c>
      <c r="G150" s="160" t="s">
        <v>872</v>
      </c>
      <c r="H150" s="188">
        <f>_xlfn.XLOOKUP(D150,'[1]World Population'!$C$2:$C$267,'[1]World Population'!$BN$2:$BN$267)</f>
        <v>8947027</v>
      </c>
      <c r="I150" s="188">
        <v>100</v>
      </c>
      <c r="J150" s="194">
        <f>_xlfn.XLOOKUP(D150,'[2]GDP 2015 Constant'!$B$6:$B$271,'[2]GDP 2015 Constant'!$BM$6:$BM$271)</f>
        <v>23854664089</v>
      </c>
      <c r="K150" s="193">
        <f t="shared" si="4"/>
        <v>2666.2112553141956</v>
      </c>
      <c r="L150" s="194">
        <f>_xlfn.XLOOKUP(D150,'[5]Tourism Receipts'!$B$6:$B$271,'[5]Tourism Receipts'!$BK$6:$BK$271)</f>
        <v>4230000.0190000003</v>
      </c>
      <c r="M150" s="195">
        <f t="shared" si="5"/>
        <v>1.7732381404400333E-4</v>
      </c>
      <c r="N150">
        <v>9.9950112421457806</v>
      </c>
      <c r="O150" s="188">
        <v>2697309</v>
      </c>
      <c r="P150" s="188">
        <v>116.8</v>
      </c>
      <c r="Q150">
        <v>35.583355709444703</v>
      </c>
      <c r="R150">
        <v>36.182440719826303</v>
      </c>
      <c r="S150">
        <v>1552.3846871380399</v>
      </c>
      <c r="T150">
        <v>17.952504404731901</v>
      </c>
    </row>
    <row r="151" spans="1:20" x14ac:dyDescent="0.2">
      <c r="A151" s="161" t="s">
        <v>150</v>
      </c>
      <c r="B151" s="161">
        <v>600</v>
      </c>
      <c r="C151" s="161" t="s">
        <v>737</v>
      </c>
      <c r="D151" t="str">
        <f>_xlfn.XLOOKUP(B151,'Country Code M49'!$B$2:$B$250,'Country Code M49'!$C$2:$C$250,,0)</f>
        <v>PRY</v>
      </c>
      <c r="E151" s="27">
        <f>_xlfn.XLOOKUP(B151,'[3]Food Service Estimates'!$B$3:$B$237,'[3]Food Service Estimates'!$D$3:$D$237)</f>
        <v>27.648074566430626</v>
      </c>
      <c r="F151" s="162">
        <v>194769.62609067719</v>
      </c>
      <c r="G151" s="160" t="s">
        <v>872</v>
      </c>
      <c r="H151" s="188">
        <f>_xlfn.XLOOKUP(D151,'[1]World Population'!$C$2:$C$267,'[1]World Population'!$BN$2:$BN$267)</f>
        <v>7132530</v>
      </c>
      <c r="I151" s="188">
        <v>100</v>
      </c>
      <c r="J151" s="194">
        <f>_xlfn.XLOOKUP(D151,'[2]GDP 2015 Constant'!$B$6:$B$271,'[2]GDP 2015 Constant'!$BM$6:$BM$271)</f>
        <v>40343452708</v>
      </c>
      <c r="K151" s="193">
        <f t="shared" si="4"/>
        <v>5656.261201565223</v>
      </c>
      <c r="L151" s="194">
        <f>_xlfn.XLOOKUP(D151,'[5]Tourism Receipts'!$B$6:$B$271,'[5]Tourism Receipts'!$BK$6:$BK$271)</f>
        <v>393000000</v>
      </c>
      <c r="M151" s="195">
        <f t="shared" si="5"/>
        <v>9.7413576087420281E-3</v>
      </c>
      <c r="N151">
        <v>6.8530310347723802</v>
      </c>
      <c r="O151" s="188">
        <v>7155880</v>
      </c>
      <c r="P151" s="188">
        <v>118.54</v>
      </c>
      <c r="Q151">
        <v>23.4392854994888</v>
      </c>
      <c r="R151">
        <v>24.039087434906801</v>
      </c>
      <c r="S151">
        <v>1345.8790074114099</v>
      </c>
      <c r="T151">
        <v>25.7592546875</v>
      </c>
    </row>
    <row r="152" spans="1:20" x14ac:dyDescent="0.2">
      <c r="A152" s="161" t="s">
        <v>150</v>
      </c>
      <c r="B152" s="161">
        <v>604</v>
      </c>
      <c r="C152" s="161" t="s">
        <v>738</v>
      </c>
      <c r="D152" t="str">
        <f>_xlfn.XLOOKUP(B152,'Country Code M49'!$B$2:$B$250,'Country Code M49'!$C$2:$C$250,,0)</f>
        <v>PER</v>
      </c>
      <c r="E152" s="27">
        <f>_xlfn.XLOOKUP(B152,'[3]Food Service Estimates'!$B$3:$B$237,'[3]Food Service Estimates'!$D$3:$D$237)</f>
        <v>27.648074566430626</v>
      </c>
      <c r="F152" s="162">
        <v>898852.72819194291</v>
      </c>
      <c r="G152" s="160" t="s">
        <v>872</v>
      </c>
      <c r="H152" s="188">
        <f>_xlfn.XLOOKUP(D152,'[1]World Population'!$C$2:$C$267,'[1]World Population'!$BN$2:$BN$267)</f>
        <v>32971846</v>
      </c>
      <c r="I152" s="188">
        <v>100</v>
      </c>
      <c r="J152" s="194">
        <f>_xlfn.XLOOKUP(D152,'[2]GDP 2015 Constant'!$B$6:$B$271,'[2]GDP 2015 Constant'!$BM$6:$BM$271)</f>
        <v>191470000000</v>
      </c>
      <c r="K152" s="193">
        <f t="shared" si="4"/>
        <v>5807.0755274060175</v>
      </c>
      <c r="L152" s="194">
        <f>_xlfn.XLOOKUP(D152,'[5]Tourism Receipts'!$B$6:$B$271,'[5]Tourism Receipts'!$BK$6:$BK$271)</f>
        <v>4505000000</v>
      </c>
      <c r="M152" s="195">
        <f t="shared" si="5"/>
        <v>2.352849010288818E-2</v>
      </c>
      <c r="N152">
        <v>8.8203237473052507</v>
      </c>
      <c r="O152" s="188">
        <v>57630884</v>
      </c>
      <c r="P152" s="188">
        <v>100.66</v>
      </c>
      <c r="Q152">
        <v>41.949792925699803</v>
      </c>
      <c r="R152">
        <v>28.3829200126393</v>
      </c>
      <c r="S152">
        <v>696.34678698765504</v>
      </c>
      <c r="T152">
        <v>367.51210718717499</v>
      </c>
    </row>
    <row r="153" spans="1:20" x14ac:dyDescent="0.2">
      <c r="A153" s="161" t="s">
        <v>157</v>
      </c>
      <c r="B153" s="161">
        <v>608</v>
      </c>
      <c r="C153" s="161" t="s">
        <v>793</v>
      </c>
      <c r="D153" t="str">
        <f>_xlfn.XLOOKUP(B153,'Country Code M49'!$B$2:$B$250,'Country Code M49'!$C$2:$C$250,,0)</f>
        <v>PHL</v>
      </c>
      <c r="E153" s="27">
        <f>_xlfn.XLOOKUP(B153,'[3]Food Service Estimates'!$B$3:$B$237,'[3]Food Service Estimates'!$D$3:$D$237)</f>
        <v>27.648074566430626</v>
      </c>
      <c r="F153" s="162">
        <v>2989215.8186689536</v>
      </c>
      <c r="G153" s="160" t="s">
        <v>872</v>
      </c>
      <c r="H153" s="188">
        <f>_xlfn.XLOOKUP(D153,'[1]World Population'!$C$2:$C$267,'[1]World Population'!$BN$2:$BN$267)</f>
        <v>109581085</v>
      </c>
      <c r="I153" s="188">
        <v>100</v>
      </c>
      <c r="J153" s="194">
        <f>_xlfn.XLOOKUP(D153,'[2]GDP 2015 Constant'!$B$6:$B$271,'[2]GDP 2015 Constant'!$BM$6:$BM$271)</f>
        <v>358511000000</v>
      </c>
      <c r="K153" s="193">
        <f t="shared" si="4"/>
        <v>3271.6503947738793</v>
      </c>
      <c r="L153" s="194">
        <f>_xlfn.XLOOKUP(D153,'[5]Tourism Receipts'!$B$6:$B$271,'[5]Tourism Receipts'!$BK$6:$BK$271)</f>
        <v>9715000000</v>
      </c>
      <c r="M153" s="195">
        <f t="shared" si="5"/>
        <v>2.7098192245147291E-2</v>
      </c>
      <c r="N153">
        <v>2.31672000554684</v>
      </c>
      <c r="O153" s="188">
        <v>15143331</v>
      </c>
      <c r="P153" s="188">
        <v>110.87</v>
      </c>
      <c r="Q153">
        <v>52.1788028120883</v>
      </c>
      <c r="R153">
        <v>55.395846588106799</v>
      </c>
      <c r="S153">
        <v>3971.7997613105499</v>
      </c>
      <c r="T153">
        <v>123.800574919152</v>
      </c>
    </row>
    <row r="154" spans="1:20" x14ac:dyDescent="0.2">
      <c r="A154" s="161" t="s">
        <v>156</v>
      </c>
      <c r="B154" s="161">
        <v>616</v>
      </c>
      <c r="C154" s="161" t="s">
        <v>129</v>
      </c>
      <c r="D154" t="str">
        <f>_xlfn.XLOOKUP(B154,'Country Code M49'!$B$2:$B$250,'Country Code M49'!$C$2:$C$250,,0)</f>
        <v>POL</v>
      </c>
      <c r="E154" s="27">
        <f>_xlfn.XLOOKUP(B154,'[3]Food Service Estimates'!$B$3:$B$237,'[3]Food Service Estimates'!$D$3:$D$237)</f>
        <v>25.5704180040103</v>
      </c>
      <c r="F154" s="162">
        <v>968806.88325234142</v>
      </c>
      <c r="G154" s="160" t="s">
        <v>877</v>
      </c>
      <c r="H154" s="188">
        <f>_xlfn.XLOOKUP(D154,'[1]World Population'!$C$2:$C$267,'[1]World Population'!$BN$2:$BN$267)</f>
        <v>37899070</v>
      </c>
      <c r="I154" s="188">
        <v>100</v>
      </c>
      <c r="J154" s="194">
        <f>_xlfn.XLOOKUP(D154,'[2]GDP 2015 Constant'!$B$6:$B$271,'[2]GDP 2015 Constant'!$BM$6:$BM$271)</f>
        <v>555630000000</v>
      </c>
      <c r="K154" s="193">
        <f t="shared" si="4"/>
        <v>14660.781913645902</v>
      </c>
      <c r="L154" s="194">
        <f>_xlfn.XLOOKUP(D154,'[5]Tourism Receipts'!$B$6:$B$271,'[5]Tourism Receipts'!$BK$6:$BK$271)</f>
        <v>15569000000</v>
      </c>
      <c r="M154" s="195">
        <f t="shared" si="5"/>
        <v>2.8020445260335116E-2</v>
      </c>
      <c r="N154">
        <v>2.0885485418003298</v>
      </c>
      <c r="O154" s="188">
        <v>3469087</v>
      </c>
      <c r="P154" s="188">
        <v>107.09</v>
      </c>
      <c r="Q154">
        <v>42.9830419043532</v>
      </c>
      <c r="R154">
        <v>43.508421845832302</v>
      </c>
      <c r="S154">
        <v>4662.6007998029399</v>
      </c>
      <c r="T154">
        <v>112.406676011074</v>
      </c>
    </row>
    <row r="155" spans="1:20" x14ac:dyDescent="0.2">
      <c r="A155" s="161" t="s">
        <v>155</v>
      </c>
      <c r="B155" s="161">
        <v>620</v>
      </c>
      <c r="C155" s="161" t="s">
        <v>810</v>
      </c>
      <c r="D155" t="str">
        <f>_xlfn.XLOOKUP(B155,'Country Code M49'!$B$2:$B$250,'Country Code M49'!$C$2:$C$250,,0)</f>
        <v>PRT</v>
      </c>
      <c r="E155" s="27">
        <f>_xlfn.XLOOKUP(B155,'[3]Food Service Estimates'!$B$3:$B$237,'[3]Food Service Estimates'!$D$3:$D$237)</f>
        <v>25.5704180040103</v>
      </c>
      <c r="F155" s="162">
        <v>261488.20859261011</v>
      </c>
      <c r="G155" s="160" t="s">
        <v>877</v>
      </c>
      <c r="H155" s="188">
        <f>_xlfn.XLOOKUP(D155,'[1]World Population'!$C$2:$C$267,'[1]World Population'!$BN$2:$BN$267)</f>
        <v>10297081</v>
      </c>
      <c r="I155" s="188">
        <v>100</v>
      </c>
      <c r="J155" s="194">
        <f>_xlfn.XLOOKUP(D155,'[2]GDP 2015 Constant'!$B$6:$B$271,'[2]GDP 2015 Constant'!$BM$6:$BM$271)</f>
        <v>203590000000</v>
      </c>
      <c r="K155" s="193">
        <f t="shared" si="4"/>
        <v>19771.622656945205</v>
      </c>
      <c r="L155" s="194">
        <f>_xlfn.XLOOKUP(D155,'[5]Tourism Receipts'!$B$6:$B$271,'[5]Tourism Receipts'!$BK$6:$BK$271)</f>
        <v>24366000000</v>
      </c>
      <c r="M155" s="195">
        <f t="shared" si="5"/>
        <v>0.11968171324721254</v>
      </c>
      <c r="N155">
        <v>0.68589119150242195</v>
      </c>
      <c r="O155" s="188">
        <v>210642</v>
      </c>
      <c r="P155" s="188">
        <v>93.22</v>
      </c>
      <c r="Q155">
        <v>46.036660886797101</v>
      </c>
      <c r="R155">
        <v>0</v>
      </c>
      <c r="S155">
        <v>0</v>
      </c>
      <c r="T155">
        <v>369.95918827508501</v>
      </c>
    </row>
    <row r="156" spans="1:20" x14ac:dyDescent="0.2">
      <c r="A156" s="161" t="s">
        <v>150</v>
      </c>
      <c r="B156" s="161">
        <v>630</v>
      </c>
      <c r="C156" s="161" t="s">
        <v>739</v>
      </c>
      <c r="D156" t="str">
        <f>_xlfn.XLOOKUP(B156,'Country Code M49'!$B$2:$B$250,'Country Code M49'!$C$2:$C$250,,0)</f>
        <v>PRI</v>
      </c>
      <c r="E156" s="27">
        <f>_xlfn.XLOOKUP(B156,'[3]Food Service Estimates'!$B$3:$B$237,'[3]Food Service Estimates'!$D$3:$D$237)</f>
        <v>25.5704180040103</v>
      </c>
      <c r="F156" s="162">
        <v>75008.264172963813</v>
      </c>
      <c r="G156" s="160" t="s">
        <v>877</v>
      </c>
      <c r="H156" s="188">
        <f>_xlfn.XLOOKUP(D156,'[1]World Population'!$C$2:$C$267,'[1]World Population'!$BN$2:$BN$267)</f>
        <v>3281538</v>
      </c>
      <c r="I156" s="188">
        <v>100</v>
      </c>
      <c r="J156" s="194">
        <f>_xlfn.XLOOKUP(D156,'[2]GDP 2015 Constant'!$B$6:$B$271,'[2]GDP 2015 Constant'!$BM$6:$BM$271)</f>
        <v>92660076633</v>
      </c>
      <c r="K156" s="193">
        <f t="shared" si="4"/>
        <v>28236.783067269069</v>
      </c>
      <c r="L156" s="194">
        <f>_xlfn.XLOOKUP(D156,'[5]Tourism Receipts'!$B$6:$B$271,'[5]Tourism Receipts'!$BK$6:$BK$271)</f>
        <v>3303000000</v>
      </c>
      <c r="M156" s="195">
        <f t="shared" si="5"/>
        <v>3.564641990403522E-2</v>
      </c>
      <c r="N156">
        <v>0.230041116366306</v>
      </c>
      <c r="O156" s="188">
        <v>22040</v>
      </c>
      <c r="P156" s="188">
        <v>146.28</v>
      </c>
      <c r="Q156">
        <v>35.896585807658198</v>
      </c>
      <c r="R156">
        <v>52.347267875762697</v>
      </c>
      <c r="S156">
        <v>14781.624282999101</v>
      </c>
      <c r="T156">
        <v>250.74499564838999</v>
      </c>
    </row>
    <row r="157" spans="1:20" x14ac:dyDescent="0.2">
      <c r="A157" s="161" t="s">
        <v>148</v>
      </c>
      <c r="B157" s="161">
        <v>634</v>
      </c>
      <c r="C157" s="161" t="s">
        <v>862</v>
      </c>
      <c r="D157" t="str">
        <f>_xlfn.XLOOKUP(B157,'Country Code M49'!$B$2:$B$250,'Country Code M49'!$C$2:$C$250,,0)</f>
        <v>QAT</v>
      </c>
      <c r="E157" s="27">
        <f>_xlfn.XLOOKUP(B157,'[3]Food Service Estimates'!$B$3:$B$237,'[3]Food Service Estimates'!$D$3:$D$237)</f>
        <v>25.5704180040103</v>
      </c>
      <c r="F157" s="162">
        <v>72417.980829157575</v>
      </c>
      <c r="G157" s="160" t="s">
        <v>877</v>
      </c>
      <c r="H157" s="188">
        <f>_xlfn.XLOOKUP(D157,'[1]World Population'!$C$2:$C$267,'[1]World Population'!$BN$2:$BN$267)</f>
        <v>2881060</v>
      </c>
      <c r="I157" s="188">
        <v>100</v>
      </c>
      <c r="J157" s="194">
        <f>_xlfn.XLOOKUP(D157,'[2]GDP 2015 Constant'!$B$6:$B$271,'[2]GDP 2015 Constant'!$BM$6:$BM$271)</f>
        <v>161417000000</v>
      </c>
      <c r="K157" s="193">
        <f t="shared" si="4"/>
        <v>56026.948414819548</v>
      </c>
      <c r="L157" s="194">
        <f>_xlfn.XLOOKUP(D157,'[5]Tourism Receipts'!$B$6:$B$271,'[5]Tourism Receipts'!$BK$6:$BK$271)</f>
        <v>15239000000</v>
      </c>
      <c r="M157" s="195">
        <f t="shared" si="5"/>
        <v>9.4407652229938605E-2</v>
      </c>
      <c r="N157">
        <v>19.434988706687999</v>
      </c>
      <c r="O157" s="188">
        <v>48687370</v>
      </c>
      <c r="P157" s="188">
        <v>110.46</v>
      </c>
      <c r="Q157">
        <v>37.365984369307803</v>
      </c>
      <c r="R157">
        <v>25.756238701931</v>
      </c>
      <c r="S157">
        <v>108.51670408267501</v>
      </c>
      <c r="T157">
        <v>39.5057030061093</v>
      </c>
    </row>
    <row r="158" spans="1:20" x14ac:dyDescent="0.2">
      <c r="A158" s="161" t="s">
        <v>152</v>
      </c>
      <c r="B158" s="161">
        <v>410</v>
      </c>
      <c r="C158" s="161" t="s">
        <v>699</v>
      </c>
      <c r="D158" t="str">
        <f>_xlfn.XLOOKUP(B158,'Country Code M49'!$B$2:$B$250,'Country Code M49'!$C$2:$C$250,,0)</f>
        <v>KOR</v>
      </c>
      <c r="E158" s="27">
        <f>_xlfn.XLOOKUP(B158,'[3]Food Service Estimates'!$B$3:$B$237,'[3]Food Service Estimates'!$D$3:$D$237)</f>
        <v>25.5704180040103</v>
      </c>
      <c r="F158" s="162">
        <v>1309852.3333808288</v>
      </c>
      <c r="G158" s="160" t="s">
        <v>877</v>
      </c>
      <c r="H158" s="188">
        <f>_xlfn.XLOOKUP(D158,'[1]World Population'!$C$2:$C$267,'[1]World Population'!$BN$2:$BN$267)</f>
        <v>51836239</v>
      </c>
      <c r="I158" s="188">
        <v>96.704635620117202</v>
      </c>
      <c r="J158" s="194">
        <f>_xlfn.XLOOKUP(D158,'[2]GDP 2015 Constant'!$B$6:$B$271,'[2]GDP 2015 Constant'!$BM$6:$BM$271)</f>
        <v>1623900000000</v>
      </c>
      <c r="K158" s="193">
        <f t="shared" si="4"/>
        <v>31327.504296752701</v>
      </c>
      <c r="L158" s="194">
        <f>_xlfn.XLOOKUP(D158,'[5]Tourism Receipts'!$B$6:$B$271,'[5]Tourism Receipts'!$BK$6:$BK$271)</f>
        <v>23104000000</v>
      </c>
      <c r="M158" s="195">
        <f t="shared" si="5"/>
        <v>1.4227477061395407E-2</v>
      </c>
      <c r="N158">
        <v>1.6679309789913499</v>
      </c>
      <c r="O158" s="188">
        <v>9634283</v>
      </c>
      <c r="P158" s="188">
        <v>98.38</v>
      </c>
      <c r="Q158">
        <v>37.275574670346899</v>
      </c>
      <c r="R158">
        <v>39.2758610673609</v>
      </c>
      <c r="S158">
        <v>10496.5136719641</v>
      </c>
      <c r="T158">
        <v>531.10900614754098</v>
      </c>
    </row>
    <row r="159" spans="1:20" x14ac:dyDescent="0.2">
      <c r="A159" s="161" t="s">
        <v>156</v>
      </c>
      <c r="B159" s="161">
        <v>498</v>
      </c>
      <c r="C159" s="161" t="s">
        <v>703</v>
      </c>
      <c r="D159" t="str">
        <f>_xlfn.XLOOKUP(B159,'Country Code M49'!$B$2:$B$250,'Country Code M49'!$C$2:$C$250,,0)</f>
        <v>MDA</v>
      </c>
      <c r="E159" s="27">
        <f>_xlfn.XLOOKUP(B159,'[3]Food Service Estimates'!$B$3:$B$237,'[3]Food Service Estimates'!$D$3:$D$237)</f>
        <v>27.648074566430626</v>
      </c>
      <c r="F159" s="162">
        <v>111789.45989444897</v>
      </c>
      <c r="G159" s="160" t="s">
        <v>872</v>
      </c>
      <c r="H159" s="188">
        <f>_xlfn.XLOOKUP(D159,'[1]World Population'!$C$2:$C$267,'[1]World Population'!$BN$2:$BN$267)</f>
        <v>2620495</v>
      </c>
      <c r="I159" s="188">
        <v>100</v>
      </c>
      <c r="J159" s="194">
        <f>_xlfn.XLOOKUP(D159,'[2]GDP 2015 Constant'!$B$6:$B$271,'[2]GDP 2015 Constant'!$BM$6:$BM$271)</f>
        <v>8479779802</v>
      </c>
      <c r="K159" s="193">
        <f t="shared" si="4"/>
        <v>3235.9458048956399</v>
      </c>
      <c r="L159" s="194">
        <f>_xlfn.XLOOKUP(D159,'[5]Tourism Receipts'!$B$6:$B$271,'[5]Tourism Receipts'!$BK$6:$BK$271)</f>
        <v>500000000</v>
      </c>
      <c r="M159" s="195">
        <f t="shared" si="5"/>
        <v>5.8963795248795539E-2</v>
      </c>
      <c r="N159">
        <v>10.1711187074227</v>
      </c>
      <c r="O159" s="188">
        <v>1497639</v>
      </c>
      <c r="P159" s="188">
        <v>81.83</v>
      </c>
      <c r="Q159">
        <v>55.727520326822201</v>
      </c>
      <c r="R159">
        <v>30.564727992866601</v>
      </c>
      <c r="S159">
        <v>1725.6164791123399</v>
      </c>
      <c r="T159">
        <v>91.237779232354796</v>
      </c>
    </row>
    <row r="160" spans="1:20" x14ac:dyDescent="0.2">
      <c r="A160" s="161" t="s">
        <v>156</v>
      </c>
      <c r="B160" s="161">
        <v>642</v>
      </c>
      <c r="C160" s="161" t="s">
        <v>704</v>
      </c>
      <c r="D160" t="str">
        <f>_xlfn.XLOOKUP(B160,'Country Code M49'!$B$2:$B$250,'Country Code M49'!$C$2:$C$250,,0)</f>
        <v>ROU</v>
      </c>
      <c r="E160" s="27">
        <f>_xlfn.XLOOKUP(B160,'[3]Food Service Estimates'!$B$3:$B$237,'[3]Food Service Estimates'!$D$3:$D$237)</f>
        <v>25.5704180040103</v>
      </c>
      <c r="F160" s="162">
        <v>495160.91648045782</v>
      </c>
      <c r="G160" s="160" t="s">
        <v>877</v>
      </c>
      <c r="H160" s="188">
        <f>_xlfn.XLOOKUP(D160,'[1]World Population'!$C$2:$C$267,'[1]World Population'!$BN$2:$BN$267)</f>
        <v>19257520</v>
      </c>
      <c r="I160" s="188">
        <v>100</v>
      </c>
      <c r="J160" s="194">
        <f>_xlfn.XLOOKUP(D160,'[2]GDP 2015 Constant'!$B$6:$B$271,'[2]GDP 2015 Constant'!$BM$6:$BM$271)</f>
        <v>209236000000</v>
      </c>
      <c r="K160" s="193">
        <f t="shared" si="4"/>
        <v>10865.15813043424</v>
      </c>
      <c r="L160" s="194">
        <f>_xlfn.XLOOKUP(D160,'[5]Tourism Receipts'!$B$6:$B$271,'[5]Tourism Receipts'!$BK$6:$BK$271)</f>
        <v>3879000000</v>
      </c>
      <c r="M160" s="195">
        <f t="shared" si="5"/>
        <v>1.8538874763425032E-2</v>
      </c>
      <c r="N160">
        <v>4.123626546923</v>
      </c>
      <c r="O160" s="188">
        <v>8821100</v>
      </c>
      <c r="P160" s="188">
        <v>90.99</v>
      </c>
      <c r="Q160">
        <v>45.274960243388698</v>
      </c>
      <c r="R160">
        <v>40.383222162751601</v>
      </c>
      <c r="S160">
        <v>2584.4117872644301</v>
      </c>
      <c r="T160">
        <v>83.699235048678702</v>
      </c>
    </row>
    <row r="161" spans="1:20" x14ac:dyDescent="0.2">
      <c r="A161" s="161" t="s">
        <v>156</v>
      </c>
      <c r="B161" s="161">
        <v>643</v>
      </c>
      <c r="C161" s="161" t="s">
        <v>130</v>
      </c>
      <c r="D161" t="str">
        <f>_xlfn.XLOOKUP(B161,'Country Code M49'!$B$2:$B$250,'Country Code M49'!$C$2:$C$250,,0)</f>
        <v>RUS</v>
      </c>
      <c r="E161" s="27">
        <f>_xlfn.XLOOKUP(B161,'[3]Food Service Estimates'!$B$3:$B$237,'[3]Food Service Estimates'!$D$3:$D$237)</f>
        <v>27.648074566430626</v>
      </c>
      <c r="F161" s="162">
        <v>4033088.2275767382</v>
      </c>
      <c r="G161" s="160" t="s">
        <v>872</v>
      </c>
      <c r="H161" s="188">
        <f>_xlfn.XLOOKUP(D161,'[1]World Population'!$C$2:$C$267,'[1]World Population'!$BN$2:$BN$267)</f>
        <v>144073139</v>
      </c>
      <c r="I161" s="188">
        <v>100</v>
      </c>
      <c r="J161" s="194">
        <f>_xlfn.XLOOKUP(D161,'[2]GDP 2015 Constant'!$B$6:$B$271,'[2]GDP 2015 Constant'!$BM$6:$BM$271)</f>
        <v>1422330000000</v>
      </c>
      <c r="K161" s="193">
        <f t="shared" si="4"/>
        <v>9872.2774409739213</v>
      </c>
      <c r="L161" s="194">
        <f>_xlfn.XLOOKUP(D161,'[5]Tourism Receipts'!$B$6:$B$271,'[5]Tourism Receipts'!$BK$6:$BK$271)</f>
        <v>18735000000</v>
      </c>
      <c r="M161" s="195">
        <f t="shared" si="5"/>
        <v>1.3172048680685916E-2</v>
      </c>
      <c r="N161">
        <v>3.53030291392166</v>
      </c>
      <c r="O161" s="188">
        <v>36372705</v>
      </c>
      <c r="P161" s="188">
        <v>111.93</v>
      </c>
      <c r="Q161">
        <v>20.7876435683221</v>
      </c>
      <c r="R161">
        <v>28.433430679975899</v>
      </c>
      <c r="S161">
        <v>6602.6574793835398</v>
      </c>
      <c r="T161">
        <v>8.7973549890791105</v>
      </c>
    </row>
    <row r="162" spans="1:20" x14ac:dyDescent="0.2">
      <c r="A162" s="161" t="s">
        <v>154</v>
      </c>
      <c r="B162" s="161">
        <v>646</v>
      </c>
      <c r="C162" s="161" t="s">
        <v>131</v>
      </c>
      <c r="D162" t="str">
        <f>_xlfn.XLOOKUP(B162,'Country Code M49'!$B$2:$B$250,'Country Code M49'!$C$2:$C$250,,0)</f>
        <v>RWA</v>
      </c>
      <c r="E162" s="27">
        <f>_xlfn.XLOOKUP(B162,'[3]Food Service Estimates'!$B$3:$B$237,'[3]Food Service Estimates'!$D$3:$D$237)</f>
        <v>27.648074566430626</v>
      </c>
      <c r="F162" s="162">
        <v>349112.23755031952</v>
      </c>
      <c r="G162" s="160" t="s">
        <v>872</v>
      </c>
      <c r="H162" s="188">
        <f>_xlfn.XLOOKUP(D162,'[1]World Population'!$C$2:$C$267,'[1]World Population'!$BN$2:$BN$267)</f>
        <v>12952209</v>
      </c>
      <c r="I162" s="188">
        <v>100</v>
      </c>
      <c r="J162" s="194">
        <f>_xlfn.XLOOKUP(D162,'[2]GDP 2015 Constant'!$B$6:$B$271,'[2]GDP 2015 Constant'!$BM$6:$BM$271)</f>
        <v>10807279944</v>
      </c>
      <c r="K162" s="193">
        <f t="shared" si="4"/>
        <v>834.39666114096826</v>
      </c>
      <c r="L162" s="194">
        <f>_xlfn.XLOOKUP(D162,'[5]Tourism Receipts'!$B$6:$B$271,'[5]Tourism Receipts'!$BK$6:$BK$271)</f>
        <v>547000000</v>
      </c>
      <c r="M162" s="195">
        <f t="shared" si="5"/>
        <v>5.0614030804641476E-2</v>
      </c>
      <c r="N162">
        <v>23.545797022278801</v>
      </c>
      <c r="O162" s="188">
        <v>10694380</v>
      </c>
      <c r="P162" s="188">
        <v>111.81</v>
      </c>
      <c r="Q162">
        <v>34.659802997503803</v>
      </c>
      <c r="R162">
        <v>21.810639675807298</v>
      </c>
      <c r="S162">
        <v>0</v>
      </c>
      <c r="T162">
        <v>525.01860559383897</v>
      </c>
    </row>
    <row r="163" spans="1:20" x14ac:dyDescent="0.2">
      <c r="A163" s="161" t="s">
        <v>150</v>
      </c>
      <c r="B163" s="161">
        <v>659</v>
      </c>
      <c r="C163" s="161" t="s">
        <v>741</v>
      </c>
      <c r="D163" t="str">
        <f>_xlfn.XLOOKUP(B163,'Country Code M49'!$B$2:$B$250,'Country Code M49'!$C$2:$C$250,,0)</f>
        <v>KNA</v>
      </c>
      <c r="E163" s="27">
        <f>_xlfn.XLOOKUP(B163,'[3]Food Service Estimates'!$B$3:$B$237,'[3]Food Service Estimates'!$D$3:$D$237)</f>
        <v>25.5704180040103</v>
      </c>
      <c r="F163" s="162">
        <v>1350.1180706117436</v>
      </c>
      <c r="G163" s="160" t="s">
        <v>877</v>
      </c>
      <c r="H163" s="188">
        <f>_xlfn.XLOOKUP(D163,'[1]World Population'!$C$2:$C$267,'[1]World Population'!$BN$2:$BN$267)</f>
        <v>53192</v>
      </c>
      <c r="I163" s="188">
        <v>100</v>
      </c>
      <c r="J163" s="194">
        <f>_xlfn.XLOOKUP(D163,'[2]GDP 2015 Constant'!$B$6:$B$271,'[2]GDP 2015 Constant'!$BM$6:$BM$271)</f>
        <v>925775566.39999998</v>
      </c>
      <c r="K163" s="193">
        <f t="shared" si="4"/>
        <v>17404.413565949766</v>
      </c>
      <c r="L163" s="194">
        <f>_xlfn.XLOOKUP(D163,'[5]Tourism Receipts'!$B$6:$B$271,'[5]Tourism Receipts'!$BK$6:$BK$271)</f>
        <v>367000000</v>
      </c>
      <c r="M163" s="195">
        <f t="shared" si="5"/>
        <v>0.39642437467552505</v>
      </c>
      <c r="N163">
        <v>0.97005879045909804</v>
      </c>
      <c r="O163" s="188">
        <v>36786</v>
      </c>
      <c r="P163" s="188">
        <v>91.08</v>
      </c>
      <c r="Q163">
        <v>0</v>
      </c>
      <c r="R163">
        <v>0</v>
      </c>
      <c r="S163">
        <v>0</v>
      </c>
      <c r="T163">
        <v>204.58461538461501</v>
      </c>
    </row>
    <row r="164" spans="1:20" x14ac:dyDescent="0.2">
      <c r="A164" s="161" t="s">
        <v>150</v>
      </c>
      <c r="B164" s="161">
        <v>662</v>
      </c>
      <c r="C164" s="161" t="s">
        <v>742</v>
      </c>
      <c r="D164" t="str">
        <f>_xlfn.XLOOKUP(B164,'Country Code M49'!$B$2:$B$250,'Country Code M49'!$C$2:$C$250,,0)</f>
        <v>LCA</v>
      </c>
      <c r="E164" s="27">
        <f>_xlfn.XLOOKUP(B164,'[3]Food Service Estimates'!$B$3:$B$237,'[3]Food Service Estimates'!$D$3:$D$237)</f>
        <v>27.648074566430626</v>
      </c>
      <c r="F164" s="162">
        <v>5054.0680307435186</v>
      </c>
      <c r="G164" s="160" t="s">
        <v>872</v>
      </c>
      <c r="H164" s="188">
        <f>_xlfn.XLOOKUP(D164,'[1]World Population'!$C$2:$C$267,'[1]World Population'!$BN$2:$BN$267)</f>
        <v>183629</v>
      </c>
      <c r="I164" s="188">
        <v>100</v>
      </c>
      <c r="J164" s="194">
        <f>_xlfn.XLOOKUP(D164,'[2]GDP 2015 Constant'!$B$6:$B$271,'[2]GDP 2015 Constant'!$BM$6:$BM$271)</f>
        <v>1588638627</v>
      </c>
      <c r="K164" s="193">
        <f t="shared" si="4"/>
        <v>8651.3493348000593</v>
      </c>
      <c r="L164" s="194">
        <f>_xlfn.XLOOKUP(D164,'[5]Tourism Receipts'!$B$6:$B$271,'[5]Tourism Receipts'!$BK$6:$BK$271)</f>
        <v>989000000</v>
      </c>
      <c r="M164" s="195">
        <f t="shared" si="5"/>
        <v>0.62254560803902703</v>
      </c>
      <c r="N164">
        <v>2.1007234835159498</v>
      </c>
      <c r="O164" s="188">
        <v>149031</v>
      </c>
      <c r="P164" s="188">
        <v>86.39</v>
      </c>
      <c r="Q164">
        <v>0</v>
      </c>
      <c r="R164">
        <v>0</v>
      </c>
      <c r="S164">
        <v>0</v>
      </c>
      <c r="T164">
        <v>301.03114754098402</v>
      </c>
    </row>
    <row r="165" spans="1:20" x14ac:dyDescent="0.2">
      <c r="A165" s="161" t="s">
        <v>150</v>
      </c>
      <c r="B165" s="161">
        <v>663</v>
      </c>
      <c r="C165" s="161" t="s">
        <v>743</v>
      </c>
      <c r="D165" t="str">
        <f>_xlfn.XLOOKUP(B165,'Country Code M49'!$B$2:$B$250,'Country Code M49'!$C$2:$C$250,,0)</f>
        <v>MAF</v>
      </c>
      <c r="E165" s="27">
        <f>_xlfn.XLOOKUP(B165,'[3]Food Service Estimates'!$B$3:$B$237,'[3]Food Service Estimates'!$D$3:$D$237)</f>
        <v>25.5704180040103</v>
      </c>
      <c r="F165" s="162">
        <v>971.67588415239129</v>
      </c>
      <c r="G165" s="160" t="s">
        <v>877</v>
      </c>
      <c r="H165" s="188">
        <f>_xlfn.XLOOKUP(D165,'[1]World Population'!$C$2:$C$267,'[1]World Population'!$BN$2:$BN$267)</f>
        <v>38659</v>
      </c>
      <c r="I165" s="188">
        <v>100</v>
      </c>
      <c r="J165" s="194" t="e">
        <f>_xlfn.XLOOKUP(D165,'[2]GDP 2015 Constant'!$B$6:$B$271,'[2]GDP 2015 Constant'!$BM$6:$BM$271)</f>
        <v>#REF!</v>
      </c>
      <c r="K165" s="193" t="e">
        <f t="shared" si="4"/>
        <v>#REF!</v>
      </c>
      <c r="L165" s="194">
        <f>_xlfn.XLOOKUP(D165,'[5]Tourism Receipts'!$B$6:$B$271,'[5]Tourism Receipts'!$BK$6:$BK$271)</f>
        <v>0</v>
      </c>
      <c r="M165" s="195" t="e">
        <f t="shared" si="5"/>
        <v>#REF!</v>
      </c>
      <c r="N165">
        <v>0</v>
      </c>
      <c r="O165" s="188" t="e">
        <v>#REF!</v>
      </c>
      <c r="P165" s="188">
        <v>0</v>
      </c>
      <c r="Q165">
        <v>0</v>
      </c>
      <c r="R165">
        <v>0</v>
      </c>
      <c r="S165">
        <v>0</v>
      </c>
      <c r="T165">
        <v>773.18</v>
      </c>
    </row>
    <row r="166" spans="1:20" x14ac:dyDescent="0.2">
      <c r="A166" s="161" t="s">
        <v>150</v>
      </c>
      <c r="B166" s="161">
        <v>670</v>
      </c>
      <c r="C166" s="161" t="s">
        <v>744</v>
      </c>
      <c r="D166" t="str">
        <f>_xlfn.XLOOKUP(B166,'Country Code M49'!$B$2:$B$250,'Country Code M49'!$C$2:$C$250,,0)</f>
        <v>VCT</v>
      </c>
      <c r="E166" s="27">
        <f>_xlfn.XLOOKUP(B166,'[3]Food Service Estimates'!$B$3:$B$237,'[3]Food Service Estimates'!$D$3:$D$237)</f>
        <v>27.648074566430626</v>
      </c>
      <c r="F166" s="162">
        <v>3057.8770470472273</v>
      </c>
      <c r="G166" s="160" t="s">
        <v>872</v>
      </c>
      <c r="H166" s="188">
        <f>_xlfn.XLOOKUP(D166,'[1]World Population'!$C$2:$C$267,'[1]World Population'!$BN$2:$BN$267)</f>
        <v>110947</v>
      </c>
      <c r="I166" s="188">
        <v>100</v>
      </c>
      <c r="J166" s="194">
        <f>_xlfn.XLOOKUP(D166,'[2]GDP 2015 Constant'!$B$6:$B$271,'[2]GDP 2015 Constant'!$BM$6:$BM$271)</f>
        <v>815975930.89999998</v>
      </c>
      <c r="K166" s="193">
        <f t="shared" si="4"/>
        <v>7354.6461905234028</v>
      </c>
      <c r="L166" s="194">
        <f>_xlfn.XLOOKUP(D166,'[5]Tourism Receipts'!$B$6:$B$271,'[5]Tourism Receipts'!$BK$6:$BK$271)</f>
        <v>231000000</v>
      </c>
      <c r="M166" s="195">
        <f t="shared" si="5"/>
        <v>0.2830965856372909</v>
      </c>
      <c r="N166">
        <v>7.0057710857975799</v>
      </c>
      <c r="O166" s="188">
        <v>52110</v>
      </c>
      <c r="P166" s="188">
        <v>105.72</v>
      </c>
      <c r="Q166">
        <v>0</v>
      </c>
      <c r="R166">
        <v>0</v>
      </c>
      <c r="S166">
        <v>0</v>
      </c>
      <c r="T166">
        <v>284.47948717948702</v>
      </c>
    </row>
    <row r="167" spans="1:20" x14ac:dyDescent="0.2">
      <c r="A167" s="161" t="s">
        <v>878</v>
      </c>
      <c r="B167" s="161">
        <v>882</v>
      </c>
      <c r="C167" s="161" t="s">
        <v>784</v>
      </c>
      <c r="D167" t="str">
        <f>_xlfn.XLOOKUP(B167,'Country Code M49'!$B$2:$B$250,'Country Code M49'!$C$2:$C$250,,0)</f>
        <v>WSM</v>
      </c>
      <c r="E167" s="27">
        <f>_xlfn.XLOOKUP(B167,'[3]Food Service Estimates'!$B$3:$B$237,'[3]Food Service Estimates'!$D$3:$D$237)</f>
        <v>27.648074566430626</v>
      </c>
      <c r="F167" s="162">
        <v>5449.4354970434761</v>
      </c>
      <c r="G167" s="160" t="s">
        <v>872</v>
      </c>
      <c r="H167" s="188">
        <f>_xlfn.XLOOKUP(D167,'[1]World Population'!$C$2:$C$267,'[1]World Population'!$BN$2:$BN$267)</f>
        <v>198410</v>
      </c>
      <c r="I167" s="188">
        <v>100</v>
      </c>
      <c r="J167" s="194">
        <f>_xlfn.XLOOKUP(D167,'[2]GDP 2015 Constant'!$B$6:$B$271,'[2]GDP 2015 Constant'!$BM$6:$BM$271)</f>
        <v>864892729.39999998</v>
      </c>
      <c r="K167" s="193">
        <f t="shared" si="4"/>
        <v>4359.1186401895066</v>
      </c>
      <c r="L167" s="194">
        <f>_xlfn.XLOOKUP(D167,'[5]Tourism Receipts'!$B$6:$B$271,'[5]Tourism Receipts'!$BK$6:$BK$271)</f>
        <v>192300003.09999999</v>
      </c>
      <c r="M167" s="195">
        <f t="shared" si="5"/>
        <v>0.22233971516144416</v>
      </c>
      <c r="N167">
        <v>9.7287015525197198</v>
      </c>
      <c r="O167" s="188">
        <v>162916</v>
      </c>
      <c r="P167" s="188">
        <v>94.47</v>
      </c>
      <c r="Q167">
        <v>50.237585012421803</v>
      </c>
      <c r="R167">
        <v>37.723340195303898</v>
      </c>
      <c r="S167">
        <v>0</v>
      </c>
      <c r="T167">
        <v>71.370503597122294</v>
      </c>
    </row>
    <row r="168" spans="1:20" x14ac:dyDescent="0.2">
      <c r="A168" s="161" t="s">
        <v>155</v>
      </c>
      <c r="B168" s="161">
        <v>674</v>
      </c>
      <c r="C168" s="161" t="s">
        <v>811</v>
      </c>
      <c r="D168" t="str">
        <f>_xlfn.XLOOKUP(B168,'Country Code M49'!$B$2:$B$250,'Country Code M49'!$C$2:$C$250,,0)</f>
        <v>SMR</v>
      </c>
      <c r="E168" s="27">
        <f>_xlfn.XLOOKUP(B168,'[3]Food Service Estimates'!$B$3:$B$237,'[3]Food Service Estimates'!$D$3:$D$237)</f>
        <v>25.5704180040103</v>
      </c>
      <c r="F168" s="162">
        <v>866.83717033594917</v>
      </c>
      <c r="G168" s="160" t="s">
        <v>877</v>
      </c>
      <c r="H168" s="188">
        <f>_xlfn.XLOOKUP(D168,'[1]World Population'!$C$2:$C$267,'[1]World Population'!$BN$2:$BN$267)</f>
        <v>33938</v>
      </c>
      <c r="I168" s="188">
        <v>99.661651611328097</v>
      </c>
      <c r="J168" s="194">
        <f>_xlfn.XLOOKUP(D168,'[2]GDP 2015 Constant'!$B$6:$B$271,'[2]GDP 2015 Constant'!$BM$6:$BM$271)</f>
        <v>1408417036</v>
      </c>
      <c r="K168" s="193">
        <f t="shared" si="4"/>
        <v>41499.70640579881</v>
      </c>
      <c r="L168" s="194">
        <f>_xlfn.XLOOKUP(D168,'[5]Tourism Receipts'!$B$6:$B$271,'[5]Tourism Receipts'!$BK$6:$BK$271)</f>
        <v>0</v>
      </c>
      <c r="M168" s="195">
        <f t="shared" si="5"/>
        <v>0</v>
      </c>
      <c r="N168">
        <v>1.52797446966611E-2</v>
      </c>
      <c r="O168" s="188">
        <v>849</v>
      </c>
      <c r="P168" s="188">
        <v>0</v>
      </c>
      <c r="Q168">
        <v>142.89045627736701</v>
      </c>
      <c r="R168">
        <v>163.99723662423199</v>
      </c>
      <c r="S168">
        <v>0</v>
      </c>
      <c r="T168">
        <v>565.63333333333298</v>
      </c>
    </row>
    <row r="169" spans="1:20" x14ac:dyDescent="0.2">
      <c r="A169" s="161" t="s">
        <v>154</v>
      </c>
      <c r="B169" s="161">
        <v>678</v>
      </c>
      <c r="C169" s="161" t="s">
        <v>846</v>
      </c>
      <c r="D169" t="str">
        <f>_xlfn.XLOOKUP(B169,'Country Code M49'!$B$2:$B$250,'Country Code M49'!$C$2:$C$250,,0)</f>
        <v>STP</v>
      </c>
      <c r="E169" s="27">
        <f>_xlfn.XLOOKUP(B169,'[3]Food Service Estimates'!$B$3:$B$237,'[3]Food Service Estimates'!$D$3:$D$237)</f>
        <v>27.648074566430626</v>
      </c>
      <c r="F169" s="162">
        <v>5947.1008392392278</v>
      </c>
      <c r="G169" s="160" t="s">
        <v>872</v>
      </c>
      <c r="H169" s="188">
        <f>_xlfn.XLOOKUP(D169,'[1]World Population'!$C$2:$C$267,'[1]World Population'!$BN$2:$BN$267)</f>
        <v>219161</v>
      </c>
      <c r="I169" s="188">
        <v>100</v>
      </c>
      <c r="J169" s="194">
        <f>_xlfn.XLOOKUP(D169,'[2]GDP 2015 Constant'!$B$6:$B$271,'[2]GDP 2015 Constant'!$BM$6:$BM$271)</f>
        <v>370868351.89999998</v>
      </c>
      <c r="K169" s="193">
        <f t="shared" si="4"/>
        <v>1692.2187428420202</v>
      </c>
      <c r="L169" s="194">
        <f>_xlfn.XLOOKUP(D169,'[5]Tourism Receipts'!$B$6:$B$271,'[5]Tourism Receipts'!$BK$6:$BK$271)</f>
        <v>71900000</v>
      </c>
      <c r="M169" s="195">
        <f t="shared" si="5"/>
        <v>0.19386933296316139</v>
      </c>
      <c r="N169">
        <v>12.2898119898564</v>
      </c>
      <c r="O169" s="188">
        <v>56206</v>
      </c>
      <c r="P169" s="188">
        <v>103.51</v>
      </c>
      <c r="Q169">
        <v>0</v>
      </c>
      <c r="R169">
        <v>0</v>
      </c>
      <c r="S169">
        <v>0</v>
      </c>
      <c r="T169">
        <v>228.292708333333</v>
      </c>
    </row>
    <row r="170" spans="1:20" x14ac:dyDescent="0.2">
      <c r="A170" s="161" t="s">
        <v>148</v>
      </c>
      <c r="B170" s="161">
        <v>682</v>
      </c>
      <c r="C170" s="161" t="s">
        <v>132</v>
      </c>
      <c r="D170" t="str">
        <f>_xlfn.XLOOKUP(B170,'Country Code M49'!$B$2:$B$250,'Country Code M49'!$C$2:$C$250,,0)</f>
        <v>SAU</v>
      </c>
      <c r="E170" s="27">
        <f>_xlfn.XLOOKUP(B170,'[3]Food Service Estimates'!$B$3:$B$237,'[3]Food Service Estimates'!$D$3:$D$237)</f>
        <v>25.5704180040103</v>
      </c>
      <c r="F170" s="162">
        <v>876259.86937042698</v>
      </c>
      <c r="G170" s="160" t="s">
        <v>877</v>
      </c>
      <c r="H170" s="188">
        <f>_xlfn.XLOOKUP(D170,'[1]World Population'!$C$2:$C$267,'[1]World Population'!$BN$2:$BN$267)</f>
        <v>34813867</v>
      </c>
      <c r="I170" s="188">
        <v>100</v>
      </c>
      <c r="J170" s="194">
        <f>_xlfn.XLOOKUP(D170,'[2]GDP 2015 Constant'!$B$6:$B$271,'[2]GDP 2015 Constant'!$BM$6:$BM$271)</f>
        <v>651027000000</v>
      </c>
      <c r="K170" s="193">
        <f t="shared" si="4"/>
        <v>18700.22080569217</v>
      </c>
      <c r="L170" s="194">
        <f>_xlfn.XLOOKUP(D170,'[5]Tourism Receipts'!$B$6:$B$271,'[5]Tourism Receipts'!$BK$6:$BK$271)</f>
        <v>16974000000</v>
      </c>
      <c r="M170" s="195">
        <f t="shared" si="5"/>
        <v>2.6072651364689944E-2</v>
      </c>
      <c r="N170">
        <v>2.1968555880473302</v>
      </c>
      <c r="O170" s="188">
        <v>5470303</v>
      </c>
      <c r="P170" s="188">
        <v>151.13999999999999</v>
      </c>
      <c r="Q170">
        <v>25.666772862630999</v>
      </c>
      <c r="R170">
        <v>35.571694489276702</v>
      </c>
      <c r="S170">
        <v>9401.4856677494608</v>
      </c>
      <c r="T170">
        <v>16.1948313477757</v>
      </c>
    </row>
    <row r="171" spans="1:20" x14ac:dyDescent="0.2">
      <c r="A171" s="161" t="s">
        <v>154</v>
      </c>
      <c r="B171" s="161">
        <v>686</v>
      </c>
      <c r="C171" s="161" t="s">
        <v>847</v>
      </c>
      <c r="D171" t="str">
        <f>_xlfn.XLOOKUP(B171,'Country Code M49'!$B$2:$B$250,'Country Code M49'!$C$2:$C$250,,0)</f>
        <v>SEN</v>
      </c>
      <c r="E171" s="27">
        <f>_xlfn.XLOOKUP(B171,'[3]Food Service Estimates'!$B$3:$B$237,'[3]Food Service Estimates'!$D$3:$D$237)</f>
        <v>27.648074566430626</v>
      </c>
      <c r="F171" s="162">
        <v>450564.08236438001</v>
      </c>
      <c r="G171" s="160" t="s">
        <v>872</v>
      </c>
      <c r="H171" s="188">
        <f>_xlfn.XLOOKUP(D171,'[1]World Population'!$C$2:$C$267,'[1]World Population'!$BN$2:$BN$267)</f>
        <v>16743930</v>
      </c>
      <c r="I171" s="188">
        <v>100</v>
      </c>
      <c r="J171" s="194">
        <f>_xlfn.XLOOKUP(D171,'[2]GDP 2015 Constant'!$B$6:$B$271,'[2]GDP 2015 Constant'!$BM$6:$BM$271)</f>
        <v>22859676611</v>
      </c>
      <c r="K171" s="193">
        <f t="shared" si="4"/>
        <v>1365.2515634621025</v>
      </c>
      <c r="L171" s="194">
        <f>_xlfn.XLOOKUP(D171,'[5]Tourism Receipts'!$B$6:$B$271,'[5]Tourism Receipts'!$BK$6:$BK$271)</f>
        <v>557000000</v>
      </c>
      <c r="M171" s="195">
        <f t="shared" si="5"/>
        <v>2.4366048981286702E-2</v>
      </c>
      <c r="N171">
        <v>14.899573080831299</v>
      </c>
      <c r="O171" s="188">
        <v>8686416</v>
      </c>
      <c r="P171" s="188">
        <v>181.51</v>
      </c>
      <c r="Q171">
        <v>38.840415258329301</v>
      </c>
      <c r="R171">
        <v>24.987932777280999</v>
      </c>
      <c r="S171">
        <v>229.351649483518</v>
      </c>
      <c r="T171">
        <v>86.967901106321094</v>
      </c>
    </row>
    <row r="172" spans="1:20" x14ac:dyDescent="0.2">
      <c r="A172" s="161" t="s">
        <v>155</v>
      </c>
      <c r="B172" s="161">
        <v>688</v>
      </c>
      <c r="C172" s="161" t="s">
        <v>133</v>
      </c>
      <c r="D172" t="str">
        <f>_xlfn.XLOOKUP(B172,'Country Code M49'!$B$2:$B$250,'Country Code M49'!$C$2:$C$250,,0)</f>
        <v>SRB</v>
      </c>
      <c r="E172" s="27">
        <f>_xlfn.XLOOKUP(B172,'[3]Food Service Estimates'!$B$3:$B$237,'[3]Food Service Estimates'!$D$3:$D$237)</f>
        <v>6</v>
      </c>
      <c r="F172" s="162">
        <v>52633.2</v>
      </c>
      <c r="G172" s="160" t="s">
        <v>881</v>
      </c>
      <c r="H172" s="188">
        <f>_xlfn.XLOOKUP(D172,'[1]World Population'!$C$2:$C$267,'[1]World Population'!$BN$2:$BN$267)</f>
        <v>6899126</v>
      </c>
      <c r="I172" s="188">
        <v>100</v>
      </c>
      <c r="J172" s="194">
        <f>_xlfn.XLOOKUP(D172,'[2]GDP 2015 Constant'!$B$6:$B$271,'[2]GDP 2015 Constant'!$BM$6:$BM$271)</f>
        <v>45184791299</v>
      </c>
      <c r="K172" s="193">
        <f t="shared" si="4"/>
        <v>6549.3500624571871</v>
      </c>
      <c r="L172" s="194">
        <f>_xlfn.XLOOKUP(D172,'[5]Tourism Receipts'!$B$6:$B$271,'[5]Tourism Receipts'!$BK$6:$BK$271)</f>
        <v>1941000000</v>
      </c>
      <c r="M172" s="195">
        <f t="shared" si="5"/>
        <v>4.2956931839208408E-2</v>
      </c>
      <c r="N172">
        <v>5.9544163448377896</v>
      </c>
      <c r="O172" s="188">
        <v>3004845</v>
      </c>
      <c r="P172" s="188">
        <v>110.9</v>
      </c>
      <c r="Q172">
        <v>59.0603044132937</v>
      </c>
      <c r="R172">
        <v>51.010923150917101</v>
      </c>
      <c r="S172">
        <v>4271.7446669105002</v>
      </c>
      <c r="T172">
        <v>78.883215184084193</v>
      </c>
    </row>
    <row r="173" spans="1:20" x14ac:dyDescent="0.2">
      <c r="A173" s="161" t="s">
        <v>154</v>
      </c>
      <c r="B173" s="161">
        <v>690</v>
      </c>
      <c r="C173" s="161" t="s">
        <v>848</v>
      </c>
      <c r="D173" t="str">
        <f>_xlfn.XLOOKUP(B173,'Country Code M49'!$B$2:$B$250,'Country Code M49'!$C$2:$C$250,,0)</f>
        <v>SYC</v>
      </c>
      <c r="E173" s="27">
        <f>_xlfn.XLOOKUP(B173,'[3]Food Service Estimates'!$B$3:$B$237,'[3]Food Service Estimates'!$D$3:$D$237)</f>
        <v>25.5704180040103</v>
      </c>
      <c r="F173" s="162">
        <v>2498.2298389918064</v>
      </c>
      <c r="G173" s="160" t="s">
        <v>877</v>
      </c>
      <c r="H173" s="188">
        <f>_xlfn.XLOOKUP(D173,'[1]World Population'!$C$2:$C$267,'[1]World Population'!$BN$2:$BN$267)</f>
        <v>98462</v>
      </c>
      <c r="I173" s="188">
        <v>100</v>
      </c>
      <c r="J173" s="194">
        <f>_xlfn.XLOOKUP(D173,'[2]GDP 2015 Constant'!$B$6:$B$271,'[2]GDP 2015 Constant'!$BM$6:$BM$271)</f>
        <v>1530539000</v>
      </c>
      <c r="K173" s="193">
        <f t="shared" si="4"/>
        <v>15544.463854075684</v>
      </c>
      <c r="L173" s="194">
        <f>_xlfn.XLOOKUP(D173,'[5]Tourism Receipts'!$B$6:$B$271,'[5]Tourism Receipts'!$BK$6:$BK$271)</f>
        <v>611000000</v>
      </c>
      <c r="M173" s="195">
        <f t="shared" si="5"/>
        <v>0.39920576999344676</v>
      </c>
      <c r="N173">
        <v>2.6473226374221501</v>
      </c>
      <c r="O173" s="188">
        <v>41801</v>
      </c>
      <c r="P173" s="188">
        <v>98.43</v>
      </c>
      <c r="Q173">
        <v>107.587346076291</v>
      </c>
      <c r="R173">
        <v>91.375998510695894</v>
      </c>
      <c r="S173">
        <v>0</v>
      </c>
      <c r="T173">
        <v>214.047826086957</v>
      </c>
    </row>
    <row r="174" spans="1:20" x14ac:dyDescent="0.2">
      <c r="A174" s="161" t="s">
        <v>154</v>
      </c>
      <c r="B174" s="161">
        <v>694</v>
      </c>
      <c r="C174" s="161" t="s">
        <v>849</v>
      </c>
      <c r="D174" t="str">
        <f>_xlfn.XLOOKUP(B174,'Country Code M49'!$B$2:$B$250,'Country Code M49'!$C$2:$C$250,,0)</f>
        <v>SLE</v>
      </c>
      <c r="E174" s="27">
        <f>_xlfn.XLOOKUP(B174,'[3]Food Service Estimates'!$B$3:$B$237,'[3]Food Service Estimates'!$D$3:$D$237)</f>
        <v>27.648074566430626</v>
      </c>
      <c r="F174" s="162">
        <v>216019.93620243575</v>
      </c>
      <c r="G174" s="160" t="s">
        <v>872</v>
      </c>
      <c r="H174" s="188">
        <f>_xlfn.XLOOKUP(D174,'[1]World Population'!$C$2:$C$267,'[1]World Population'!$BN$2:$BN$267)</f>
        <v>7976985</v>
      </c>
      <c r="I174" s="188">
        <v>100</v>
      </c>
      <c r="J174" s="194">
        <f>_xlfn.XLOOKUP(D174,'[2]GDP 2015 Constant'!$B$6:$B$271,'[2]GDP 2015 Constant'!$BM$6:$BM$271)</f>
        <v>4976753934</v>
      </c>
      <c r="K174" s="193">
        <f t="shared" si="4"/>
        <v>623.88909268351392</v>
      </c>
      <c r="L174" s="194">
        <f>_xlfn.XLOOKUP(D174,'[5]Tourism Receipts'!$B$6:$B$271,'[5]Tourism Receipts'!$BK$6:$BK$271)</f>
        <v>39000000</v>
      </c>
      <c r="M174" s="195">
        <f t="shared" si="5"/>
        <v>7.836433248901712E-3</v>
      </c>
      <c r="N174">
        <v>58.1544724473477</v>
      </c>
      <c r="O174" s="188">
        <v>4553024</v>
      </c>
      <c r="P174" s="188">
        <v>108.42</v>
      </c>
      <c r="Q174">
        <v>39.228531308891696</v>
      </c>
      <c r="R174">
        <v>18.2469360788965</v>
      </c>
      <c r="S174">
        <v>0</v>
      </c>
      <c r="T174">
        <v>110.515170407315</v>
      </c>
    </row>
    <row r="175" spans="1:20" x14ac:dyDescent="0.2">
      <c r="A175" s="161" t="s">
        <v>157</v>
      </c>
      <c r="B175" s="161">
        <v>702</v>
      </c>
      <c r="C175" s="161" t="s">
        <v>794</v>
      </c>
      <c r="D175" t="str">
        <f>_xlfn.XLOOKUP(B175,'Country Code M49'!$B$2:$B$250,'Country Code M49'!$C$2:$C$250,,0)</f>
        <v>SGP</v>
      </c>
      <c r="E175" s="27">
        <f>_xlfn.XLOOKUP(B175,'[3]Food Service Estimates'!$B$3:$B$237,'[3]Food Service Estimates'!$D$3:$D$237)</f>
        <v>25.5704180040103</v>
      </c>
      <c r="F175" s="162">
        <v>148418.37722067698</v>
      </c>
      <c r="G175" s="160" t="s">
        <v>877</v>
      </c>
      <c r="H175" s="188">
        <f>_xlfn.XLOOKUP(D175,'[1]World Population'!$C$2:$C$267,'[1]World Population'!$BN$2:$BN$267)</f>
        <v>5685807</v>
      </c>
      <c r="I175" s="188">
        <v>100</v>
      </c>
      <c r="J175" s="194">
        <f>_xlfn.XLOOKUP(D175,'[2]GDP 2015 Constant'!$B$6:$B$271,'[2]GDP 2015 Constant'!$BM$6:$BM$271)</f>
        <v>335363000000</v>
      </c>
      <c r="K175" s="193">
        <f t="shared" si="4"/>
        <v>58982.480411311888</v>
      </c>
      <c r="L175" s="194">
        <f>_xlfn.XLOOKUP(D175,'[5]Tourism Receipts'!$B$6:$B$271,'[5]Tourism Receipts'!$BK$6:$BK$271)</f>
        <v>20416000000</v>
      </c>
      <c r="M175" s="195">
        <f t="shared" si="5"/>
        <v>6.0877318010633251E-2</v>
      </c>
      <c r="N175">
        <v>3.2290818845577801E-2</v>
      </c>
      <c r="O175" s="188">
        <v>0</v>
      </c>
      <c r="P175" s="188">
        <v>160.27000000000001</v>
      </c>
      <c r="Q175">
        <v>147.728267194708</v>
      </c>
      <c r="R175">
        <v>175.27411566789999</v>
      </c>
      <c r="S175">
        <v>8844.6875930120095</v>
      </c>
      <c r="T175">
        <v>7918.9512534818896</v>
      </c>
    </row>
    <row r="176" spans="1:20" x14ac:dyDescent="0.2">
      <c r="A176" s="161" t="s">
        <v>150</v>
      </c>
      <c r="B176" s="161">
        <v>534</v>
      </c>
      <c r="C176" s="161" t="s">
        <v>745</v>
      </c>
      <c r="D176" t="str">
        <f>_xlfn.XLOOKUP(B176,'Country Code M49'!$B$2:$B$250,'Country Code M49'!$C$2:$C$250,,0)</f>
        <v>SXM</v>
      </c>
      <c r="E176" s="27">
        <f>_xlfn.XLOOKUP(B176,'[3]Food Service Estimates'!$B$3:$B$237,'[3]Food Service Estimates'!$D$3:$D$237)</f>
        <v>25.5704180040103</v>
      </c>
      <c r="F176" s="162">
        <v>1084.1857233700368</v>
      </c>
      <c r="G176" s="160" t="s">
        <v>877</v>
      </c>
      <c r="H176" s="188">
        <f>_xlfn.XLOOKUP(D176,'[1]World Population'!$C$2:$C$267,'[1]World Population'!$BN$2:$BN$267)</f>
        <v>42310</v>
      </c>
      <c r="I176" s="188">
        <v>100</v>
      </c>
      <c r="J176" s="194" t="e">
        <f>_xlfn.XLOOKUP(D176,'[2]GDP 2015 Constant'!$B$6:$B$271,'[2]GDP 2015 Constant'!$BM$6:$BM$271)</f>
        <v>#REF!</v>
      </c>
      <c r="K176" s="193" t="e">
        <f t="shared" si="4"/>
        <v>#REF!</v>
      </c>
      <c r="L176" s="194">
        <f>_xlfn.XLOOKUP(D176,'[5]Tourism Receipts'!$B$6:$B$271,'[5]Tourism Receipts'!$BK$6:$BK$271)</f>
        <v>468000000</v>
      </c>
      <c r="M176" s="195" t="e">
        <f t="shared" si="5"/>
        <v>#REF!</v>
      </c>
      <c r="N176">
        <v>0</v>
      </c>
      <c r="O176" s="188">
        <v>0</v>
      </c>
      <c r="P176" s="188">
        <v>0</v>
      </c>
      <c r="Q176">
        <v>104.24128180961399</v>
      </c>
      <c r="R176">
        <v>0</v>
      </c>
      <c r="S176">
        <v>0</v>
      </c>
      <c r="T176">
        <v>1244.4117647058799</v>
      </c>
    </row>
    <row r="177" spans="1:20" x14ac:dyDescent="0.2">
      <c r="A177" s="161" t="s">
        <v>156</v>
      </c>
      <c r="B177" s="161">
        <v>703</v>
      </c>
      <c r="C177" s="161" t="s">
        <v>705</v>
      </c>
      <c r="D177" t="str">
        <f>_xlfn.XLOOKUP(B177,'Country Code M49'!$B$2:$B$250,'Country Code M49'!$C$2:$C$250,,0)</f>
        <v>SVK</v>
      </c>
      <c r="E177" s="27">
        <f>_xlfn.XLOOKUP(B177,'[3]Food Service Estimates'!$B$3:$B$237,'[3]Food Service Estimates'!$D$3:$D$237)</f>
        <v>25.5704180040103</v>
      </c>
      <c r="F177" s="162">
        <v>139537.77104788419</v>
      </c>
      <c r="G177" s="160" t="s">
        <v>877</v>
      </c>
      <c r="H177" s="188">
        <f>_xlfn.XLOOKUP(D177,'[1]World Population'!$C$2:$C$267,'[1]World Population'!$BN$2:$BN$267)</f>
        <v>5458827</v>
      </c>
      <c r="I177" s="188">
        <v>100</v>
      </c>
      <c r="J177" s="194">
        <f>_xlfn.XLOOKUP(D177,'[2]GDP 2015 Constant'!$B$6:$B$271,'[2]GDP 2015 Constant'!$BM$6:$BM$271)</f>
        <v>94769119000</v>
      </c>
      <c r="K177" s="193">
        <f t="shared" si="4"/>
        <v>17360.711193082323</v>
      </c>
      <c r="L177" s="194">
        <f>_xlfn.XLOOKUP(D177,'[5]Tourism Receipts'!$B$6:$B$271,'[5]Tourism Receipts'!$BK$6:$BK$271)</f>
        <v>3318000000</v>
      </c>
      <c r="M177" s="195">
        <f t="shared" si="5"/>
        <v>3.5011404928223508E-2</v>
      </c>
      <c r="N177">
        <v>1.6674607112729301</v>
      </c>
      <c r="O177" s="188">
        <v>2524162</v>
      </c>
      <c r="P177" s="188">
        <v>101.26</v>
      </c>
      <c r="Q177">
        <v>94.409808177848404</v>
      </c>
      <c r="R177">
        <v>92.264785590996894</v>
      </c>
      <c r="S177">
        <v>5137.0738351939799</v>
      </c>
      <c r="T177">
        <v>113.536335274542</v>
      </c>
    </row>
    <row r="178" spans="1:20" x14ac:dyDescent="0.2">
      <c r="A178" s="161" t="s">
        <v>155</v>
      </c>
      <c r="B178" s="161">
        <v>705</v>
      </c>
      <c r="C178" s="161" t="s">
        <v>134</v>
      </c>
      <c r="D178" t="str">
        <f>_xlfn.XLOOKUP(B178,'Country Code M49'!$B$2:$B$250,'Country Code M49'!$C$2:$C$250,,0)</f>
        <v>SVN</v>
      </c>
      <c r="E178" s="27">
        <f>_xlfn.XLOOKUP(B178,'[3]Food Service Estimates'!$B$3:$B$237,'[3]Food Service Estimates'!$D$3:$D$237)</f>
        <v>20.080268514930744</v>
      </c>
      <c r="F178" s="162">
        <v>41740.854161986535</v>
      </c>
      <c r="G178" s="160" t="s">
        <v>881</v>
      </c>
      <c r="H178" s="188">
        <f>_xlfn.XLOOKUP(D178,'[1]World Population'!$C$2:$C$267,'[1]World Population'!$BN$2:$BN$267)</f>
        <v>2102419</v>
      </c>
      <c r="I178" s="188">
        <v>100</v>
      </c>
      <c r="J178" s="194">
        <f>_xlfn.XLOOKUP(D178,'[2]GDP 2015 Constant'!$B$6:$B$271,'[2]GDP 2015 Constant'!$BM$6:$BM$271)</f>
        <v>48144051030</v>
      </c>
      <c r="K178" s="193">
        <f t="shared" si="4"/>
        <v>22899.360703075839</v>
      </c>
      <c r="L178" s="194">
        <f>_xlfn.XLOOKUP(D178,'[5]Tourism Receipts'!$B$6:$B$271,'[5]Tourism Receipts'!$BK$6:$BK$271)</f>
        <v>3377500000</v>
      </c>
      <c r="M178" s="195">
        <f t="shared" si="5"/>
        <v>7.0154046610979598E-2</v>
      </c>
      <c r="N178">
        <v>1.9568088364693399</v>
      </c>
      <c r="O178" s="188">
        <v>943608</v>
      </c>
      <c r="P178" s="188">
        <v>104.9</v>
      </c>
      <c r="Q178">
        <v>76.369871443877798</v>
      </c>
      <c r="R178">
        <v>83.963468174124699</v>
      </c>
      <c r="S178">
        <v>6727.9993016421104</v>
      </c>
      <c r="T178">
        <v>104.408881428657</v>
      </c>
    </row>
    <row r="179" spans="1:20" x14ac:dyDescent="0.2">
      <c r="A179" s="161" t="s">
        <v>874</v>
      </c>
      <c r="B179" s="161">
        <v>90</v>
      </c>
      <c r="C179" s="161" t="s">
        <v>755</v>
      </c>
      <c r="D179" t="str">
        <f>_xlfn.XLOOKUP(B179,'Country Code M49'!$B$2:$B$250,'Country Code M49'!$C$2:$C$250,,0)</f>
        <v>SLB</v>
      </c>
      <c r="E179" s="27">
        <f>_xlfn.XLOOKUP(B179,'[3]Food Service Estimates'!$B$3:$B$237,'[3]Food Service Estimates'!$D$3:$D$237)</f>
        <v>27.648074566430626</v>
      </c>
      <c r="F179" s="162">
        <v>18518.680344595236</v>
      </c>
      <c r="G179" s="160" t="s">
        <v>872</v>
      </c>
      <c r="H179" s="188">
        <f>_xlfn.XLOOKUP(D179,'[1]World Population'!$C$2:$C$267,'[1]World Population'!$BN$2:$BN$267)</f>
        <v>686878</v>
      </c>
      <c r="I179" s="188">
        <v>100</v>
      </c>
      <c r="J179" s="194">
        <f>_xlfn.XLOOKUP(D179,'[2]GDP 2015 Constant'!$B$6:$B$271,'[2]GDP 2015 Constant'!$BM$6:$BM$271)</f>
        <v>1467328739</v>
      </c>
      <c r="K179" s="193">
        <f t="shared" si="4"/>
        <v>2136.2290523207907</v>
      </c>
      <c r="L179" s="194">
        <f>_xlfn.XLOOKUP(D179,'[5]Tourism Receipts'!$B$6:$B$271,'[5]Tourism Receipts'!$BK$6:$BK$271)</f>
        <v>92000000</v>
      </c>
      <c r="M179" s="195">
        <f t="shared" si="5"/>
        <v>6.2698969600158569E-2</v>
      </c>
      <c r="N179">
        <v>0</v>
      </c>
      <c r="O179" s="188">
        <v>517425</v>
      </c>
      <c r="P179" s="188">
        <v>105.85</v>
      </c>
      <c r="Q179">
        <v>47.574869062751802</v>
      </c>
      <c r="R179">
        <v>37.641599781812502</v>
      </c>
      <c r="S179">
        <v>0</v>
      </c>
      <c r="T179">
        <v>24.540121471954301</v>
      </c>
    </row>
    <row r="180" spans="1:20" x14ac:dyDescent="0.2">
      <c r="A180" s="161" t="s">
        <v>154</v>
      </c>
      <c r="B180" s="161">
        <v>706</v>
      </c>
      <c r="C180" s="161" t="s">
        <v>850</v>
      </c>
      <c r="D180" t="str">
        <f>_xlfn.XLOOKUP(B180,'Country Code M49'!$B$2:$B$250,'Country Code M49'!$C$2:$C$250,,0)</f>
        <v>SOM</v>
      </c>
      <c r="E180" s="27">
        <f>_xlfn.XLOOKUP(B180,'[3]Food Service Estimates'!$B$3:$B$237,'[3]Food Service Estimates'!$D$3:$D$237)</f>
        <v>27.648074566430626</v>
      </c>
      <c r="F180" s="162">
        <v>426966.45072193153</v>
      </c>
      <c r="G180" s="160" t="s">
        <v>872</v>
      </c>
      <c r="H180" s="188">
        <f>_xlfn.XLOOKUP(D180,'[1]World Population'!$C$2:$C$267,'[1]World Population'!$BN$2:$BN$267)</f>
        <v>15893219</v>
      </c>
      <c r="I180" s="188">
        <v>100</v>
      </c>
      <c r="J180" s="194">
        <f>_xlfn.XLOOKUP(D180,'[2]GDP 2015 Constant'!$B$6:$B$271,'[2]GDP 2015 Constant'!$BM$6:$BM$271)</f>
        <v>7069119939</v>
      </c>
      <c r="K180" s="193">
        <f t="shared" si="4"/>
        <v>444.78843077667273</v>
      </c>
      <c r="L180" s="194">
        <f>_xlfn.XLOOKUP(D180,'[5]Tourism Receipts'!$B$6:$B$271,'[5]Tourism Receipts'!$BK$6:$BK$271)</f>
        <v>0</v>
      </c>
      <c r="M180" s="195">
        <f t="shared" si="5"/>
        <v>0</v>
      </c>
      <c r="N180">
        <v>0</v>
      </c>
      <c r="O180" s="188">
        <v>8559929</v>
      </c>
      <c r="P180" s="188">
        <v>99.55</v>
      </c>
      <c r="Q180">
        <v>87.562511937012601</v>
      </c>
      <c r="R180">
        <v>17.462665198879801</v>
      </c>
      <c r="S180">
        <v>0</v>
      </c>
      <c r="T180">
        <v>25.334298785347698</v>
      </c>
    </row>
    <row r="181" spans="1:20" x14ac:dyDescent="0.2">
      <c r="A181" s="161" t="s">
        <v>154</v>
      </c>
      <c r="B181" s="161">
        <v>710</v>
      </c>
      <c r="C181" s="161" t="s">
        <v>135</v>
      </c>
      <c r="D181" t="str">
        <f>_xlfn.XLOOKUP(B181,'Country Code M49'!$B$2:$B$250,'Country Code M49'!$C$2:$C$250,,0)</f>
        <v>ZAF</v>
      </c>
      <c r="E181" s="27">
        <f>_xlfn.XLOOKUP(B181,'[3]Food Service Estimates'!$B$3:$B$237,'[3]Food Service Estimates'!$D$3:$D$237)</f>
        <v>27.648074566430626</v>
      </c>
      <c r="F181" s="162">
        <v>1619024.2448834146</v>
      </c>
      <c r="G181" s="160" t="s">
        <v>872</v>
      </c>
      <c r="H181" s="188">
        <f>_xlfn.XLOOKUP(D181,'[1]World Population'!$C$2:$C$267,'[1]World Population'!$BN$2:$BN$267)</f>
        <v>59308690</v>
      </c>
      <c r="I181" s="188">
        <v>100</v>
      </c>
      <c r="J181" s="194">
        <f>_xlfn.XLOOKUP(D181,'[2]GDP 2015 Constant'!$B$6:$B$271,'[2]GDP 2015 Constant'!$BM$6:$BM$271)</f>
        <v>335640000000</v>
      </c>
      <c r="K181" s="193">
        <f t="shared" si="4"/>
        <v>5659.2044100114163</v>
      </c>
      <c r="L181" s="194">
        <f>_xlfn.XLOOKUP(D181,'[5]Tourism Receipts'!$B$6:$B$271,'[5]Tourism Receipts'!$BK$6:$BK$271)</f>
        <v>9789000000</v>
      </c>
      <c r="M181" s="195">
        <f t="shared" si="5"/>
        <v>2.9165176975330713E-2</v>
      </c>
      <c r="N181">
        <v>1.96430245840516</v>
      </c>
      <c r="O181" s="188">
        <v>19361915</v>
      </c>
      <c r="P181" s="188">
        <v>111</v>
      </c>
      <c r="Q181">
        <v>27.018995448259901</v>
      </c>
      <c r="R181">
        <v>27.342180492264799</v>
      </c>
      <c r="S181">
        <v>4198.0461198209496</v>
      </c>
      <c r="T181">
        <v>48.890593443190497</v>
      </c>
    </row>
    <row r="182" spans="1:20" x14ac:dyDescent="0.2">
      <c r="A182" s="161" t="s">
        <v>154</v>
      </c>
      <c r="B182" s="161">
        <v>728</v>
      </c>
      <c r="C182" s="161" t="s">
        <v>851</v>
      </c>
      <c r="D182" t="str">
        <f>_xlfn.XLOOKUP(B182,'Country Code M49'!$B$2:$B$250,'Country Code M49'!$C$2:$C$250,,0)</f>
        <v>SSD</v>
      </c>
      <c r="E182" s="27">
        <f>_xlfn.XLOOKUP(B182,'[3]Food Service Estimates'!$B$3:$B$237,'[3]Food Service Estimates'!$D$3:$D$237)</f>
        <v>27.648074566430626</v>
      </c>
      <c r="F182" s="162">
        <v>305845.76566131221</v>
      </c>
      <c r="G182" s="160" t="s">
        <v>872</v>
      </c>
      <c r="H182" s="188">
        <f>_xlfn.XLOOKUP(D182,'[1]World Population'!$C$2:$C$267,'[1]World Population'!$BN$2:$BN$267)</f>
        <v>11193729</v>
      </c>
      <c r="I182" s="188">
        <v>100</v>
      </c>
      <c r="J182" s="194" t="e">
        <f>_xlfn.XLOOKUP(D182,'[2]GDP 2015 Constant'!$B$6:$B$271,'[2]GDP 2015 Constant'!$BM$6:$BM$271)</f>
        <v>#REF!</v>
      </c>
      <c r="K182" s="193" t="e">
        <f t="shared" si="4"/>
        <v>#REF!</v>
      </c>
      <c r="L182" s="194">
        <f>_xlfn.XLOOKUP(D182,'[5]Tourism Receipts'!$B$6:$B$271,'[5]Tourism Receipts'!$BK$6:$BK$271)</f>
        <v>12000000</v>
      </c>
      <c r="M182" s="195" t="e">
        <f t="shared" si="5"/>
        <v>#REF!</v>
      </c>
      <c r="N182">
        <v>10.2201185288727</v>
      </c>
      <c r="O182" s="188">
        <v>8932708</v>
      </c>
      <c r="P182" s="188">
        <v>102.53</v>
      </c>
      <c r="Q182">
        <v>0</v>
      </c>
      <c r="R182">
        <v>0</v>
      </c>
      <c r="S182">
        <v>43.581728341444297</v>
      </c>
      <c r="T182">
        <v>17.713558463753898</v>
      </c>
    </row>
    <row r="183" spans="1:20" x14ac:dyDescent="0.2">
      <c r="A183" s="161" t="s">
        <v>155</v>
      </c>
      <c r="B183" s="161">
        <v>724</v>
      </c>
      <c r="C183" s="161" t="s">
        <v>136</v>
      </c>
      <c r="D183" t="str">
        <f>_xlfn.XLOOKUP(B183,'Country Code M49'!$B$2:$B$250,'Country Code M49'!$C$2:$C$250,,0)</f>
        <v>ESP</v>
      </c>
      <c r="E183" s="27">
        <f>_xlfn.XLOOKUP(B183,'[3]Food Service Estimates'!$B$3:$B$237,'[3]Food Service Estimates'!$D$3:$D$237)</f>
        <v>25.5704180040103</v>
      </c>
      <c r="F183" s="162">
        <v>1195079.5121698286</v>
      </c>
      <c r="G183" s="160" t="s">
        <v>877</v>
      </c>
      <c r="H183" s="188">
        <f>_xlfn.XLOOKUP(D183,'[1]World Population'!$C$2:$C$267,'[1]World Population'!$BN$2:$BN$267)</f>
        <v>47363419</v>
      </c>
      <c r="I183" s="188">
        <v>100</v>
      </c>
      <c r="J183" s="194">
        <f>_xlfn.XLOOKUP(D183,'[2]GDP 2015 Constant'!$B$6:$B$271,'[2]GDP 2015 Constant'!$BM$6:$BM$271)</f>
        <v>1181210000000</v>
      </c>
      <c r="K183" s="193">
        <f t="shared" si="4"/>
        <v>24939.289116775966</v>
      </c>
      <c r="L183" s="194">
        <f>_xlfn.XLOOKUP(D183,'[5]Tourism Receipts'!$B$6:$B$271,'[5]Tourism Receipts'!$BK$6:$BK$271)</f>
        <v>0</v>
      </c>
      <c r="M183" s="195">
        <f t="shared" si="5"/>
        <v>0</v>
      </c>
      <c r="N183">
        <v>2.5946358613761902</v>
      </c>
      <c r="O183" s="188">
        <v>9089040</v>
      </c>
      <c r="P183" s="188">
        <v>117.59</v>
      </c>
      <c r="Q183">
        <v>32.445549960565401</v>
      </c>
      <c r="R183">
        <v>34.954655951783003</v>
      </c>
      <c r="S183">
        <v>5355.9870055822103</v>
      </c>
      <c r="T183">
        <v>94.810907780037596</v>
      </c>
    </row>
    <row r="184" spans="1:20" x14ac:dyDescent="0.2">
      <c r="A184" s="161" t="s">
        <v>149</v>
      </c>
      <c r="B184" s="161">
        <v>144</v>
      </c>
      <c r="C184" s="161" t="s">
        <v>137</v>
      </c>
      <c r="D184" t="str">
        <f>_xlfn.XLOOKUP(B184,'Country Code M49'!$B$2:$B$250,'Country Code M49'!$C$2:$C$250,,0)</f>
        <v>LKA</v>
      </c>
      <c r="E184" s="27">
        <f>_xlfn.XLOOKUP(B184,'[3]Food Service Estimates'!$B$3:$B$237,'[3]Food Service Estimates'!$D$3:$D$237)</f>
        <v>27.648074566430626</v>
      </c>
      <c r="F184" s="162">
        <v>589559.24763219676</v>
      </c>
      <c r="G184" s="160" t="s">
        <v>872</v>
      </c>
      <c r="H184" s="188">
        <f>_xlfn.XLOOKUP(D184,'[1]World Population'!$C$2:$C$267,'[1]World Population'!$BN$2:$BN$267)</f>
        <v>21919000</v>
      </c>
      <c r="I184" s="188">
        <v>100</v>
      </c>
      <c r="J184" s="194">
        <f>_xlfn.XLOOKUP(D184,'[2]GDP 2015 Constant'!$B$6:$B$271,'[2]GDP 2015 Constant'!$BM$6:$BM$271)</f>
        <v>88853624203</v>
      </c>
      <c r="K184" s="193">
        <f t="shared" si="4"/>
        <v>4053.7261829006798</v>
      </c>
      <c r="L184" s="194">
        <f>_xlfn.XLOOKUP(D184,'[5]Tourism Receipts'!$B$6:$B$271,'[5]Tourism Receipts'!$BK$6:$BK$271)</f>
        <v>5608000000</v>
      </c>
      <c r="M184" s="195">
        <f t="shared" si="5"/>
        <v>6.3115039485476102E-2</v>
      </c>
      <c r="N184">
        <v>7.5788705994159802</v>
      </c>
      <c r="O184" s="188">
        <v>17817298</v>
      </c>
      <c r="P184" s="188">
        <v>126.18</v>
      </c>
      <c r="Q184">
        <v>30.468966506444598</v>
      </c>
      <c r="R184">
        <v>23.153299138717902</v>
      </c>
      <c r="S184">
        <v>531.09057657137396</v>
      </c>
      <c r="T184">
        <v>354.33236340122897</v>
      </c>
    </row>
    <row r="185" spans="1:20" x14ac:dyDescent="0.2">
      <c r="A185" s="161" t="s">
        <v>148</v>
      </c>
      <c r="B185" s="161">
        <v>275</v>
      </c>
      <c r="C185" s="161" t="s">
        <v>863</v>
      </c>
      <c r="D185" t="str">
        <f>_xlfn.XLOOKUP(B185,'Country Code M49'!$B$2:$B$250,'Country Code M49'!$C$2:$C$250,,0)</f>
        <v>PSE</v>
      </c>
      <c r="E185" s="27">
        <f>_xlfn.XLOOKUP(B185,'[3]Food Service Estimates'!$B$3:$B$237,'[3]Food Service Estimates'!$D$3:$D$237)</f>
        <v>27.648074566430626</v>
      </c>
      <c r="F185" s="162">
        <v>137726.1186452175</v>
      </c>
      <c r="G185" s="160" t="s">
        <v>872</v>
      </c>
      <c r="H185" s="188">
        <f>_xlfn.XLOOKUP(D185,'[1]World Population'!$C$2:$C$267,'[1]World Population'!$BN$2:$BN$267)</f>
        <v>4803269</v>
      </c>
      <c r="I185" s="188">
        <v>100</v>
      </c>
      <c r="J185" s="194">
        <f>_xlfn.XLOOKUP(D185,'[2]GDP 2015 Constant'!$B$6:$B$271,'[2]GDP 2015 Constant'!$BM$6:$BM$271)</f>
        <v>14037400000</v>
      </c>
      <c r="K185" s="193">
        <f t="shared" si="4"/>
        <v>2922.4680108484449</v>
      </c>
      <c r="L185" s="194">
        <f>_xlfn.XLOOKUP(D185,'[5]Tourism Receipts'!$B$6:$B$271,'[5]Tourism Receipts'!$BK$6:$BK$271)</f>
        <v>245000000</v>
      </c>
      <c r="M185" s="195">
        <f t="shared" si="5"/>
        <v>1.745337455654181E-2</v>
      </c>
      <c r="N185">
        <v>7.0540169842705804</v>
      </c>
      <c r="O185" s="188">
        <v>1118249</v>
      </c>
      <c r="P185" s="188">
        <v>107.64</v>
      </c>
      <c r="Q185">
        <v>55.439710996153998</v>
      </c>
      <c r="R185">
        <v>15.521055242653301</v>
      </c>
      <c r="S185">
        <v>0</v>
      </c>
      <c r="T185">
        <v>797.88521594684403</v>
      </c>
    </row>
    <row r="186" spans="1:20" x14ac:dyDescent="0.2">
      <c r="A186" s="161" t="s">
        <v>876</v>
      </c>
      <c r="B186" s="161">
        <v>729</v>
      </c>
      <c r="C186" s="161" t="s">
        <v>768</v>
      </c>
      <c r="D186" t="str">
        <f>_xlfn.XLOOKUP(B186,'Country Code M49'!$B$2:$B$250,'Country Code M49'!$C$2:$C$250,,0)</f>
        <v>SDN</v>
      </c>
      <c r="E186" s="27">
        <f>_xlfn.XLOOKUP(B186,'[3]Food Service Estimates'!$B$3:$B$237,'[3]Food Service Estimates'!$D$3:$D$237)</f>
        <v>27.648074566430626</v>
      </c>
      <c r="F186" s="162">
        <v>1183702.5460275079</v>
      </c>
      <c r="G186" s="160" t="s">
        <v>872</v>
      </c>
      <c r="H186" s="188">
        <f>_xlfn.XLOOKUP(D186,'[1]World Population'!$C$2:$C$267,'[1]World Population'!$BN$2:$BN$267)</f>
        <v>43849269</v>
      </c>
      <c r="I186" s="188">
        <v>100</v>
      </c>
      <c r="J186" s="194">
        <f>_xlfn.XLOOKUP(D186,'[2]GDP 2015 Constant'!$B$6:$B$271,'[2]GDP 2015 Constant'!$BM$6:$BM$271)</f>
        <v>81244318743</v>
      </c>
      <c r="K186" s="193">
        <f t="shared" si="4"/>
        <v>1852.8089657093258</v>
      </c>
      <c r="L186" s="194">
        <f>_xlfn.XLOOKUP(D186,'[5]Tourism Receipts'!$B$6:$B$271,'[5]Tourism Receipts'!$BK$6:$BK$271)</f>
        <v>1043000000</v>
      </c>
      <c r="M186" s="195">
        <f t="shared" si="5"/>
        <v>1.283782073795609E-2</v>
      </c>
      <c r="N186">
        <v>20.164015348444298</v>
      </c>
      <c r="O186" s="188">
        <v>28391086</v>
      </c>
      <c r="P186" s="188">
        <v>114.82</v>
      </c>
      <c r="Q186">
        <v>0.683885496149084</v>
      </c>
      <c r="R186">
        <v>0.63057414727658201</v>
      </c>
      <c r="S186">
        <v>256.75622906384098</v>
      </c>
      <c r="T186">
        <v>23.473912740899401</v>
      </c>
    </row>
    <row r="187" spans="1:20" x14ac:dyDescent="0.2">
      <c r="A187" s="161" t="s">
        <v>150</v>
      </c>
      <c r="B187" s="161">
        <v>740</v>
      </c>
      <c r="C187" s="161" t="s">
        <v>746</v>
      </c>
      <c r="D187" t="str">
        <f>_xlfn.XLOOKUP(B187,'Country Code M49'!$B$2:$B$250,'Country Code M49'!$C$2:$C$250,,0)</f>
        <v>SUR</v>
      </c>
      <c r="E187" s="27">
        <f>_xlfn.XLOOKUP(B187,'[3]Food Service Estimates'!$B$3:$B$237,'[3]Food Service Estimates'!$D$3:$D$237)</f>
        <v>27.648074566430626</v>
      </c>
      <c r="F187" s="162">
        <v>16074.590552922768</v>
      </c>
      <c r="G187" s="160" t="s">
        <v>872</v>
      </c>
      <c r="H187" s="188">
        <f>_xlfn.XLOOKUP(D187,'[1]World Population'!$C$2:$C$267,'[1]World Population'!$BN$2:$BN$267)</f>
        <v>586634</v>
      </c>
      <c r="I187" s="188">
        <v>100</v>
      </c>
      <c r="J187" s="194">
        <f>_xlfn.XLOOKUP(D187,'[2]GDP 2015 Constant'!$B$6:$B$271,'[2]GDP 2015 Constant'!$BM$6:$BM$271)</f>
        <v>4417127638</v>
      </c>
      <c r="K187" s="193">
        <f t="shared" si="4"/>
        <v>7529.6141001033011</v>
      </c>
      <c r="L187" s="194">
        <f>_xlfn.XLOOKUP(D187,'[5]Tourism Receipts'!$B$6:$B$271,'[5]Tourism Receipts'!$BK$6:$BK$271)</f>
        <v>73000000</v>
      </c>
      <c r="M187" s="195">
        <f t="shared" si="5"/>
        <v>1.6526576993607808E-2</v>
      </c>
      <c r="N187">
        <v>8.6649938061811103</v>
      </c>
      <c r="O187" s="188">
        <v>198581</v>
      </c>
      <c r="P187" s="188">
        <v>99.78</v>
      </c>
      <c r="Q187">
        <v>0</v>
      </c>
      <c r="R187">
        <v>0</v>
      </c>
      <c r="S187">
        <v>3596.7452166903399</v>
      </c>
      <c r="T187">
        <v>3.7604743589743599</v>
      </c>
    </row>
    <row r="188" spans="1:20" x14ac:dyDescent="0.2">
      <c r="A188" s="161" t="s">
        <v>153</v>
      </c>
      <c r="B188" s="161">
        <v>752</v>
      </c>
      <c r="C188" s="161" t="s">
        <v>138</v>
      </c>
      <c r="D188" t="str">
        <f>_xlfn.XLOOKUP(B188,'Country Code M49'!$B$2:$B$250,'Country Code M49'!$C$2:$C$250,,0)</f>
        <v>SWE</v>
      </c>
      <c r="E188" s="27">
        <f>_xlfn.XLOOKUP(B188,'[3]Food Service Estimates'!$B$3:$B$237,'[3]Food Service Estimates'!$D$3:$D$237)</f>
        <v>20.5</v>
      </c>
      <c r="F188" s="162">
        <v>205746.2</v>
      </c>
      <c r="G188" s="160" t="s">
        <v>880</v>
      </c>
      <c r="H188" s="188">
        <f>_xlfn.XLOOKUP(D188,'[1]World Population'!$C$2:$C$267,'[1]World Population'!$BN$2:$BN$267)</f>
        <v>10353442</v>
      </c>
      <c r="I188" s="188">
        <v>100</v>
      </c>
      <c r="J188" s="194">
        <f>_xlfn.XLOOKUP(D188,'[2]GDP 2015 Constant'!$B$6:$B$271,'[2]GDP 2015 Constant'!$BM$6:$BM$271)</f>
        <v>533634000000</v>
      </c>
      <c r="K188" s="193">
        <f t="shared" si="4"/>
        <v>51541.699852087841</v>
      </c>
      <c r="L188" s="194">
        <f>_xlfn.XLOOKUP(D188,'[5]Tourism Receipts'!$B$6:$B$271,'[5]Tourism Receipts'!$BK$6:$BK$271)</f>
        <v>0</v>
      </c>
      <c r="M188" s="195">
        <f t="shared" si="5"/>
        <v>0</v>
      </c>
      <c r="N188">
        <v>1.39212483159621</v>
      </c>
      <c r="O188" s="188">
        <v>1244794</v>
      </c>
      <c r="P188" s="188">
        <v>101.23</v>
      </c>
      <c r="Q188">
        <v>43.448136882790799</v>
      </c>
      <c r="R188">
        <v>47.809210952351101</v>
      </c>
      <c r="S188">
        <v>13480.148224391</v>
      </c>
      <c r="T188">
        <v>25.420723369684399</v>
      </c>
    </row>
    <row r="189" spans="1:20" x14ac:dyDescent="0.2">
      <c r="A189" s="161" t="s">
        <v>147</v>
      </c>
      <c r="B189" s="161">
        <v>756</v>
      </c>
      <c r="C189" s="161" t="s">
        <v>139</v>
      </c>
      <c r="D189" t="str">
        <f>_xlfn.XLOOKUP(B189,'Country Code M49'!$B$2:$B$250,'Country Code M49'!$C$2:$C$250,,0)</f>
        <v>CHE</v>
      </c>
      <c r="E189" s="27">
        <f>_xlfn.XLOOKUP(B189,'[3]Food Service Estimates'!$B$3:$B$237,'[3]Food Service Estimates'!$D$3:$D$237)</f>
        <v>40</v>
      </c>
      <c r="F189" s="162">
        <v>343656</v>
      </c>
      <c r="G189" s="160" t="s">
        <v>881</v>
      </c>
      <c r="H189" s="188">
        <f>_xlfn.XLOOKUP(D189,'[1]World Population'!$C$2:$C$267,'[1]World Population'!$BN$2:$BN$267)</f>
        <v>8636561</v>
      </c>
      <c r="I189" s="188">
        <v>100</v>
      </c>
      <c r="J189" s="194">
        <f>_xlfn.XLOOKUP(D189,'[2]GDP 2015 Constant'!$B$6:$B$271,'[2]GDP 2015 Constant'!$BM$6:$BM$271)</f>
        <v>740026000000</v>
      </c>
      <c r="K189" s="193">
        <f t="shared" si="4"/>
        <v>85685.26291888635</v>
      </c>
      <c r="L189" s="194">
        <f>_xlfn.XLOOKUP(D189,'[5]Tourism Receipts'!$B$6:$B$271,'[5]Tourism Receipts'!$BK$6:$BK$271)</f>
        <v>21294000000</v>
      </c>
      <c r="M189" s="195">
        <f t="shared" si="5"/>
        <v>2.8774664673943889E-2</v>
      </c>
      <c r="N189">
        <v>0.63051050855248003</v>
      </c>
      <c r="O189" s="188">
        <v>2252847</v>
      </c>
      <c r="P189" s="188">
        <v>98.27</v>
      </c>
      <c r="Q189">
        <v>53.820979875051997</v>
      </c>
      <c r="R189">
        <v>65.531704279317694</v>
      </c>
      <c r="S189">
        <v>7520.1660249450197</v>
      </c>
      <c r="T189">
        <v>218.55841793823899</v>
      </c>
    </row>
    <row r="190" spans="1:20" x14ac:dyDescent="0.2">
      <c r="A190" s="161" t="s">
        <v>148</v>
      </c>
      <c r="B190" s="161">
        <v>760</v>
      </c>
      <c r="C190" s="161" t="s">
        <v>864</v>
      </c>
      <c r="D190" t="str">
        <f>_xlfn.XLOOKUP(B190,'Country Code M49'!$B$2:$B$250,'Country Code M49'!$C$2:$C$250,,0)</f>
        <v>SYR</v>
      </c>
      <c r="E190" s="27">
        <f>_xlfn.XLOOKUP(B190,'[3]Food Service Estimates'!$B$3:$B$237,'[3]Food Service Estimates'!$D$3:$D$237)</f>
        <v>27.648074566430626</v>
      </c>
      <c r="F190" s="162">
        <v>471955.39765642746</v>
      </c>
      <c r="G190" s="160" t="s">
        <v>872</v>
      </c>
      <c r="H190" s="188">
        <f>_xlfn.XLOOKUP(D190,'[1]World Population'!$C$2:$C$267,'[1]World Population'!$BN$2:$BN$267)</f>
        <v>17500657</v>
      </c>
      <c r="I190" s="188">
        <v>100</v>
      </c>
      <c r="J190" s="194" t="e">
        <f>_xlfn.XLOOKUP(D190,'[2]GDP 2015 Constant'!$B$6:$B$271,'[2]GDP 2015 Constant'!$BM$6:$BM$271)</f>
        <v>#REF!</v>
      </c>
      <c r="K190" s="193" t="e">
        <f t="shared" si="4"/>
        <v>#REF!</v>
      </c>
      <c r="L190" s="194">
        <f>_xlfn.XLOOKUP(D190,'[5]Tourism Receipts'!$B$6:$B$271,'[5]Tourism Receipts'!$BK$6:$BK$271)</f>
        <v>0</v>
      </c>
      <c r="M190" s="195" t="e">
        <f t="shared" si="5"/>
        <v>#REF!</v>
      </c>
      <c r="N190">
        <v>0</v>
      </c>
      <c r="O190" s="188">
        <v>7792168</v>
      </c>
      <c r="P190" s="188">
        <v>123.2</v>
      </c>
      <c r="Q190">
        <v>35.714346114258397</v>
      </c>
      <c r="R190">
        <v>12.6938729291338</v>
      </c>
      <c r="S190">
        <v>974.57547177122206</v>
      </c>
      <c r="T190">
        <v>95.3039100364864</v>
      </c>
    </row>
    <row r="191" spans="1:20" x14ac:dyDescent="0.2">
      <c r="A191" s="161" t="s">
        <v>871</v>
      </c>
      <c r="B191" s="161">
        <v>762</v>
      </c>
      <c r="C191" s="161" t="s">
        <v>692</v>
      </c>
      <c r="D191" t="str">
        <f>_xlfn.XLOOKUP(B191,'Country Code M49'!$B$2:$B$250,'Country Code M49'!$C$2:$C$250,,0)</f>
        <v>TJK</v>
      </c>
      <c r="E191" s="27">
        <f>_xlfn.XLOOKUP(B191,'[3]Food Service Estimates'!$B$3:$B$237,'[3]Food Service Estimates'!$D$3:$D$237)</f>
        <v>27.648074566430626</v>
      </c>
      <c r="F191" s="162">
        <v>257707.70303369986</v>
      </c>
      <c r="G191" s="160" t="s">
        <v>872</v>
      </c>
      <c r="H191" s="188">
        <f>_xlfn.XLOOKUP(D191,'[1]World Population'!$C$2:$C$267,'[1]World Population'!$BN$2:$BN$267)</f>
        <v>9537642</v>
      </c>
      <c r="I191" s="188">
        <v>100</v>
      </c>
      <c r="J191" s="194">
        <f>_xlfn.XLOOKUP(D191,'[2]GDP 2015 Constant'!$B$6:$B$271,'[2]GDP 2015 Constant'!$BM$6:$BM$271)</f>
        <v>11425168167</v>
      </c>
      <c r="K191" s="193">
        <f t="shared" si="4"/>
        <v>1197.9028115125311</v>
      </c>
      <c r="L191" s="194">
        <f>_xlfn.XLOOKUP(D191,'[5]Tourism Receipts'!$B$6:$B$271,'[5]Tourism Receipts'!$BK$6:$BK$271)</f>
        <v>170899993.90000001</v>
      </c>
      <c r="M191" s="195">
        <f t="shared" si="5"/>
        <v>1.4958203800765115E-2</v>
      </c>
      <c r="N191">
        <v>20.867073358800099</v>
      </c>
      <c r="O191" s="188">
        <v>6914218</v>
      </c>
      <c r="P191" s="188">
        <v>135.55000000000001</v>
      </c>
      <c r="Q191">
        <v>41.470632937044002</v>
      </c>
      <c r="R191">
        <v>14.9799392742745</v>
      </c>
      <c r="S191">
        <v>1499.4859943767201</v>
      </c>
      <c r="T191">
        <v>68.719951005115604</v>
      </c>
    </row>
    <row r="192" spans="1:20" x14ac:dyDescent="0.2">
      <c r="A192" s="161" t="s">
        <v>157</v>
      </c>
      <c r="B192" s="161">
        <v>764</v>
      </c>
      <c r="C192" s="161" t="s">
        <v>795</v>
      </c>
      <c r="D192" t="str">
        <f>_xlfn.XLOOKUP(B192,'Country Code M49'!$B$2:$B$250,'Country Code M49'!$C$2:$C$250,,0)</f>
        <v>THA</v>
      </c>
      <c r="E192" s="27">
        <f>_xlfn.XLOOKUP(B192,'[3]Food Service Estimates'!$B$3:$B$237,'[3]Food Service Estimates'!$D$3:$D$237)</f>
        <v>27.648074566430626</v>
      </c>
      <c r="F192" s="162">
        <v>1925013.7805324721</v>
      </c>
      <c r="G192" s="160" t="s">
        <v>872</v>
      </c>
      <c r="H192" s="188">
        <f>_xlfn.XLOOKUP(D192,'[1]World Population'!$C$2:$C$267,'[1]World Population'!$BN$2:$BN$267)</f>
        <v>69799978</v>
      </c>
      <c r="I192" s="188">
        <v>100</v>
      </c>
      <c r="J192" s="194">
        <f>_xlfn.XLOOKUP(D192,'[2]GDP 2015 Constant'!$B$6:$B$271,'[2]GDP 2015 Constant'!$BM$6:$BM$271)</f>
        <v>431857000000</v>
      </c>
      <c r="K192" s="193">
        <f t="shared" si="4"/>
        <v>6187.0649873270731</v>
      </c>
      <c r="L192" s="194">
        <f>_xlfn.XLOOKUP(D192,'[5]Tourism Receipts'!$B$6:$B$271,'[5]Tourism Receipts'!$BK$6:$BK$271)</f>
        <v>61383000000</v>
      </c>
      <c r="M192" s="195">
        <f t="shared" si="5"/>
        <v>0.14213732786547398</v>
      </c>
      <c r="N192">
        <v>8.1258797219650898</v>
      </c>
      <c r="O192" s="188">
        <v>33901849</v>
      </c>
      <c r="P192" s="188">
        <v>94.25</v>
      </c>
      <c r="Q192">
        <v>56.0037678316517</v>
      </c>
      <c r="R192">
        <v>59.507485343566401</v>
      </c>
      <c r="S192">
        <v>2538.7957126275901</v>
      </c>
      <c r="T192">
        <v>136.62427919904499</v>
      </c>
    </row>
    <row r="193" spans="1:20" x14ac:dyDescent="0.2">
      <c r="A193" s="161" t="s">
        <v>157</v>
      </c>
      <c r="B193" s="161">
        <v>626</v>
      </c>
      <c r="C193" s="161" t="s">
        <v>796</v>
      </c>
      <c r="D193" t="str">
        <f>_xlfn.XLOOKUP(B193,'Country Code M49'!$B$2:$B$250,'Country Code M49'!$C$2:$C$250,,0)</f>
        <v>TLS</v>
      </c>
      <c r="E193" s="27">
        <f>_xlfn.XLOOKUP(B193,'[3]Food Service Estimates'!$B$3:$B$237,'[3]Food Service Estimates'!$D$3:$D$237)</f>
        <v>27.648074566430626</v>
      </c>
      <c r="F193" s="162">
        <v>35751.725221851448</v>
      </c>
      <c r="G193" s="160" t="s">
        <v>872</v>
      </c>
      <c r="H193" s="188">
        <f>_xlfn.XLOOKUP(D193,'[1]World Population'!$C$2:$C$267,'[1]World Population'!$BN$2:$BN$267)</f>
        <v>1318442</v>
      </c>
      <c r="I193" s="188">
        <v>100</v>
      </c>
      <c r="J193" s="194">
        <f>_xlfn.XLOOKUP(D193,'[2]GDP 2015 Constant'!$B$6:$B$271,'[2]GDP 2015 Constant'!$BM$6:$BM$271)</f>
        <v>2093497569</v>
      </c>
      <c r="K193" s="193">
        <f t="shared" si="4"/>
        <v>1587.8571594351515</v>
      </c>
      <c r="L193" s="194">
        <f>_xlfn.XLOOKUP(D193,'[5]Tourism Receipts'!$B$6:$B$271,'[5]Tourism Receipts'!$BK$6:$BK$271)</f>
        <v>78000000</v>
      </c>
      <c r="M193" s="195">
        <f t="shared" si="5"/>
        <v>3.7258223345947437E-2</v>
      </c>
      <c r="N193">
        <v>13.9725948868314</v>
      </c>
      <c r="O193" s="188">
        <v>905506</v>
      </c>
      <c r="P193" s="188">
        <v>97.34</v>
      </c>
      <c r="Q193">
        <v>59.535997826092697</v>
      </c>
      <c r="R193">
        <v>27.739572564846799</v>
      </c>
      <c r="S193">
        <v>0</v>
      </c>
      <c r="T193">
        <v>88.664559515803603</v>
      </c>
    </row>
    <row r="194" spans="1:20" x14ac:dyDescent="0.2">
      <c r="A194" s="161" t="s">
        <v>154</v>
      </c>
      <c r="B194" s="161">
        <v>768</v>
      </c>
      <c r="C194" s="161" t="s">
        <v>852</v>
      </c>
      <c r="D194" t="str">
        <f>_xlfn.XLOOKUP(B194,'Country Code M49'!$B$2:$B$250,'Country Code M49'!$C$2:$C$250,,0)</f>
        <v>TGO</v>
      </c>
      <c r="E194" s="27">
        <f>_xlfn.XLOOKUP(B194,'[3]Food Service Estimates'!$B$3:$B$237,'[3]Food Service Estimates'!$D$3:$D$237)</f>
        <v>27.648074566430626</v>
      </c>
      <c r="F194" s="162">
        <v>223462.79787571888</v>
      </c>
      <c r="G194" s="160" t="s">
        <v>872</v>
      </c>
      <c r="H194" s="188">
        <f>_xlfn.XLOOKUP(D194,'[1]World Population'!$C$2:$C$267,'[1]World Population'!$BN$2:$BN$267)</f>
        <v>8278737</v>
      </c>
      <c r="I194" s="188">
        <v>99.400001525878906</v>
      </c>
      <c r="J194" s="194">
        <f>_xlfn.XLOOKUP(D194,'[2]GDP 2015 Constant'!$B$6:$B$271,'[2]GDP 2015 Constant'!$BM$6:$BM$271)</f>
        <v>5187639195</v>
      </c>
      <c r="K194" s="193">
        <f t="shared" si="4"/>
        <v>626.62205539323213</v>
      </c>
      <c r="L194" s="194">
        <f>_xlfn.XLOOKUP(D194,'[5]Tourism Receipts'!$B$6:$B$271,'[5]Tourism Receipts'!$BK$6:$BK$271)</f>
        <v>269000000</v>
      </c>
      <c r="M194" s="195">
        <f t="shared" si="5"/>
        <v>5.1854030299422163E-2</v>
      </c>
      <c r="N194">
        <v>19.7552067611722</v>
      </c>
      <c r="O194" s="188">
        <v>4735438</v>
      </c>
      <c r="P194" s="188">
        <v>111.04</v>
      </c>
      <c r="Q194">
        <v>32.745458931609498</v>
      </c>
      <c r="R194">
        <v>23.0615819514862</v>
      </c>
      <c r="S194">
        <v>154.665237320778</v>
      </c>
      <c r="T194">
        <v>152.210645339217</v>
      </c>
    </row>
    <row r="195" spans="1:20" x14ac:dyDescent="0.2">
      <c r="A195" s="161" t="s">
        <v>878</v>
      </c>
      <c r="B195" s="161">
        <v>776</v>
      </c>
      <c r="C195" s="161" t="s">
        <v>786</v>
      </c>
      <c r="D195" t="str">
        <f>_xlfn.XLOOKUP(B195,'Country Code M49'!$B$2:$B$250,'Country Code M49'!$C$2:$C$250,,0)</f>
        <v>TON</v>
      </c>
      <c r="E195" s="27">
        <f>_xlfn.XLOOKUP(B195,'[3]Food Service Estimates'!$B$3:$B$237,'[3]Food Service Estimates'!$D$3:$D$237)</f>
        <v>27.648074566430626</v>
      </c>
      <c r="F195" s="162">
        <v>2889.2237921920005</v>
      </c>
      <c r="G195" s="160" t="s">
        <v>872</v>
      </c>
      <c r="H195" s="188">
        <f>_xlfn.XLOOKUP(D195,'[1]World Population'!$C$2:$C$267,'[1]World Population'!$BN$2:$BN$267)</f>
        <v>105697</v>
      </c>
      <c r="I195" s="188">
        <v>100</v>
      </c>
      <c r="J195" s="194">
        <f>_xlfn.XLOOKUP(D195,'[2]GDP 2015 Constant'!$B$6:$B$271,'[2]GDP 2015 Constant'!$BM$6:$BM$271)</f>
        <v>489364573.39999998</v>
      </c>
      <c r="K195" s="193">
        <f t="shared" ref="K195:K216" si="6">J195/H195</f>
        <v>4629.8813911463903</v>
      </c>
      <c r="L195" s="194">
        <f>_xlfn.XLOOKUP(D195,'[5]Tourism Receipts'!$B$6:$B$271,'[5]Tourism Receipts'!$BK$6:$BK$271)</f>
        <v>48099998.469999999</v>
      </c>
      <c r="M195" s="195">
        <f t="shared" ref="M195:M216" si="7">L195/J195</f>
        <v>9.8290724512016758E-2</v>
      </c>
      <c r="N195">
        <v>19.621856583300399</v>
      </c>
      <c r="O195" s="188">
        <v>81282</v>
      </c>
      <c r="P195" s="188">
        <v>94.13</v>
      </c>
      <c r="Q195">
        <v>66.137807398576101</v>
      </c>
      <c r="R195">
        <v>21.959271589261299</v>
      </c>
      <c r="S195">
        <v>0</v>
      </c>
      <c r="T195">
        <v>146.80138888888899</v>
      </c>
    </row>
    <row r="196" spans="1:20" x14ac:dyDescent="0.2">
      <c r="A196" s="161" t="s">
        <v>150</v>
      </c>
      <c r="B196" s="161">
        <v>780</v>
      </c>
      <c r="C196" s="161" t="s">
        <v>747</v>
      </c>
      <c r="D196" t="str">
        <f>_xlfn.XLOOKUP(B196,'Country Code M49'!$B$2:$B$250,'Country Code M49'!$C$2:$C$250,,0)</f>
        <v>TTO</v>
      </c>
      <c r="E196" s="27">
        <f>_xlfn.XLOOKUP(B196,'[3]Food Service Estimates'!$B$3:$B$237,'[3]Food Service Estimates'!$D$3:$D$237)</f>
        <v>25.5704180040103</v>
      </c>
      <c r="F196" s="162">
        <v>35670.733115594361</v>
      </c>
      <c r="G196" s="160" t="s">
        <v>877</v>
      </c>
      <c r="H196" s="188">
        <f>_xlfn.XLOOKUP(D196,'[1]World Population'!$C$2:$C$267,'[1]World Population'!$BN$2:$BN$267)</f>
        <v>1399491</v>
      </c>
      <c r="I196" s="188">
        <v>100</v>
      </c>
      <c r="J196" s="194">
        <f>_xlfn.XLOOKUP(D196,'[2]GDP 2015 Constant'!$B$6:$B$271,'[2]GDP 2015 Constant'!$BM$6:$BM$271)</f>
        <v>21087122855</v>
      </c>
      <c r="K196" s="193">
        <f t="shared" si="6"/>
        <v>15067.708799127682</v>
      </c>
      <c r="L196" s="194">
        <f>_xlfn.XLOOKUP(D196,'[5]Tourism Receipts'!$B$6:$B$271,'[5]Tourism Receipts'!$BK$6:$BK$271)</f>
        <v>541000000</v>
      </c>
      <c r="M196" s="195">
        <f t="shared" si="7"/>
        <v>2.5655467733556769E-2</v>
      </c>
      <c r="N196">
        <v>0.99844341344009802</v>
      </c>
      <c r="O196" s="188">
        <v>654766</v>
      </c>
      <c r="P196" s="188">
        <v>103.87</v>
      </c>
      <c r="Q196">
        <v>0</v>
      </c>
      <c r="R196">
        <v>0</v>
      </c>
      <c r="S196">
        <v>7092.9586438597798</v>
      </c>
      <c r="T196">
        <v>272.80526315789501</v>
      </c>
    </row>
    <row r="197" spans="1:20" x14ac:dyDescent="0.2">
      <c r="A197" s="161" t="s">
        <v>876</v>
      </c>
      <c r="B197" s="161">
        <v>788</v>
      </c>
      <c r="C197" s="161" t="s">
        <v>769</v>
      </c>
      <c r="D197" t="str">
        <f>_xlfn.XLOOKUP(B197,'Country Code M49'!$B$2:$B$250,'Country Code M49'!$C$2:$C$250,,0)</f>
        <v>TUN</v>
      </c>
      <c r="E197" s="27">
        <f>_xlfn.XLOOKUP(B197,'[3]Food Service Estimates'!$B$3:$B$237,'[3]Food Service Estimates'!$D$3:$D$237)</f>
        <v>27.648074566430626</v>
      </c>
      <c r="F197" s="162">
        <v>323335.93763203628</v>
      </c>
      <c r="G197" s="160" t="s">
        <v>872</v>
      </c>
      <c r="H197" s="188">
        <f>_xlfn.XLOOKUP(D197,'[1]World Population'!$C$2:$C$267,'[1]World Population'!$BN$2:$BN$267)</f>
        <v>11818618</v>
      </c>
      <c r="I197" s="188">
        <v>100</v>
      </c>
      <c r="J197" s="194">
        <f>_xlfn.XLOOKUP(D197,'[2]GDP 2015 Constant'!$B$6:$B$271,'[2]GDP 2015 Constant'!$BM$6:$BM$271)</f>
        <v>44913489643</v>
      </c>
      <c r="K197" s="193">
        <f t="shared" si="6"/>
        <v>3800.2319427702969</v>
      </c>
      <c r="L197" s="194">
        <f>_xlfn.XLOOKUP(D197,'[5]Tourism Receipts'!$B$6:$B$271,'[5]Tourism Receipts'!$BK$6:$BK$271)</f>
        <v>2320000000</v>
      </c>
      <c r="M197" s="195">
        <f t="shared" si="7"/>
        <v>5.1654859563146506E-2</v>
      </c>
      <c r="N197">
        <v>9.6423187119427194</v>
      </c>
      <c r="O197" s="188">
        <v>3596642</v>
      </c>
      <c r="P197" s="188">
        <v>122.48</v>
      </c>
      <c r="Q197">
        <v>58.386076089409698</v>
      </c>
      <c r="R197">
        <v>46.096865353112797</v>
      </c>
      <c r="S197">
        <v>1454.6430755310701</v>
      </c>
      <c r="T197">
        <v>76.072463954685901</v>
      </c>
    </row>
    <row r="198" spans="1:20" x14ac:dyDescent="0.2">
      <c r="A198" s="161" t="s">
        <v>148</v>
      </c>
      <c r="B198" s="161">
        <v>792</v>
      </c>
      <c r="C198" s="161" t="s">
        <v>865</v>
      </c>
      <c r="D198" t="str">
        <f>_xlfn.XLOOKUP(B198,'Country Code M49'!$B$2:$B$250,'Country Code M49'!$C$2:$C$250,,0)</f>
        <v>TUR</v>
      </c>
      <c r="E198" s="27">
        <f>_xlfn.XLOOKUP(B198,'[3]Food Service Estimates'!$B$3:$B$237,'[3]Food Service Estimates'!$D$3:$D$237)</f>
        <v>27.648074566430626</v>
      </c>
      <c r="F198" s="162">
        <v>2306667.8018474807</v>
      </c>
      <c r="G198" s="160" t="s">
        <v>872</v>
      </c>
      <c r="H198" s="188">
        <f>_xlfn.XLOOKUP(D198,'[1]World Population'!$C$2:$C$267,'[1]World Population'!$BN$2:$BN$267)</f>
        <v>84339067</v>
      </c>
      <c r="I198" s="188">
        <v>100</v>
      </c>
      <c r="J198" s="194">
        <f>_xlfn.XLOOKUP(D198,'[2]GDP 2015 Constant'!$B$6:$B$271,'[2]GDP 2015 Constant'!$BM$6:$BM$271)</f>
        <v>1015330000000</v>
      </c>
      <c r="K198" s="193">
        <f t="shared" si="6"/>
        <v>12038.667679356709</v>
      </c>
      <c r="L198" s="194">
        <f>_xlfn.XLOOKUP(D198,'[5]Tourism Receipts'!$B$6:$B$271,'[5]Tourism Receipts'!$BK$6:$BK$271)</f>
        <v>36791000000</v>
      </c>
      <c r="M198" s="195">
        <f t="shared" si="7"/>
        <v>3.6235509637260792E-2</v>
      </c>
      <c r="N198">
        <v>6.4007749284690796</v>
      </c>
      <c r="O198" s="188">
        <v>20152820</v>
      </c>
      <c r="P198" s="188">
        <v>115.6</v>
      </c>
      <c r="Q198">
        <v>31.401491384798</v>
      </c>
      <c r="R198">
        <v>32.5973545785751</v>
      </c>
      <c r="S198">
        <v>2847.2238929332302</v>
      </c>
      <c r="T198">
        <v>109.583913049128</v>
      </c>
    </row>
    <row r="199" spans="1:20" x14ac:dyDescent="0.2">
      <c r="A199" s="161" t="s">
        <v>871</v>
      </c>
      <c r="B199" s="161">
        <v>795</v>
      </c>
      <c r="C199" s="161" t="s">
        <v>693</v>
      </c>
      <c r="D199" t="str">
        <f>_xlfn.XLOOKUP(B199,'Country Code M49'!$B$2:$B$250,'Country Code M49'!$C$2:$C$250,,0)</f>
        <v>TKM</v>
      </c>
      <c r="E199" s="27">
        <f>_xlfn.XLOOKUP(B199,'[3]Food Service Estimates'!$B$3:$B$237,'[3]Food Service Estimates'!$D$3:$D$237)</f>
        <v>27.648074566430626</v>
      </c>
      <c r="F199" s="162">
        <v>164287.62388118744</v>
      </c>
      <c r="G199" s="160" t="s">
        <v>872</v>
      </c>
      <c r="H199" s="188">
        <f>_xlfn.XLOOKUP(D199,'[1]World Population'!$C$2:$C$267,'[1]World Population'!$BN$2:$BN$267)</f>
        <v>6031187</v>
      </c>
      <c r="I199" s="188">
        <v>100</v>
      </c>
      <c r="J199" s="194" t="e">
        <f>_xlfn.XLOOKUP(D199,'[2]GDP 2015 Constant'!$B$6:$B$271,'[2]GDP 2015 Constant'!$BM$6:$BM$271)</f>
        <v>#REF!</v>
      </c>
      <c r="K199" s="193" t="e">
        <f t="shared" si="6"/>
        <v>#REF!</v>
      </c>
      <c r="L199" s="194">
        <f>_xlfn.XLOOKUP(D199,'[5]Tourism Receipts'!$B$6:$B$271,'[5]Tourism Receipts'!$BK$6:$BK$271)</f>
        <v>0</v>
      </c>
      <c r="M199" s="195" t="e">
        <f t="shared" si="7"/>
        <v>#REF!</v>
      </c>
      <c r="N199">
        <v>10.791485060956401</v>
      </c>
      <c r="O199" s="188">
        <v>2863849</v>
      </c>
      <c r="P199" s="188">
        <v>96.59</v>
      </c>
      <c r="Q199">
        <v>12.4958823653095</v>
      </c>
      <c r="R199">
        <v>0</v>
      </c>
      <c r="S199">
        <v>2678.7654738358001</v>
      </c>
      <c r="T199">
        <v>12.8342242461643</v>
      </c>
    </row>
    <row r="200" spans="1:20" x14ac:dyDescent="0.2">
      <c r="A200" s="161" t="s">
        <v>150</v>
      </c>
      <c r="B200" s="161">
        <v>796</v>
      </c>
      <c r="C200" s="161" t="s">
        <v>748</v>
      </c>
      <c r="D200" t="str">
        <f>_xlfn.XLOOKUP(B200,'Country Code M49'!$B$2:$B$250,'Country Code M49'!$C$2:$C$250,,0)</f>
        <v>TCA</v>
      </c>
      <c r="E200" s="27">
        <f>_xlfn.XLOOKUP(B200,'[3]Food Service Estimates'!$B$3:$B$237,'[3]Food Service Estimates'!$D$3:$D$237)</f>
        <v>25.5704180040103</v>
      </c>
      <c r="F200" s="162">
        <v>976.78996775319342</v>
      </c>
      <c r="G200" s="160" t="s">
        <v>877</v>
      </c>
      <c r="H200" s="188">
        <f>_xlfn.XLOOKUP(D200,'[1]World Population'!$C$2:$C$267,'[1]World Population'!$BN$2:$BN$267)</f>
        <v>38718</v>
      </c>
      <c r="I200" s="188">
        <v>100</v>
      </c>
      <c r="J200" s="194">
        <f>_xlfn.XLOOKUP(D200,'[2]GDP 2015 Constant'!$B$6:$B$271,'[2]GDP 2015 Constant'!$BM$6:$BM$271)</f>
        <v>802388490.20000005</v>
      </c>
      <c r="K200" s="193">
        <f t="shared" si="6"/>
        <v>20723.913688723591</v>
      </c>
      <c r="L200" s="194">
        <f>_xlfn.XLOOKUP(D200,'[5]Tourism Receipts'!$B$6:$B$271,'[5]Tourism Receipts'!$BK$6:$BK$271)</f>
        <v>0</v>
      </c>
      <c r="M200" s="195">
        <f t="shared" si="7"/>
        <v>0</v>
      </c>
      <c r="N200">
        <v>0.36035960798887601</v>
      </c>
      <c r="O200" s="188">
        <v>2476</v>
      </c>
      <c r="P200" s="188">
        <v>0</v>
      </c>
      <c r="Q200">
        <v>0</v>
      </c>
      <c r="R200">
        <v>0</v>
      </c>
      <c r="S200">
        <v>0</v>
      </c>
      <c r="T200">
        <v>40.755789473684203</v>
      </c>
    </row>
    <row r="201" spans="1:20" x14ac:dyDescent="0.2">
      <c r="A201" s="161" t="s">
        <v>878</v>
      </c>
      <c r="B201" s="161">
        <v>798</v>
      </c>
      <c r="C201" s="161" t="s">
        <v>787</v>
      </c>
      <c r="D201" t="str">
        <f>_xlfn.XLOOKUP(B201,'Country Code M49'!$B$2:$B$250,'Country Code M49'!$C$2:$C$250,,0)</f>
        <v>TUV</v>
      </c>
      <c r="E201" s="27">
        <f>_xlfn.XLOOKUP(B201,'[3]Food Service Estimates'!$B$3:$B$237,'[3]Food Service Estimates'!$D$3:$D$237)</f>
        <v>27.648074566430626</v>
      </c>
      <c r="F201" s="162">
        <v>320.71766497059525</v>
      </c>
      <c r="G201" s="160" t="s">
        <v>872</v>
      </c>
      <c r="H201" s="188">
        <f>_xlfn.XLOOKUP(D201,'[1]World Population'!$C$2:$C$267,'[1]World Population'!$BN$2:$BN$267)</f>
        <v>11792</v>
      </c>
      <c r="I201" s="188">
        <v>100</v>
      </c>
      <c r="J201" s="194">
        <f>_xlfn.XLOOKUP(D201,'[2]GDP 2015 Constant'!$B$6:$B$271,'[2]GDP 2015 Constant'!$BM$6:$BM$271)</f>
        <v>46535494.119999997</v>
      </c>
      <c r="K201" s="193">
        <f t="shared" si="6"/>
        <v>3946.3614416553592</v>
      </c>
      <c r="L201" s="194">
        <f>_xlfn.XLOOKUP(D201,'[5]Tourism Receipts'!$B$6:$B$271,'[5]Tourism Receipts'!$BK$6:$BK$271)</f>
        <v>0</v>
      </c>
      <c r="M201" s="195">
        <f t="shared" si="7"/>
        <v>0</v>
      </c>
      <c r="N201">
        <v>0</v>
      </c>
      <c r="O201" s="188">
        <v>4243</v>
      </c>
      <c r="P201" s="188">
        <v>101.84</v>
      </c>
      <c r="Q201">
        <v>0</v>
      </c>
      <c r="R201">
        <v>0</v>
      </c>
      <c r="S201">
        <v>0</v>
      </c>
      <c r="T201">
        <v>393.066666666667</v>
      </c>
    </row>
    <row r="202" spans="1:20" x14ac:dyDescent="0.2">
      <c r="A202" s="161" t="s">
        <v>154</v>
      </c>
      <c r="B202" s="161">
        <v>800</v>
      </c>
      <c r="C202" s="161" t="s">
        <v>853</v>
      </c>
      <c r="D202" t="str">
        <f>_xlfn.XLOOKUP(B202,'Country Code M49'!$B$2:$B$250,'Country Code M49'!$C$2:$C$250,,0)</f>
        <v>UGA</v>
      </c>
      <c r="E202" s="27">
        <f>_xlfn.XLOOKUP(B202,'[3]Food Service Estimates'!$B$3:$B$237,'[3]Food Service Estimates'!$D$3:$D$237)</f>
        <v>27.648074566430626</v>
      </c>
      <c r="F202" s="162">
        <v>1223969.2018260572</v>
      </c>
      <c r="G202" s="160" t="s">
        <v>872</v>
      </c>
      <c r="H202" s="188">
        <f>_xlfn.XLOOKUP(D202,'[1]World Population'!$C$2:$C$267,'[1]World Population'!$BN$2:$BN$267)</f>
        <v>45741000</v>
      </c>
      <c r="I202" s="188">
        <v>100</v>
      </c>
      <c r="J202" s="194">
        <f>_xlfn.XLOOKUP(D202,'[2]GDP 2015 Constant'!$B$6:$B$271,'[2]GDP 2015 Constant'!$BM$6:$BM$271)</f>
        <v>40768765940</v>
      </c>
      <c r="K202" s="193">
        <f t="shared" si="6"/>
        <v>891.29590389366217</v>
      </c>
      <c r="L202" s="194">
        <f>_xlfn.XLOOKUP(D202,'[5]Tourism Receipts'!$B$6:$B$271,'[5]Tourism Receipts'!$BK$6:$BK$271)</f>
        <v>1522000000</v>
      </c>
      <c r="M202" s="195">
        <f t="shared" si="7"/>
        <v>3.733250111715302E-2</v>
      </c>
      <c r="N202">
        <v>22.945508806922501</v>
      </c>
      <c r="O202" s="188">
        <v>34326791</v>
      </c>
      <c r="P202" s="188">
        <v>116.23</v>
      </c>
      <c r="Q202">
        <v>21.551352539379401</v>
      </c>
      <c r="R202">
        <v>17.109058016917601</v>
      </c>
      <c r="S202">
        <v>0</v>
      </c>
      <c r="T202">
        <v>228.11190903650501</v>
      </c>
    </row>
    <row r="203" spans="1:20" x14ac:dyDescent="0.2">
      <c r="A203" s="161" t="s">
        <v>156</v>
      </c>
      <c r="B203" s="161">
        <v>804</v>
      </c>
      <c r="C203" s="161" t="s">
        <v>706</v>
      </c>
      <c r="D203" t="str">
        <f>_xlfn.XLOOKUP(B203,'Country Code M49'!$B$2:$B$250,'Country Code M49'!$C$2:$C$250,,0)</f>
        <v>UKR</v>
      </c>
      <c r="E203" s="27">
        <f>_xlfn.XLOOKUP(B203,'[3]Food Service Estimates'!$B$3:$B$237,'[3]Food Service Estimates'!$D$3:$D$237)</f>
        <v>27.648074566430626</v>
      </c>
      <c r="F203" s="162">
        <v>1216338.3332457223</v>
      </c>
      <c r="G203" s="160" t="s">
        <v>872</v>
      </c>
      <c r="H203" s="188">
        <f>_xlfn.XLOOKUP(D203,'[1]World Population'!$C$2:$C$267,'[1]World Population'!$BN$2:$BN$267)</f>
        <v>44132049</v>
      </c>
      <c r="I203" s="188">
        <v>71.437942504882798</v>
      </c>
      <c r="J203" s="194">
        <f>_xlfn.XLOOKUP(D203,'[2]GDP 2015 Constant'!$B$6:$B$271,'[2]GDP 2015 Constant'!$BM$6:$BM$271)</f>
        <v>98118346734</v>
      </c>
      <c r="K203" s="193">
        <f t="shared" si="6"/>
        <v>2223.290079597256</v>
      </c>
      <c r="L203" s="194">
        <f>_xlfn.XLOOKUP(D203,'[5]Tourism Receipts'!$B$6:$B$271,'[5]Tourism Receipts'!$BK$6:$BK$271)</f>
        <v>2269000000</v>
      </c>
      <c r="M203" s="195">
        <f t="shared" si="7"/>
        <v>2.3125134855271113E-2</v>
      </c>
      <c r="N203">
        <v>8.9651810143724298</v>
      </c>
      <c r="O203" s="188">
        <v>13412612</v>
      </c>
      <c r="P203" s="188">
        <v>99.34</v>
      </c>
      <c r="Q203">
        <v>53.964579409274798</v>
      </c>
      <c r="R203">
        <v>41.2316912560049</v>
      </c>
      <c r="S203">
        <v>3418.5693170559298</v>
      </c>
      <c r="T203">
        <v>76.168534691059705</v>
      </c>
    </row>
    <row r="204" spans="1:20" x14ac:dyDescent="0.2">
      <c r="A204" s="161" t="s">
        <v>148</v>
      </c>
      <c r="B204" s="161">
        <v>784</v>
      </c>
      <c r="C204" s="161" t="s">
        <v>866</v>
      </c>
      <c r="D204" t="str">
        <f>_xlfn.XLOOKUP(B204,'Country Code M49'!$B$2:$B$250,'Country Code M49'!$C$2:$C$250,,0)</f>
        <v>ARE</v>
      </c>
      <c r="E204" s="27">
        <f>_xlfn.XLOOKUP(B204,'[3]Food Service Estimates'!$B$3:$B$237,'[3]Food Service Estimates'!$D$3:$D$237)</f>
        <v>25.5704180040103</v>
      </c>
      <c r="F204" s="162">
        <v>249835.76910818263</v>
      </c>
      <c r="G204" s="160" t="s">
        <v>877</v>
      </c>
      <c r="H204" s="188">
        <f>_xlfn.XLOOKUP(D204,'[1]World Population'!$C$2:$C$267,'[1]World Population'!$BN$2:$BN$267)</f>
        <v>9890400</v>
      </c>
      <c r="I204" s="188">
        <v>100</v>
      </c>
      <c r="J204" s="194">
        <f>_xlfn.XLOOKUP(D204,'[2]GDP 2015 Constant'!$B$6:$B$271,'[2]GDP 2015 Constant'!$BM$6:$BM$271)</f>
        <v>370866000000</v>
      </c>
      <c r="K204" s="193">
        <f t="shared" si="6"/>
        <v>37497.573404513467</v>
      </c>
      <c r="L204" s="194">
        <f>_xlfn.XLOOKUP(D204,'[5]Tourism Receipts'!$B$6:$B$271,'[5]Tourism Receipts'!$BK$6:$BK$271)</f>
        <v>34609500000</v>
      </c>
      <c r="M204" s="195">
        <f t="shared" si="7"/>
        <v>9.3320768148064254E-2</v>
      </c>
      <c r="N204">
        <v>0.74717752816713601</v>
      </c>
      <c r="O204" s="188">
        <v>1281005</v>
      </c>
      <c r="P204" s="188">
        <v>108.27</v>
      </c>
      <c r="Q204">
        <v>66.680650743091604</v>
      </c>
      <c r="R204">
        <v>96.843533463725095</v>
      </c>
      <c r="S204">
        <v>11088.341862576601</v>
      </c>
      <c r="T204">
        <v>139.262179667699</v>
      </c>
    </row>
    <row r="205" spans="1:20" x14ac:dyDescent="0.2">
      <c r="A205" s="161" t="s">
        <v>153</v>
      </c>
      <c r="B205" s="161">
        <v>826</v>
      </c>
      <c r="C205" s="161" t="s">
        <v>779</v>
      </c>
      <c r="D205" t="str">
        <f>_xlfn.XLOOKUP(B205,'Country Code M49'!$B$2:$B$250,'Country Code M49'!$C$2:$C$250,,0)</f>
        <v>GBR</v>
      </c>
      <c r="E205" s="27">
        <f>_xlfn.XLOOKUP(B205,'[3]Food Service Estimates'!$B$3:$B$237,'[3]Food Service Estimates'!$D$3:$D$237)</f>
        <v>16.5</v>
      </c>
      <c r="F205" s="162">
        <v>1114248.3</v>
      </c>
      <c r="G205" s="160" t="s">
        <v>880</v>
      </c>
      <c r="H205" s="188">
        <f>_xlfn.XLOOKUP(D205,'[1]World Population'!$C$2:$C$267,'[1]World Population'!$BN$2:$BN$267)</f>
        <v>67081000</v>
      </c>
      <c r="I205" s="188">
        <v>100</v>
      </c>
      <c r="J205" s="194">
        <f>_xlfn.XLOOKUP(D205,'[2]GDP 2015 Constant'!$B$6:$B$271,'[2]GDP 2015 Constant'!$BM$6:$BM$271)</f>
        <v>2895630000000</v>
      </c>
      <c r="K205" s="193">
        <f t="shared" si="6"/>
        <v>43166.172239531312</v>
      </c>
      <c r="L205" s="194">
        <f>_xlfn.XLOOKUP(D205,'[5]Tourism Receipts'!$B$6:$B$271,'[5]Tourism Receipts'!$BK$6:$BK$271)</f>
        <v>0</v>
      </c>
      <c r="M205" s="195">
        <f t="shared" si="7"/>
        <v>0</v>
      </c>
      <c r="N205">
        <v>0.61198528078294401</v>
      </c>
      <c r="O205" s="188">
        <v>10798029</v>
      </c>
      <c r="P205" s="188">
        <v>96.84</v>
      </c>
      <c r="Q205">
        <v>31.8078256790441</v>
      </c>
      <c r="R205">
        <v>31.004978089224299</v>
      </c>
      <c r="S205">
        <v>5130.3902533002802</v>
      </c>
      <c r="T205">
        <v>277.274418220146</v>
      </c>
    </row>
    <row r="206" spans="1:20" x14ac:dyDescent="0.2">
      <c r="A206" s="161" t="s">
        <v>154</v>
      </c>
      <c r="B206" s="161">
        <v>834</v>
      </c>
      <c r="C206" s="161" t="s">
        <v>854</v>
      </c>
      <c r="D206" t="str">
        <f>_xlfn.XLOOKUP(B206,'Country Code M49'!$B$2:$B$250,'Country Code M49'!$C$2:$C$250,,0)</f>
        <v>TZA</v>
      </c>
      <c r="E206" s="27">
        <f>_xlfn.XLOOKUP(B206,'[3]Food Service Estimates'!$B$3:$B$237,'[3]Food Service Estimates'!$D$3:$D$237)</f>
        <v>27.648074566430626</v>
      </c>
      <c r="F206" s="162">
        <v>1603740.3892630918</v>
      </c>
      <c r="G206" s="160" t="s">
        <v>872</v>
      </c>
      <c r="H206" s="188">
        <f>_xlfn.XLOOKUP(D206,'[1]World Population'!$C$2:$C$267,'[1]World Population'!$BN$2:$BN$267)</f>
        <v>59734213</v>
      </c>
      <c r="I206" s="188">
        <v>100</v>
      </c>
      <c r="J206" s="194">
        <f>_xlfn.XLOOKUP(D206,'[2]GDP 2015 Constant'!$B$6:$B$271,'[2]GDP 2015 Constant'!$BM$6:$BM$271)</f>
        <v>61522709092</v>
      </c>
      <c r="K206" s="193">
        <f t="shared" si="6"/>
        <v>1029.9408998993592</v>
      </c>
      <c r="L206" s="194">
        <f>_xlfn.XLOOKUP(D206,'[5]Tourism Receipts'!$B$6:$B$271,'[5]Tourism Receipts'!$BK$6:$BK$271)</f>
        <v>2465000000</v>
      </c>
      <c r="M206" s="195">
        <f t="shared" si="7"/>
        <v>4.0066506114252567E-2</v>
      </c>
      <c r="N206">
        <v>26.546415165034801</v>
      </c>
      <c r="O206" s="188">
        <v>38691642</v>
      </c>
      <c r="P206" s="188">
        <v>116.24</v>
      </c>
      <c r="Q206">
        <v>17.903466554378301</v>
      </c>
      <c r="R206">
        <v>16.007863881448198</v>
      </c>
      <c r="S206">
        <v>103.681777965553</v>
      </c>
      <c r="T206">
        <v>67.435327387672203</v>
      </c>
    </row>
    <row r="207" spans="1:20" x14ac:dyDescent="0.2">
      <c r="A207" s="161" t="s">
        <v>151</v>
      </c>
      <c r="B207" s="161">
        <v>840</v>
      </c>
      <c r="C207" s="161" t="s">
        <v>142</v>
      </c>
      <c r="D207" t="str">
        <f>_xlfn.XLOOKUP(B207,'Country Code M49'!$B$2:$B$250,'Country Code M49'!$C$2:$C$250,,0)</f>
        <v>USA</v>
      </c>
      <c r="E207" s="27">
        <f>_xlfn.XLOOKUP(B207,'[3]Food Service Estimates'!$B$3:$B$237,'[3]Food Service Estimates'!$D$3:$D$237)</f>
        <v>63.619143418084469</v>
      </c>
      <c r="F207" s="162">
        <v>20934827.066957623</v>
      </c>
      <c r="G207" s="160" t="s">
        <v>880</v>
      </c>
      <c r="H207" s="188">
        <f>_xlfn.XLOOKUP(D207,'[1]World Population'!$C$2:$C$267,'[1]World Population'!$BN$2:$BN$267)</f>
        <v>331501080</v>
      </c>
      <c r="I207" s="188">
        <v>100</v>
      </c>
      <c r="J207" s="194">
        <f>_xlfn.XLOOKUP(D207,'[2]GDP 2015 Constant'!$B$6:$B$271,'[2]GDP 2015 Constant'!$BM$6:$BM$271)</f>
        <v>19247100000000</v>
      </c>
      <c r="K207" s="193">
        <f t="shared" si="6"/>
        <v>58060.444327964178</v>
      </c>
      <c r="L207" s="194">
        <f>_xlfn.XLOOKUP(D207,'[5]Tourism Receipts'!$B$6:$B$271,'[5]Tourism Receipts'!$BK$6:$BK$271)</f>
        <v>241984000000</v>
      </c>
      <c r="M207" s="195">
        <f t="shared" si="7"/>
        <v>1.2572491440268924E-2</v>
      </c>
      <c r="N207">
        <v>0.85368615564561701</v>
      </c>
      <c r="O207" s="188">
        <v>57469027</v>
      </c>
      <c r="P207" s="188">
        <v>104.45</v>
      </c>
      <c r="Q207">
        <v>15.246617680675699</v>
      </c>
      <c r="R207">
        <v>11.7895354311111</v>
      </c>
      <c r="S207">
        <v>12993.9655794706</v>
      </c>
      <c r="T207">
        <v>36.239844677515599</v>
      </c>
    </row>
    <row r="208" spans="1:20" x14ac:dyDescent="0.2">
      <c r="A208" s="161" t="s">
        <v>150</v>
      </c>
      <c r="B208" s="161">
        <v>850</v>
      </c>
      <c r="C208" s="161" t="s">
        <v>749</v>
      </c>
      <c r="D208" t="str">
        <f>_xlfn.XLOOKUP(B208,'Country Code M49'!$B$2:$B$250,'Country Code M49'!$C$2:$C$250,,0)</f>
        <v>VIR</v>
      </c>
      <c r="E208" s="27">
        <f>_xlfn.XLOOKUP(B208,'[3]Food Service Estimates'!$B$3:$B$237,'[3]Food Service Estimates'!$D$3:$D$237)</f>
        <v>25.5704180040103</v>
      </c>
      <c r="F208" s="162">
        <v>2674.6657232194775</v>
      </c>
      <c r="G208" s="160" t="s">
        <v>877</v>
      </c>
      <c r="H208" s="188">
        <f>_xlfn.XLOOKUP(D208,'[1]World Population'!$C$2:$C$267,'[1]World Population'!$BN$2:$BN$267)</f>
        <v>106290</v>
      </c>
      <c r="I208" s="188">
        <v>100</v>
      </c>
      <c r="J208" s="194">
        <f>_xlfn.XLOOKUP(D208,'[2]GDP 2015 Constant'!$B$6:$B$271,'[2]GDP 2015 Constant'!$BM$6:$BM$271)</f>
        <v>3786142476</v>
      </c>
      <c r="K208" s="193">
        <f t="shared" si="6"/>
        <v>35620.871916454984</v>
      </c>
      <c r="L208" s="194">
        <f>_xlfn.XLOOKUP(D208,'[5]Tourism Receipts'!$B$6:$B$271,'[5]Tourism Receipts'!$BK$6:$BK$271)</f>
        <v>993000000</v>
      </c>
      <c r="M208" s="195">
        <f t="shared" si="7"/>
        <v>0.26227222200287847</v>
      </c>
      <c r="N208">
        <v>0</v>
      </c>
      <c r="O208" s="188">
        <v>4316</v>
      </c>
      <c r="P208" s="188">
        <v>0</v>
      </c>
      <c r="Q208">
        <v>106.144824069352</v>
      </c>
      <c r="R208">
        <v>55.015788195287797</v>
      </c>
      <c r="S208">
        <v>0</v>
      </c>
      <c r="T208">
        <v>303.68571428571403</v>
      </c>
    </row>
    <row r="209" spans="1:20" x14ac:dyDescent="0.2">
      <c r="A209" s="161" t="s">
        <v>150</v>
      </c>
      <c r="B209" s="161">
        <v>858</v>
      </c>
      <c r="C209" s="161" t="s">
        <v>750</v>
      </c>
      <c r="D209" t="str">
        <f>_xlfn.XLOOKUP(B209,'Country Code M49'!$B$2:$B$250,'Country Code M49'!$C$2:$C$250,,0)</f>
        <v>URY</v>
      </c>
      <c r="E209" s="27">
        <f>_xlfn.XLOOKUP(B209,'[3]Food Service Estimates'!$B$3:$B$237,'[3]Food Service Estimates'!$D$3:$D$237)</f>
        <v>25.5704180040103</v>
      </c>
      <c r="F209" s="162">
        <v>88517.11600448245</v>
      </c>
      <c r="G209" s="160" t="s">
        <v>877</v>
      </c>
      <c r="H209" s="188">
        <f>_xlfn.XLOOKUP(D209,'[1]World Population'!$C$2:$C$267,'[1]World Population'!$BN$2:$BN$267)</f>
        <v>3473727</v>
      </c>
      <c r="I209" s="188">
        <v>100</v>
      </c>
      <c r="J209" s="194">
        <f>_xlfn.XLOOKUP(D209,'[2]GDP 2015 Constant'!$B$6:$B$271,'[2]GDP 2015 Constant'!$BM$6:$BM$271)</f>
        <v>52115108175</v>
      </c>
      <c r="K209" s="193">
        <f t="shared" si="6"/>
        <v>15002.649366228261</v>
      </c>
      <c r="L209" s="194">
        <f>_xlfn.XLOOKUP(D209,'[5]Tourism Receipts'!$B$6:$B$271,'[5]Tourism Receipts'!$BK$6:$BK$271)</f>
        <v>2708000000</v>
      </c>
      <c r="M209" s="195">
        <f t="shared" si="7"/>
        <v>5.1961899242474324E-2</v>
      </c>
      <c r="N209">
        <v>6.4526702032424899</v>
      </c>
      <c r="O209" s="188">
        <v>155797</v>
      </c>
      <c r="P209" s="188">
        <v>91.98</v>
      </c>
      <c r="Q209">
        <v>21.428914038492799</v>
      </c>
      <c r="R209">
        <v>27.750190305701</v>
      </c>
      <c r="S209">
        <v>3085.1898828357198</v>
      </c>
      <c r="T209">
        <v>19.8476002742544</v>
      </c>
    </row>
    <row r="210" spans="1:20" x14ac:dyDescent="0.2">
      <c r="A210" s="161" t="s">
        <v>871</v>
      </c>
      <c r="B210" s="161">
        <v>860</v>
      </c>
      <c r="C210" s="161" t="s">
        <v>694</v>
      </c>
      <c r="D210" t="str">
        <f>_xlfn.XLOOKUP(B210,'Country Code M49'!$B$2:$B$250,'Country Code M49'!$C$2:$C$250,,0)</f>
        <v>UZB</v>
      </c>
      <c r="E210" s="27">
        <f>_xlfn.XLOOKUP(B210,'[3]Food Service Estimates'!$B$3:$B$237,'[3]Food Service Estimates'!$D$3:$D$237)</f>
        <v>27.648074566430626</v>
      </c>
      <c r="F210" s="162">
        <v>911880.5009276449</v>
      </c>
      <c r="G210" s="160" t="s">
        <v>872</v>
      </c>
      <c r="H210" s="188">
        <f>_xlfn.XLOOKUP(D210,'[1]World Population'!$C$2:$C$267,'[1]World Population'!$BN$2:$BN$267)</f>
        <v>34232050</v>
      </c>
      <c r="I210" s="188">
        <v>100</v>
      </c>
      <c r="J210" s="194">
        <f>_xlfn.XLOOKUP(D210,'[2]GDP 2015 Constant'!$B$6:$B$271,'[2]GDP 2015 Constant'!$BM$6:$BM$271)</f>
        <v>108164000000</v>
      </c>
      <c r="K210" s="193">
        <f t="shared" si="6"/>
        <v>3159.7289674442518</v>
      </c>
      <c r="L210" s="194">
        <f>_xlfn.XLOOKUP(D210,'[5]Tourism Receipts'!$B$6:$B$271,'[5]Tourism Receipts'!$BK$6:$BK$271)</f>
        <v>1314000000</v>
      </c>
      <c r="M210" s="195">
        <f t="shared" si="7"/>
        <v>1.2148219370585408E-2</v>
      </c>
      <c r="N210">
        <v>24.614478303231198</v>
      </c>
      <c r="O210" s="188">
        <v>16973620</v>
      </c>
      <c r="P210" s="188">
        <v>106.28</v>
      </c>
      <c r="Q210">
        <v>44.5642456264655</v>
      </c>
      <c r="R210">
        <v>28.421391859257401</v>
      </c>
      <c r="S210">
        <v>1645.44162925056</v>
      </c>
      <c r="T210">
        <v>77.685351185748303</v>
      </c>
    </row>
    <row r="211" spans="1:20" x14ac:dyDescent="0.2">
      <c r="A211" s="161" t="s">
        <v>874</v>
      </c>
      <c r="B211" s="161">
        <v>548</v>
      </c>
      <c r="C211" s="161" t="s">
        <v>756</v>
      </c>
      <c r="D211" t="str">
        <f>_xlfn.XLOOKUP(B211,'Country Code M49'!$B$2:$B$250,'Country Code M49'!$C$2:$C$250,,0)</f>
        <v>VUT</v>
      </c>
      <c r="E211" s="27">
        <f>_xlfn.XLOOKUP(B211,'[3]Food Service Estimates'!$B$3:$B$237,'[3]Food Service Estimates'!$D$3:$D$237)</f>
        <v>27.648074566430626</v>
      </c>
      <c r="F211" s="162">
        <v>8291.6575624725447</v>
      </c>
      <c r="G211" s="160" t="s">
        <v>872</v>
      </c>
      <c r="H211" s="188">
        <f>_xlfn.XLOOKUP(D211,'[1]World Population'!$C$2:$C$267,'[1]World Population'!$BN$2:$BN$267)</f>
        <v>307150</v>
      </c>
      <c r="I211" s="188">
        <v>100</v>
      </c>
      <c r="J211" s="194">
        <f>_xlfn.XLOOKUP(D211,'[2]GDP 2015 Constant'!$B$6:$B$271,'[2]GDP 2015 Constant'!$BM$6:$BM$271)</f>
        <v>817502074.60000002</v>
      </c>
      <c r="K211" s="193">
        <f t="shared" si="6"/>
        <v>2661.5727644473386</v>
      </c>
      <c r="L211" s="194">
        <f>_xlfn.XLOOKUP(D211,'[5]Tourism Receipts'!$B$6:$B$271,'[5]Tourism Receipts'!$BK$6:$BK$271)</f>
        <v>325000000</v>
      </c>
      <c r="M211" s="195">
        <f t="shared" si="7"/>
        <v>0.39755250793586183</v>
      </c>
      <c r="N211">
        <v>0</v>
      </c>
      <c r="O211" s="188">
        <v>228750</v>
      </c>
      <c r="P211" s="188">
        <v>89.79</v>
      </c>
      <c r="Q211">
        <v>65.796054459572105</v>
      </c>
      <c r="R211">
        <v>50.345276872964199</v>
      </c>
      <c r="S211">
        <v>0</v>
      </c>
      <c r="T211">
        <v>25.196882690730099</v>
      </c>
    </row>
    <row r="212" spans="1:20" x14ac:dyDescent="0.2">
      <c r="A212" s="161" t="s">
        <v>150</v>
      </c>
      <c r="B212" s="161">
        <v>862</v>
      </c>
      <c r="C212" s="161" t="s">
        <v>751</v>
      </c>
      <c r="D212" t="str">
        <f>_xlfn.XLOOKUP(B212,'Country Code M49'!$B$2:$B$250,'Country Code M49'!$C$2:$C$250,,0)</f>
        <v>VEN</v>
      </c>
      <c r="E212" s="27">
        <f>_xlfn.XLOOKUP(B212,'[3]Food Service Estimates'!$B$3:$B$237,'[3]Food Service Estimates'!$D$3:$D$237)</f>
        <v>27.648074566430626</v>
      </c>
      <c r="F212" s="162">
        <v>788406.96472142241</v>
      </c>
      <c r="G212" s="160" t="s">
        <v>872</v>
      </c>
      <c r="H212" s="188">
        <f>_xlfn.XLOOKUP(D212,'[1]World Population'!$C$2:$C$267,'[1]World Population'!$BN$2:$BN$267)</f>
        <v>28435943</v>
      </c>
      <c r="I212" s="188">
        <v>100</v>
      </c>
      <c r="J212" s="194" t="e">
        <f>_xlfn.XLOOKUP(D212,'[2]GDP 2015 Constant'!$B$6:$B$271,'[2]GDP 2015 Constant'!$BM$6:$BM$271)</f>
        <v>#REF!</v>
      </c>
      <c r="K212" s="193" t="e">
        <f t="shared" si="6"/>
        <v>#REF!</v>
      </c>
      <c r="L212" s="194">
        <f>_xlfn.XLOOKUP(D212,'[5]Tourism Receipts'!$B$6:$B$271,'[5]Tourism Receipts'!$BK$6:$BK$271)</f>
        <v>0</v>
      </c>
      <c r="M212" s="195" t="e">
        <f t="shared" si="7"/>
        <v>#REF!</v>
      </c>
      <c r="N212">
        <v>0</v>
      </c>
      <c r="O212" s="188">
        <v>3332977</v>
      </c>
      <c r="P212" s="188">
        <v>85.13</v>
      </c>
      <c r="Q212">
        <v>0</v>
      </c>
      <c r="R212">
        <v>0</v>
      </c>
      <c r="S212">
        <v>2719.1383489243899</v>
      </c>
      <c r="T212">
        <v>32.238470608242203</v>
      </c>
    </row>
    <row r="213" spans="1:20" x14ac:dyDescent="0.2">
      <c r="A213" s="161" t="s">
        <v>157</v>
      </c>
      <c r="B213" s="161">
        <v>704</v>
      </c>
      <c r="C213" s="161" t="s">
        <v>143</v>
      </c>
      <c r="D213" t="str">
        <f>_xlfn.XLOOKUP(B213,'Country Code M49'!$B$2:$B$250,'Country Code M49'!$C$2:$C$250,,0)</f>
        <v>VNM</v>
      </c>
      <c r="E213" s="27">
        <f>_xlfn.XLOOKUP(B213,'[3]Food Service Estimates'!$B$3:$B$237,'[3]Food Service Estimates'!$D$3:$D$237)</f>
        <v>27.648074566430626</v>
      </c>
      <c r="F213" s="162">
        <v>2666991.3336344878</v>
      </c>
      <c r="G213" s="160" t="s">
        <v>872</v>
      </c>
      <c r="H213" s="188">
        <f>_xlfn.XLOOKUP(D213,'[1]World Population'!$C$2:$C$267,'[1]World Population'!$BN$2:$BN$267)</f>
        <v>97338583</v>
      </c>
      <c r="I213" s="188">
        <v>100</v>
      </c>
      <c r="J213" s="194">
        <f>_xlfn.XLOOKUP(D213,'[2]GDP 2015 Constant'!$B$6:$B$271,'[2]GDP 2015 Constant'!$BM$6:$BM$271)</f>
        <v>322775000000</v>
      </c>
      <c r="K213" s="193">
        <f t="shared" si="6"/>
        <v>3316.002658473054</v>
      </c>
      <c r="L213" s="194">
        <f>_xlfn.XLOOKUP(D213,'[5]Tourism Receipts'!$B$6:$B$271,'[5]Tourism Receipts'!$BK$6:$BK$271)</f>
        <v>10080000000</v>
      </c>
      <c r="M213" s="195">
        <f t="shared" si="7"/>
        <v>3.1229184416389125E-2</v>
      </c>
      <c r="N213">
        <v>0</v>
      </c>
      <c r="O213" s="188">
        <v>60992356</v>
      </c>
      <c r="P213" s="188">
        <v>106.04</v>
      </c>
      <c r="Q213">
        <v>0</v>
      </c>
      <c r="R213">
        <v>0</v>
      </c>
      <c r="S213">
        <v>1423.69991010082</v>
      </c>
      <c r="T213">
        <v>310.560232141889</v>
      </c>
    </row>
    <row r="214" spans="1:20" x14ac:dyDescent="0.2">
      <c r="A214" s="161" t="s">
        <v>148</v>
      </c>
      <c r="B214" s="161">
        <v>887</v>
      </c>
      <c r="C214" s="161" t="s">
        <v>867</v>
      </c>
      <c r="D214" t="str">
        <f>_xlfn.XLOOKUP(B214,'Country Code M49'!$B$2:$B$250,'Country Code M49'!$C$2:$C$250,,0)</f>
        <v>YEM</v>
      </c>
      <c r="E214" s="27">
        <f>_xlfn.XLOOKUP(B214,'[3]Food Service Estimates'!$B$3:$B$237,'[3]Food Service Estimates'!$D$3:$D$237)</f>
        <v>27.648074566430626</v>
      </c>
      <c r="F214" s="162">
        <v>806270.38569879334</v>
      </c>
      <c r="G214" s="160" t="s">
        <v>872</v>
      </c>
      <c r="H214" s="188">
        <f>_xlfn.XLOOKUP(D214,'[1]World Population'!$C$2:$C$267,'[1]World Population'!$BN$2:$BN$267)</f>
        <v>29825968</v>
      </c>
      <c r="I214" s="188">
        <v>100</v>
      </c>
      <c r="J214" s="194">
        <f>_xlfn.XLOOKUP(D214,'[2]GDP 2015 Constant'!$B$6:$B$271,'[2]GDP 2015 Constant'!$BM$6:$BM$271)</f>
        <v>34133335016</v>
      </c>
      <c r="K214" s="193">
        <f t="shared" si="6"/>
        <v>1144.4166712711553</v>
      </c>
      <c r="L214" s="194">
        <f>_xlfn.XLOOKUP(D214,'[5]Tourism Receipts'!$B$6:$B$271,'[5]Tourism Receipts'!$BK$6:$BK$271)</f>
        <v>0</v>
      </c>
      <c r="M214" s="195">
        <f t="shared" si="7"/>
        <v>0</v>
      </c>
      <c r="N214">
        <v>5.00096223312035</v>
      </c>
      <c r="O214" s="188">
        <v>18519540</v>
      </c>
      <c r="P214" s="188">
        <v>104.61</v>
      </c>
      <c r="Q214">
        <v>43.246924321219197</v>
      </c>
      <c r="R214">
        <v>7.1353953774886696</v>
      </c>
      <c r="S214">
        <v>219.79989690006201</v>
      </c>
      <c r="T214">
        <v>56.4917855181166</v>
      </c>
    </row>
    <row r="215" spans="1:20" x14ac:dyDescent="0.2">
      <c r="A215" s="161" t="s">
        <v>154</v>
      </c>
      <c r="B215" s="161">
        <v>894</v>
      </c>
      <c r="C215" s="161" t="s">
        <v>144</v>
      </c>
      <c r="D215" t="str">
        <f>_xlfn.XLOOKUP(B215,'Country Code M49'!$B$2:$B$250,'Country Code M49'!$C$2:$C$250,,0)</f>
        <v>ZMB</v>
      </c>
      <c r="E215" s="27">
        <f>_xlfn.XLOOKUP(B215,'[3]Food Service Estimates'!$B$3:$B$237,'[3]Food Service Estimates'!$D$3:$D$237)</f>
        <v>27.648074566430626</v>
      </c>
      <c r="F215" s="162">
        <v>493822.25983101741</v>
      </c>
      <c r="G215" s="160" t="s">
        <v>872</v>
      </c>
      <c r="H215" s="188">
        <f>_xlfn.XLOOKUP(D215,'[1]World Population'!$C$2:$C$267,'[1]World Population'!$BN$2:$BN$267)</f>
        <v>18383956</v>
      </c>
      <c r="I215" s="188">
        <v>100</v>
      </c>
      <c r="J215" s="194">
        <f>_xlfn.XLOOKUP(D215,'[2]GDP 2015 Constant'!$B$6:$B$271,'[2]GDP 2015 Constant'!$BM$6:$BM$271)</f>
        <v>23418945737</v>
      </c>
      <c r="K215" s="193">
        <f t="shared" si="6"/>
        <v>1273.8795576425443</v>
      </c>
      <c r="L215" s="194">
        <f>_xlfn.XLOOKUP(D215,'[5]Tourism Receipts'!$B$6:$B$271,'[5]Tourism Receipts'!$BK$6:$BK$271)</f>
        <v>0</v>
      </c>
      <c r="M215" s="195">
        <f t="shared" si="7"/>
        <v>0</v>
      </c>
      <c r="N215">
        <v>2.8607749368079598</v>
      </c>
      <c r="O215" s="188">
        <v>10179380</v>
      </c>
      <c r="P215" s="188">
        <v>122.43</v>
      </c>
      <c r="Q215">
        <v>36.930964979427102</v>
      </c>
      <c r="R215">
        <v>34.6361926031881</v>
      </c>
      <c r="S215">
        <v>717.34730460338005</v>
      </c>
      <c r="T215">
        <v>24.729894133631099</v>
      </c>
    </row>
    <row r="216" spans="1:20" x14ac:dyDescent="0.2">
      <c r="A216" s="163" t="s">
        <v>154</v>
      </c>
      <c r="B216" s="163">
        <v>716</v>
      </c>
      <c r="C216" s="163" t="s">
        <v>855</v>
      </c>
      <c r="D216" t="str">
        <f>_xlfn.XLOOKUP(B216,'Country Code M49'!$B$2:$B$250,'Country Code M49'!$C$2:$C$250,,0)</f>
        <v>ZWE</v>
      </c>
      <c r="E216" s="27">
        <f>_xlfn.XLOOKUP(B216,'[3]Food Service Estimates'!$B$3:$B$237,'[3]Food Service Estimates'!$D$3:$D$237)</f>
        <v>27.648074566430626</v>
      </c>
      <c r="F216" s="164">
        <v>404919.87606265972</v>
      </c>
      <c r="G216" s="160" t="s">
        <v>872</v>
      </c>
      <c r="H216" s="188">
        <f>_xlfn.XLOOKUP(D216,'[1]World Population'!$C$2:$C$267,'[1]World Population'!$BN$2:$BN$267)</f>
        <v>14862927</v>
      </c>
      <c r="I216" s="188">
        <v>100</v>
      </c>
      <c r="J216" s="194">
        <f>_xlfn.XLOOKUP(D216,'[2]GDP 2015 Constant'!$B$6:$B$271,'[2]GDP 2015 Constant'!$BM$6:$BM$271)</f>
        <v>19426048166</v>
      </c>
      <c r="K216" s="193">
        <f t="shared" si="6"/>
        <v>1307.0136296841126</v>
      </c>
      <c r="L216" s="194">
        <f>_xlfn.XLOOKUP(D216,'[5]Tourism Receipts'!$B$6:$B$271,'[5]Tourism Receipts'!$BK$6:$BK$271)</f>
        <v>191000000</v>
      </c>
      <c r="M216" s="195">
        <f t="shared" si="7"/>
        <v>9.832159292917508E-3</v>
      </c>
      <c r="N216">
        <v>10.1436570902064</v>
      </c>
      <c r="O216" s="188">
        <v>10070822</v>
      </c>
      <c r="P216" s="188">
        <v>110.59</v>
      </c>
      <c r="Q216">
        <v>41.397264241835899</v>
      </c>
      <c r="R216">
        <v>31.2510404125177</v>
      </c>
      <c r="S216">
        <v>609.12465195768505</v>
      </c>
      <c r="T216">
        <v>38.420387747188798</v>
      </c>
    </row>
    <row r="217" spans="1:20" x14ac:dyDescent="0.2">
      <c r="P217" s="188"/>
    </row>
  </sheetData>
  <conditionalFormatting sqref="G2:G216">
    <cfRule type="containsText" dxfId="7" priority="5" operator="containsText" text="Medium Confidence">
      <formula>NOT(ISERROR(SEARCH("Medium Confidence",G2)))</formula>
    </cfRule>
    <cfRule type="containsText" dxfId="6" priority="6" operator="containsText" text="Very Low Confidence">
      <formula>NOT(ISERROR(SEARCH("Very Low Confidence",G2)))</formula>
    </cfRule>
    <cfRule type="containsText" dxfId="5" priority="7" operator="containsText" text="Low Confidence">
      <formula>NOT(ISERROR(SEARCH("Low Confidence",G2)))</formula>
    </cfRule>
    <cfRule type="containsText" dxfId="4" priority="8" operator="containsText" text="High Confidence">
      <formula>NOT(ISERROR(SEARCH("High Confidence",G2)))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0C242-9A5F-4A7B-8939-F379BC6D1BE6}">
  <sheetPr>
    <tabColor theme="9" tint="0.79998168889431442"/>
  </sheetPr>
  <dimension ref="A1:T217"/>
  <sheetViews>
    <sheetView topLeftCell="L1" zoomScale="140" zoomScaleNormal="140" workbookViewId="0">
      <selection activeCell="S9" sqref="S9"/>
    </sheetView>
  </sheetViews>
  <sheetFormatPr baseColWidth="10" defaultColWidth="8.83203125" defaultRowHeight="15" x14ac:dyDescent="0.2"/>
  <cols>
    <col min="1" max="1" width="18.83203125" style="165" bestFit="1" customWidth="1"/>
    <col min="2" max="2" width="11.1640625" style="165" bestFit="1" customWidth="1"/>
    <col min="4" max="4" width="16.1640625" style="165" bestFit="1" customWidth="1"/>
    <col min="5" max="5" width="7.83203125" style="165" customWidth="1"/>
    <col min="6" max="6" width="11" style="165" customWidth="1"/>
    <col min="7" max="7" width="12.33203125" style="165" customWidth="1"/>
    <col min="8" max="8" width="13.6640625" bestFit="1" customWidth="1"/>
    <col min="9" max="9" width="10" customWidth="1"/>
    <col min="10" max="10" width="19.33203125" bestFit="1" customWidth="1"/>
    <col min="11" max="11" width="14.33203125" bestFit="1" customWidth="1"/>
    <col min="12" max="12" width="15.6640625" bestFit="1" customWidth="1"/>
    <col min="15" max="15" width="14.6640625" style="188" bestFit="1" customWidth="1"/>
    <col min="16" max="16" width="11.1640625" bestFit="1" customWidth="1"/>
  </cols>
  <sheetData>
    <row r="1" spans="1:20" ht="31" customHeight="1" x14ac:dyDescent="0.2">
      <c r="A1" s="159" t="s">
        <v>145</v>
      </c>
      <c r="B1" s="159" t="s">
        <v>686</v>
      </c>
      <c r="C1" s="159" t="s">
        <v>1167</v>
      </c>
      <c r="D1" s="159" t="s">
        <v>90</v>
      </c>
      <c r="E1" s="159" t="s">
        <v>882</v>
      </c>
      <c r="F1" s="159" t="s">
        <v>883</v>
      </c>
      <c r="G1" s="159" t="s">
        <v>689</v>
      </c>
      <c r="H1" s="159" t="s">
        <v>888</v>
      </c>
      <c r="I1" s="159" t="s">
        <v>1170</v>
      </c>
      <c r="J1" s="159" t="s">
        <v>1169</v>
      </c>
      <c r="K1" s="159" t="s">
        <v>1171</v>
      </c>
      <c r="L1" s="159" t="s">
        <v>1172</v>
      </c>
      <c r="M1" s="159" t="s">
        <v>1174</v>
      </c>
      <c r="N1" s="159" t="s">
        <v>1175</v>
      </c>
      <c r="O1" s="239" t="s">
        <v>1176</v>
      </c>
      <c r="P1" s="239" t="s">
        <v>1177</v>
      </c>
      <c r="Q1" s="239" t="s">
        <v>1178</v>
      </c>
      <c r="R1" s="239" t="s">
        <v>1179</v>
      </c>
      <c r="S1" s="239" t="s">
        <v>1180</v>
      </c>
      <c r="T1" s="239" t="s">
        <v>1181</v>
      </c>
    </row>
    <row r="2" spans="1:20" ht="25" x14ac:dyDescent="0.2">
      <c r="A2" s="161" t="s">
        <v>149</v>
      </c>
      <c r="B2" s="161">
        <v>4</v>
      </c>
      <c r="C2" t="str">
        <f>_xlfn.XLOOKUP(B2,'Country Code M49'!$B$2:$B$250,'Country Code M49'!$C$2:$C$250,,0)</f>
        <v>AFG</v>
      </c>
      <c r="D2" s="161" t="s">
        <v>797</v>
      </c>
      <c r="E2" s="162">
        <v>15.640228594822497</v>
      </c>
      <c r="F2" s="162">
        <v>594982.44815851841</v>
      </c>
      <c r="G2" s="160" t="s">
        <v>872</v>
      </c>
      <c r="H2" s="188">
        <f>_xlfn.XLOOKUP(D2,'[1]World Population'!$B$2:$B$267,'[1]World Population'!$BN$2:$BN$267,0)</f>
        <v>38928341</v>
      </c>
      <c r="I2" s="188">
        <f>_xlfn.XLOOKUP(C2,'[4]Access to Electricity'!$B$6:$B$271,'[4]Access to Electricity'!$BM$6:$BM$271)</f>
        <v>97.699996948242202</v>
      </c>
      <c r="J2" s="194">
        <f>_xlfn.XLOOKUP(C2,'[2]GDP 2015 Constant'!$B$6:$B$271,'[2]GDP 2015 Constant'!$BM$6:$BM$271)</f>
        <v>20621946476</v>
      </c>
      <c r="K2" s="193">
        <f t="shared" ref="K2:K64" si="0">J2/H2</f>
        <v>529.74121029200808</v>
      </c>
      <c r="L2" s="194">
        <f>_xlfn.XLOOKUP(C2,'[5]Tourism Receipts'!$B$6:$B$271,'[5]Tourism Receipts'!$BK$6:$BK$271)</f>
        <v>50000000</v>
      </c>
      <c r="M2" s="195">
        <f>L2/J2</f>
        <v>2.4246013856252819E-3</v>
      </c>
      <c r="N2">
        <v>25.773970739410501</v>
      </c>
      <c r="O2" s="188">
        <v>28796851</v>
      </c>
      <c r="P2" s="188">
        <v>118.04</v>
      </c>
      <c r="Q2">
        <v>0</v>
      </c>
      <c r="R2">
        <v>0</v>
      </c>
      <c r="S2">
        <v>0</v>
      </c>
      <c r="T2">
        <v>59.684989957530298</v>
      </c>
    </row>
    <row r="3" spans="1:20" ht="25" x14ac:dyDescent="0.2">
      <c r="A3" s="161" t="s">
        <v>155</v>
      </c>
      <c r="B3" s="161">
        <v>8</v>
      </c>
      <c r="C3" t="str">
        <f>_xlfn.XLOOKUP(B3,'Country Code M49'!$B$2:$B$250,'Country Code M49'!$C$2:$C$250,,0)</f>
        <v>ALB</v>
      </c>
      <c r="D3" s="161" t="s">
        <v>802</v>
      </c>
      <c r="E3" s="162">
        <v>15.640228594822497</v>
      </c>
      <c r="F3" s="162">
        <v>45057.934558824127</v>
      </c>
      <c r="G3" s="160" t="s">
        <v>872</v>
      </c>
      <c r="H3" s="188">
        <f>_xlfn.XLOOKUP(D3,'[1]World Population'!$B$2:$B$267,'[1]World Population'!$BN$2:$BN$267,0)</f>
        <v>2837849</v>
      </c>
      <c r="I3" s="188">
        <f>_xlfn.XLOOKUP(C3,'[4]Access to Electricity'!$B$6:$B$271,'[4]Access to Electricity'!$BM$6:$BM$271)</f>
        <v>100</v>
      </c>
      <c r="J3" s="194">
        <f>_xlfn.XLOOKUP(C3,'[2]GDP 2015 Constant'!$B$6:$B$271,'[2]GDP 2015 Constant'!$BM$6:$BM$271)</f>
        <v>12516205780</v>
      </c>
      <c r="K3" s="193">
        <f t="shared" si="0"/>
        <v>4410.455165162065</v>
      </c>
      <c r="L3" s="194">
        <f>_xlfn.XLOOKUP(C3,'[5]Tourism Receipts'!$B$6:$B$271,'[5]Tourism Receipts'!$BK$6:$BK$271)</f>
        <v>2306000000</v>
      </c>
      <c r="M3" s="195">
        <f t="shared" ref="M3:M66" si="1">L3/J3</f>
        <v>0.18424113829167166</v>
      </c>
      <c r="N3">
        <v>18.389347436737498</v>
      </c>
      <c r="O3" s="188">
        <v>1075204</v>
      </c>
      <c r="P3" s="188">
        <v>105.66</v>
      </c>
      <c r="Q3">
        <v>45.236190919583002</v>
      </c>
      <c r="R3">
        <v>31.304270129803399</v>
      </c>
      <c r="S3">
        <v>2309.3665025558098</v>
      </c>
      <c r="T3">
        <v>103.571131386861</v>
      </c>
    </row>
    <row r="4" spans="1:20" ht="25" x14ac:dyDescent="0.2">
      <c r="A4" s="161" t="s">
        <v>876</v>
      </c>
      <c r="B4" s="161">
        <v>12</v>
      </c>
      <c r="C4" t="str">
        <f>_xlfn.XLOOKUP(B4,'Country Code M49'!$B$2:$B$250,'Country Code M49'!$C$2:$C$250,,0)</f>
        <v>DZA</v>
      </c>
      <c r="D4" s="161" t="s">
        <v>764</v>
      </c>
      <c r="E4" s="162">
        <v>15.640228594822497</v>
      </c>
      <c r="F4" s="162">
        <v>673360.32571575243</v>
      </c>
      <c r="G4" s="160" t="s">
        <v>872</v>
      </c>
      <c r="H4" s="188">
        <f>_xlfn.XLOOKUP(D4,'[1]World Population'!$B$2:$B$267,'[1]World Population'!$BN$2:$BN$267,0)</f>
        <v>43851043</v>
      </c>
      <c r="I4" s="188">
        <f>_xlfn.XLOOKUP(C4,'[4]Access to Electricity'!$B$6:$B$271,'[4]Access to Electricity'!$BM$6:$BM$271)</f>
        <v>99.804130554199205</v>
      </c>
      <c r="J4" s="194">
        <f>_xlfn.XLOOKUP(C4,'[2]GDP 2015 Constant'!$B$6:$B$271,'[2]GDP 2015 Constant'!$BM$6:$BM$271)</f>
        <v>168144000000</v>
      </c>
      <c r="K4" s="193">
        <f t="shared" si="0"/>
        <v>3834.4355914179737</v>
      </c>
      <c r="L4" s="194">
        <f>_xlfn.XLOOKUP(C4,'[5]Tourism Receipts'!$B$6:$B$271,'[5]Tourism Receipts'!$BK$6:$BK$271)</f>
        <v>196500000</v>
      </c>
      <c r="M4" s="195">
        <f t="shared" si="1"/>
        <v>1.1686411647159577E-3</v>
      </c>
      <c r="N4">
        <v>12.3362121115896</v>
      </c>
      <c r="O4" s="188">
        <v>11518353</v>
      </c>
      <c r="P4" s="188">
        <v>112.5</v>
      </c>
      <c r="Q4">
        <v>32.204340946665198</v>
      </c>
      <c r="R4">
        <v>22.713461910112201</v>
      </c>
      <c r="S4">
        <v>1362.87188408252</v>
      </c>
      <c r="T4">
        <v>18.411339856012901</v>
      </c>
    </row>
    <row r="5" spans="1:20" ht="25" x14ac:dyDescent="0.2">
      <c r="A5" s="161" t="s">
        <v>878</v>
      </c>
      <c r="B5" s="161">
        <v>16</v>
      </c>
      <c r="C5" t="str">
        <f>_xlfn.XLOOKUP(B5,'Country Code M49'!$B$2:$B$250,'Country Code M49'!$C$2:$C$250,,0)</f>
        <v>ASM</v>
      </c>
      <c r="D5" s="161" t="s">
        <v>780</v>
      </c>
      <c r="E5" s="162">
        <v>15.640228594822497</v>
      </c>
      <c r="F5" s="162">
        <v>864.90464129368411</v>
      </c>
      <c r="G5" s="160" t="s">
        <v>872</v>
      </c>
      <c r="H5" s="188">
        <f>_xlfn.XLOOKUP(D5,'[1]World Population'!$B$2:$B$267,'[1]World Population'!$BN$2:$BN$267,0)</f>
        <v>55197</v>
      </c>
      <c r="I5" s="188" t="e">
        <f>_xlfn.XLOOKUP(C5,'[4]Access to Electricity'!$B$6:$B$271,'[4]Access to Electricity'!$BM$6:$BM$271)</f>
        <v>#REF!</v>
      </c>
      <c r="J5" s="194">
        <f>_xlfn.XLOOKUP(C5,'[2]GDP 2015 Constant'!$B$6:$B$271,'[2]GDP 2015 Constant'!$BM$6:$BM$271)</f>
        <v>653477862.60000002</v>
      </c>
      <c r="K5" s="193">
        <f t="shared" si="0"/>
        <v>11839.010500570683</v>
      </c>
      <c r="L5" s="194">
        <f>_xlfn.XLOOKUP(C5,'[5]Tourism Receipts'!$B$6:$B$271,'[5]Tourism Receipts'!$BK$6:$BK$271)</f>
        <v>0</v>
      </c>
      <c r="M5" s="195">
        <f t="shared" si="1"/>
        <v>0</v>
      </c>
      <c r="N5">
        <v>0</v>
      </c>
      <c r="O5" s="188">
        <v>7091</v>
      </c>
      <c r="P5" s="188">
        <v>0</v>
      </c>
      <c r="Q5">
        <v>103.599374021909</v>
      </c>
      <c r="R5">
        <v>61.574074074074097</v>
      </c>
      <c r="S5">
        <v>0</v>
      </c>
      <c r="T5">
        <v>275.98500000000001</v>
      </c>
    </row>
    <row r="6" spans="1:20" x14ac:dyDescent="0.2">
      <c r="A6" s="161" t="s">
        <v>155</v>
      </c>
      <c r="B6" s="161">
        <v>20</v>
      </c>
      <c r="C6" t="str">
        <f>_xlfn.XLOOKUP(B6,'Country Code M49'!$B$2:$B$250,'Country Code M49'!$C$2:$C$250,,0)</f>
        <v>AND</v>
      </c>
      <c r="D6" s="161" t="s">
        <v>803</v>
      </c>
      <c r="E6" s="162">
        <v>12.811309449374059</v>
      </c>
      <c r="F6" s="162">
        <v>987.75195854673996</v>
      </c>
      <c r="G6" s="160" t="s">
        <v>877</v>
      </c>
      <c r="H6" s="188">
        <f>_xlfn.XLOOKUP(D6,'[1]World Population'!$B$2:$B$267,'[1]World Population'!$BN$2:$BN$267,0)</f>
        <v>77265</v>
      </c>
      <c r="I6" s="188">
        <f>_xlfn.XLOOKUP(C6,'[4]Access to Electricity'!$B$6:$B$271,'[4]Access to Electricity'!$BM$6:$BM$271)</f>
        <v>100</v>
      </c>
      <c r="J6" s="194">
        <f>_xlfn.XLOOKUP(C6,'[2]GDP 2015 Constant'!$B$6:$B$271,'[2]GDP 2015 Constant'!$BM$6:$BM$271)</f>
        <v>2672445971</v>
      </c>
      <c r="K6" s="193">
        <f t="shared" si="0"/>
        <v>34588.053724195946</v>
      </c>
      <c r="L6" s="194">
        <f>_xlfn.XLOOKUP(C6,'[5]Tourism Receipts'!$B$6:$B$271,'[5]Tourism Receipts'!$BK$6:$BK$271)</f>
        <v>0</v>
      </c>
      <c r="M6" s="195">
        <f t="shared" si="1"/>
        <v>0</v>
      </c>
      <c r="N6">
        <v>0.52263324841577896</v>
      </c>
      <c r="O6" s="188">
        <v>9337</v>
      </c>
      <c r="P6" s="188">
        <v>0</v>
      </c>
      <c r="Q6">
        <v>0</v>
      </c>
      <c r="R6">
        <v>0</v>
      </c>
      <c r="S6">
        <v>0</v>
      </c>
      <c r="T6">
        <v>164.39361702127701</v>
      </c>
    </row>
    <row r="7" spans="1:20" ht="25" x14ac:dyDescent="0.2">
      <c r="A7" s="161" t="s">
        <v>154</v>
      </c>
      <c r="B7" s="161">
        <v>24</v>
      </c>
      <c r="C7" t="str">
        <f>_xlfn.XLOOKUP(B7,'Country Code M49'!$B$2:$B$250,'Country Code M49'!$C$2:$C$250,,0)</f>
        <v>AGO</v>
      </c>
      <c r="D7" s="161" t="s">
        <v>812</v>
      </c>
      <c r="E7" s="162">
        <v>15.640228594822497</v>
      </c>
      <c r="F7" s="162">
        <v>497754.96709880442</v>
      </c>
      <c r="G7" s="160" t="s">
        <v>872</v>
      </c>
      <c r="H7" s="188">
        <f>_xlfn.XLOOKUP(D7,'[1]World Population'!$B$2:$B$267,'[1]World Population'!$BN$2:$BN$267,0)</f>
        <v>32866268</v>
      </c>
      <c r="I7" s="188">
        <f>_xlfn.XLOOKUP(C7,'[4]Access to Electricity'!$B$6:$B$271,'[4]Access to Electricity'!$BM$6:$BM$271)</f>
        <v>46.890609741210902</v>
      </c>
      <c r="J7" s="194">
        <f>_xlfn.XLOOKUP(C7,'[2]GDP 2015 Constant'!$B$6:$B$271,'[2]GDP 2015 Constant'!$BM$6:$BM$271)</f>
        <v>78566095350</v>
      </c>
      <c r="K7" s="193">
        <f t="shared" si="0"/>
        <v>2390.4781446436205</v>
      </c>
      <c r="L7" s="194">
        <f>_xlfn.XLOOKUP(C7,'[5]Tourism Receipts'!$B$6:$B$271,'[5]Tourism Receipts'!$BK$6:$BK$271)</f>
        <v>557000000</v>
      </c>
      <c r="M7" s="195">
        <f t="shared" si="1"/>
        <v>7.0895721305564412E-3</v>
      </c>
      <c r="N7">
        <v>7.8826247630720996</v>
      </c>
      <c r="O7" s="188">
        <v>10903384</v>
      </c>
      <c r="P7" s="188">
        <v>108.08</v>
      </c>
      <c r="Q7">
        <v>25.541723496357999</v>
      </c>
      <c r="R7">
        <v>40.790755053283299</v>
      </c>
      <c r="S7">
        <v>312.22889451262199</v>
      </c>
      <c r="T7">
        <v>26.362611694874499</v>
      </c>
    </row>
    <row r="8" spans="1:20" x14ac:dyDescent="0.2">
      <c r="A8" s="161" t="s">
        <v>150</v>
      </c>
      <c r="B8" s="161">
        <v>28</v>
      </c>
      <c r="C8" t="str">
        <f>_xlfn.XLOOKUP(B8,'Country Code M49'!$B$2:$B$250,'Country Code M49'!$C$2:$C$250,,0)</f>
        <v>ATG</v>
      </c>
      <c r="D8" s="161" t="s">
        <v>708</v>
      </c>
      <c r="E8" s="162">
        <v>12.811309449374059</v>
      </c>
      <c r="F8" s="162">
        <v>1243.9781475342211</v>
      </c>
      <c r="G8" s="160" t="s">
        <v>877</v>
      </c>
      <c r="H8" s="188">
        <f>_xlfn.XLOOKUP(D8,'[1]World Population'!$B$2:$B$267,'[1]World Population'!$BN$2:$BN$267,0)</f>
        <v>97928</v>
      </c>
      <c r="I8" s="188">
        <f>_xlfn.XLOOKUP(C8,'[4]Access to Electricity'!$B$6:$B$271,'[4]Access to Electricity'!$BM$6:$BM$271)</f>
        <v>100</v>
      </c>
      <c r="J8" s="194">
        <f>_xlfn.XLOOKUP(C8,'[2]GDP 2015 Constant'!$B$6:$B$271,'[2]GDP 2015 Constant'!$BM$6:$BM$271)</f>
        <v>1301036618</v>
      </c>
      <c r="K8" s="193">
        <f t="shared" si="0"/>
        <v>13285.644738991912</v>
      </c>
      <c r="L8" s="194">
        <f>_xlfn.XLOOKUP(C8,'[5]Tourism Receipts'!$B$6:$B$271,'[5]Tourism Receipts'!$BK$6:$BK$271)</f>
        <v>854000000</v>
      </c>
      <c r="M8" s="195">
        <f t="shared" si="1"/>
        <v>0.65639966484017898</v>
      </c>
      <c r="N8">
        <v>1.73340883252786</v>
      </c>
      <c r="O8" s="188">
        <v>74001</v>
      </c>
      <c r="P8" s="188">
        <v>88.3</v>
      </c>
      <c r="Q8">
        <v>70.539297286701</v>
      </c>
      <c r="R8">
        <v>70.884714485749498</v>
      </c>
      <c r="S8">
        <v>0</v>
      </c>
      <c r="T8">
        <v>222.56363636363599</v>
      </c>
    </row>
    <row r="9" spans="1:20" ht="25" x14ac:dyDescent="0.2">
      <c r="A9" s="161" t="s">
        <v>150</v>
      </c>
      <c r="B9" s="161">
        <v>32</v>
      </c>
      <c r="C9" t="str">
        <f>_xlfn.XLOOKUP(B9,'Country Code M49'!$B$2:$B$250,'Country Code M49'!$C$2:$C$250,,0)</f>
        <v>ARG</v>
      </c>
      <c r="D9" s="161" t="s">
        <v>709</v>
      </c>
      <c r="E9" s="162">
        <v>15.640228594822497</v>
      </c>
      <c r="F9" s="162">
        <v>700380.38463616779</v>
      </c>
      <c r="G9" s="160" t="s">
        <v>872</v>
      </c>
      <c r="H9" s="188">
        <f>_xlfn.XLOOKUP(D9,'[1]World Population'!$B$2:$B$267,'[1]World Population'!$BN$2:$BN$267,0)</f>
        <v>45376763</v>
      </c>
      <c r="I9" s="188">
        <f>_xlfn.XLOOKUP(C9,'[4]Access to Electricity'!$B$6:$B$271,'[4]Access to Electricity'!$BM$6:$BM$271)</f>
        <v>100</v>
      </c>
      <c r="J9" s="194">
        <f>_xlfn.XLOOKUP(C9,'[2]GDP 2015 Constant'!$B$6:$B$271,'[2]GDP 2015 Constant'!$BM$6:$BM$271)</f>
        <v>514772000000</v>
      </c>
      <c r="K9" s="193">
        <f t="shared" si="0"/>
        <v>11344.396690438232</v>
      </c>
      <c r="L9" s="194">
        <f>_xlfn.XLOOKUP(C9,'[5]Tourism Receipts'!$B$6:$B$271,'[5]Tourism Receipts'!$BK$6:$BK$271)</f>
        <v>5999000000</v>
      </c>
      <c r="M9" s="195">
        <f t="shared" si="1"/>
        <v>1.1653702998609093E-2</v>
      </c>
      <c r="N9">
        <v>5.11101651115706</v>
      </c>
      <c r="O9" s="188">
        <v>3579773</v>
      </c>
      <c r="P9" s="188">
        <v>109.82</v>
      </c>
      <c r="Q9">
        <v>16.3258502050892</v>
      </c>
      <c r="R9">
        <v>17.695944065872101</v>
      </c>
      <c r="S9">
        <v>3074.70207056563</v>
      </c>
      <c r="T9">
        <v>16.580892611147</v>
      </c>
    </row>
    <row r="10" spans="1:20" ht="25" x14ac:dyDescent="0.2">
      <c r="A10" s="161" t="s">
        <v>148</v>
      </c>
      <c r="B10" s="161">
        <v>51</v>
      </c>
      <c r="C10" t="str">
        <f>_xlfn.XLOOKUP(B10,'Country Code M49'!$B$2:$B$250,'Country Code M49'!$C$2:$C$250,,0)</f>
        <v>ARM</v>
      </c>
      <c r="D10" s="161" t="s">
        <v>856</v>
      </c>
      <c r="E10" s="162">
        <v>15.640228594822497</v>
      </c>
      <c r="F10" s="162">
        <v>46259.104114906499</v>
      </c>
      <c r="G10" s="160" t="s">
        <v>872</v>
      </c>
      <c r="H10" s="188">
        <f>_xlfn.XLOOKUP(D10,'[1]World Population'!$B$2:$B$267,'[1]World Population'!$BN$2:$BN$267,0)</f>
        <v>2963234</v>
      </c>
      <c r="I10" s="188">
        <f>_xlfn.XLOOKUP(C10,'[4]Access to Electricity'!$B$6:$B$271,'[4]Access to Electricity'!$BM$6:$BM$271)</f>
        <v>100</v>
      </c>
      <c r="J10" s="194">
        <f>_xlfn.XLOOKUP(C10,'[2]GDP 2015 Constant'!$B$6:$B$271,'[2]GDP 2015 Constant'!$BM$6:$BM$271)</f>
        <v>11915301005</v>
      </c>
      <c r="K10" s="193">
        <f t="shared" si="0"/>
        <v>4021.0462639805023</v>
      </c>
      <c r="L10" s="194">
        <f>_xlfn.XLOOKUP(C10,'[5]Tourism Receipts'!$B$6:$B$271,'[5]Tourism Receipts'!$BK$6:$BK$271)</f>
        <v>1358000000</v>
      </c>
      <c r="M10" s="195">
        <f t="shared" si="1"/>
        <v>0.11397110315804397</v>
      </c>
      <c r="N10">
        <v>11.5256107379588</v>
      </c>
      <c r="O10" s="188">
        <v>1087122</v>
      </c>
      <c r="P10" s="188">
        <v>85.78</v>
      </c>
      <c r="Q10">
        <v>53.0802129926047</v>
      </c>
      <c r="R10">
        <v>41.350801362084901</v>
      </c>
      <c r="S10">
        <v>1961.6103952646699</v>
      </c>
      <c r="T10">
        <v>104.08268352651901</v>
      </c>
    </row>
    <row r="11" spans="1:20" x14ac:dyDescent="0.2">
      <c r="A11" s="161" t="s">
        <v>150</v>
      </c>
      <c r="B11" s="161">
        <v>533</v>
      </c>
      <c r="C11" t="str">
        <f>_xlfn.XLOOKUP(B11,'Country Code M49'!$B$2:$B$250,'Country Code M49'!$C$2:$C$250,,0)</f>
        <v>ABW</v>
      </c>
      <c r="D11" s="161" t="s">
        <v>710</v>
      </c>
      <c r="E11" s="162">
        <v>12.811309449374059</v>
      </c>
      <c r="F11" s="162">
        <v>1361.8421944684626</v>
      </c>
      <c r="G11" s="160" t="s">
        <v>877</v>
      </c>
      <c r="H11" s="188">
        <f>_xlfn.XLOOKUP(D11,'[1]World Population'!$B$2:$B$267,'[1]World Population'!$BN$2:$BN$267,0)</f>
        <v>106766</v>
      </c>
      <c r="I11" s="188">
        <f>_xlfn.XLOOKUP(C11,'[4]Access to Electricity'!$B$6:$B$271,'[4]Access to Electricity'!$BM$6:$BM$271)</f>
        <v>100</v>
      </c>
      <c r="J11" s="194">
        <f>_xlfn.XLOOKUP(C11,'[2]GDP 2015 Constant'!$B$6:$B$271,'[2]GDP 2015 Constant'!$BM$6:$BM$271)</f>
        <v>2458429455</v>
      </c>
      <c r="K11" s="193">
        <f t="shared" si="0"/>
        <v>23026.332868141544</v>
      </c>
      <c r="L11" s="194">
        <f>_xlfn.XLOOKUP(C11,'[5]Tourism Receipts'!$B$6:$B$271,'[5]Tourism Receipts'!$BK$6:$BK$271)</f>
        <v>2035000000</v>
      </c>
      <c r="M11" s="195">
        <f t="shared" si="1"/>
        <v>0.82776424430694107</v>
      </c>
      <c r="N11">
        <v>0</v>
      </c>
      <c r="O11" s="188">
        <v>60112</v>
      </c>
      <c r="P11" s="188">
        <v>0</v>
      </c>
      <c r="Q11">
        <v>74.633635729239401</v>
      </c>
      <c r="R11">
        <v>74.582278481012693</v>
      </c>
      <c r="S11">
        <v>0</v>
      </c>
      <c r="T11">
        <v>593.14444444444405</v>
      </c>
    </row>
    <row r="12" spans="1:20" x14ac:dyDescent="0.2">
      <c r="A12" s="161" t="s">
        <v>146</v>
      </c>
      <c r="B12" s="161">
        <v>36</v>
      </c>
      <c r="C12" t="str">
        <f>_xlfn.XLOOKUP(B12,'Country Code M49'!$B$2:$B$250,'Country Code M49'!$C$2:$C$250,,0)</f>
        <v>AUS</v>
      </c>
      <c r="D12" s="161" t="s">
        <v>91</v>
      </c>
      <c r="E12" s="162">
        <v>9.4530722484807566</v>
      </c>
      <c r="F12" s="162">
        <v>238247.6704929102</v>
      </c>
      <c r="G12" s="160" t="s">
        <v>880</v>
      </c>
      <c r="H12" s="188">
        <f>_xlfn.XLOOKUP(D12,'[1]World Population'!$B$2:$B$267,'[1]World Population'!$BN$2:$BN$267,0)</f>
        <v>25693267</v>
      </c>
      <c r="I12" s="188">
        <f>_xlfn.XLOOKUP(C12,'[4]Access to Electricity'!$B$6:$B$271,'[4]Access to Electricity'!$BM$6:$BM$271)</f>
        <v>100</v>
      </c>
      <c r="J12" s="194">
        <f>_xlfn.XLOOKUP(C12,'[2]GDP 2015 Constant'!$B$6:$B$271,'[2]GDP 2015 Constant'!$BM$6:$BM$271)</f>
        <v>1490970000000</v>
      </c>
      <c r="K12" s="193">
        <f t="shared" si="0"/>
        <v>58029.59973910675</v>
      </c>
      <c r="L12" s="194">
        <f>_xlfn.XLOOKUP(C12,'[5]Tourism Receipts'!$B$6:$B$271,'[5]Tourism Receipts'!$BK$6:$BK$271)</f>
        <v>47327000000</v>
      </c>
      <c r="M12" s="195">
        <f t="shared" si="1"/>
        <v>3.1742422718096276E-2</v>
      </c>
      <c r="N12">
        <v>2.1168640056560699</v>
      </c>
      <c r="O12" s="188">
        <v>3535137</v>
      </c>
      <c r="P12" s="188">
        <v>89</v>
      </c>
      <c r="Q12">
        <v>21.5125131175846</v>
      </c>
      <c r="R12">
        <v>24.169727287861399</v>
      </c>
      <c r="S12">
        <v>10071.3989785006</v>
      </c>
      <c r="T12">
        <v>3.34024963533636</v>
      </c>
    </row>
    <row r="13" spans="1:20" x14ac:dyDescent="0.2">
      <c r="A13" s="161" t="s">
        <v>147</v>
      </c>
      <c r="B13" s="161">
        <v>40</v>
      </c>
      <c r="C13" t="str">
        <f>_xlfn.XLOOKUP(B13,'Country Code M49'!$B$2:$B$250,'Country Code M49'!$C$2:$C$250,,0)</f>
        <v>AUT</v>
      </c>
      <c r="D13" s="161" t="s">
        <v>92</v>
      </c>
      <c r="E13" s="162">
        <v>8.6307161647473443</v>
      </c>
      <c r="F13" s="162">
        <v>77288.926326928937</v>
      </c>
      <c r="G13" s="160" t="s">
        <v>880</v>
      </c>
      <c r="H13" s="188">
        <f>_xlfn.XLOOKUP(D13,'[1]World Population'!$B$2:$B$267,'[1]World Population'!$BN$2:$BN$267,0)</f>
        <v>8916864</v>
      </c>
      <c r="I13" s="188">
        <f>_xlfn.XLOOKUP(C13,'[4]Access to Electricity'!$B$6:$B$271,'[4]Access to Electricity'!$BM$6:$BM$271)</f>
        <v>100</v>
      </c>
      <c r="J13" s="194">
        <f>_xlfn.XLOOKUP(C13,'[2]GDP 2015 Constant'!$B$6:$B$271,'[2]GDP 2015 Constant'!$BM$6:$BM$271)</f>
        <v>386514000000</v>
      </c>
      <c r="K13" s="193">
        <f t="shared" si="0"/>
        <v>43346.405193574785</v>
      </c>
      <c r="L13" s="194">
        <f>_xlfn.XLOOKUP(C13,'[5]Tourism Receipts'!$B$6:$B$271,'[5]Tourism Receipts'!$BK$6:$BK$271)</f>
        <v>25413000000</v>
      </c>
      <c r="M13" s="195">
        <f t="shared" si="1"/>
        <v>6.5749235474006115E-2</v>
      </c>
      <c r="N13">
        <v>1.0715827241667799</v>
      </c>
      <c r="O13" s="188">
        <v>3678385</v>
      </c>
      <c r="P13" s="188">
        <v>101.68</v>
      </c>
      <c r="Q13">
        <v>52.441022411814302</v>
      </c>
      <c r="R13">
        <v>55.442206544630601</v>
      </c>
      <c r="S13">
        <v>8355.8419518213395</v>
      </c>
      <c r="T13">
        <v>108.05700436257899</v>
      </c>
    </row>
    <row r="14" spans="1:20" ht="25" x14ac:dyDescent="0.2">
      <c r="A14" s="161" t="s">
        <v>148</v>
      </c>
      <c r="B14" s="161">
        <v>31</v>
      </c>
      <c r="C14" t="str">
        <f>_xlfn.XLOOKUP(B14,'Country Code M49'!$B$2:$B$250,'Country Code M49'!$C$2:$C$250,,0)</f>
        <v>AZE</v>
      </c>
      <c r="D14" s="161" t="s">
        <v>857</v>
      </c>
      <c r="E14" s="162">
        <v>15.640228594822497</v>
      </c>
      <c r="F14" s="162">
        <v>157148.32485219801</v>
      </c>
      <c r="G14" s="160" t="s">
        <v>872</v>
      </c>
      <c r="H14" s="188">
        <f>_xlfn.XLOOKUP(D14,'[1]World Population'!$B$2:$B$267,'[1]World Population'!$BN$2:$BN$267,0)</f>
        <v>10093121</v>
      </c>
      <c r="I14" s="188">
        <f>_xlfn.XLOOKUP(C14,'[4]Access to Electricity'!$B$6:$B$271,'[4]Access to Electricity'!$BM$6:$BM$271)</f>
        <v>100</v>
      </c>
      <c r="J14" s="194">
        <f>_xlfn.XLOOKUP(C14,'[2]GDP 2015 Constant'!$B$6:$B$271,'[2]GDP 2015 Constant'!$BM$6:$BM$271)</f>
        <v>51307185984</v>
      </c>
      <c r="K14" s="193">
        <f t="shared" si="0"/>
        <v>5083.3816402280327</v>
      </c>
      <c r="L14" s="194">
        <f>_xlfn.XLOOKUP(C14,'[5]Tourism Receipts'!$B$6:$B$271,'[5]Tourism Receipts'!$BK$6:$BK$271)</f>
        <v>2830000000</v>
      </c>
      <c r="M14" s="195">
        <f t="shared" si="1"/>
        <v>5.5157965608999243E-2</v>
      </c>
      <c r="N14">
        <v>5.6952581438454999</v>
      </c>
      <c r="O14" s="188">
        <v>4400904</v>
      </c>
      <c r="P14" s="188">
        <v>122.09</v>
      </c>
      <c r="Q14">
        <v>37.580282674923801</v>
      </c>
      <c r="R14">
        <v>49.050627501642303</v>
      </c>
      <c r="S14">
        <v>2202.3939182884601</v>
      </c>
      <c r="T14">
        <v>122.124736829369</v>
      </c>
    </row>
    <row r="15" spans="1:20" x14ac:dyDescent="0.2">
      <c r="A15" s="161" t="s">
        <v>150</v>
      </c>
      <c r="B15" s="161">
        <v>44</v>
      </c>
      <c r="C15" t="str">
        <f>_xlfn.XLOOKUP(B15,'Country Code M49'!$B$2:$B$250,'Country Code M49'!$C$2:$C$250,,0)</f>
        <v>BHS</v>
      </c>
      <c r="D15" s="161" t="s">
        <v>711</v>
      </c>
      <c r="E15" s="162">
        <v>12.811309449374059</v>
      </c>
      <c r="F15" s="162">
        <v>4990.0050305311961</v>
      </c>
      <c r="G15" s="160" t="s">
        <v>877</v>
      </c>
      <c r="H15" s="188">
        <f>_xlfn.XLOOKUP(D15,'[1]World Population'!$B$2:$B$267,'[1]World Population'!$BN$2:$BN$267,0)</f>
        <v>393248</v>
      </c>
      <c r="I15" s="188">
        <f>_xlfn.XLOOKUP(C15,'[4]Access to Electricity'!$B$6:$B$271,'[4]Access to Electricity'!$BM$6:$BM$271)</f>
        <v>100</v>
      </c>
      <c r="J15" s="194">
        <f>_xlfn.XLOOKUP(C15,'[2]GDP 2015 Constant'!$B$6:$B$271,'[2]GDP 2015 Constant'!$BM$6:$BM$271)</f>
        <v>9579129439</v>
      </c>
      <c r="K15" s="193">
        <f t="shared" si="0"/>
        <v>24359.003577894866</v>
      </c>
      <c r="L15" s="194">
        <f>_xlfn.XLOOKUP(C15,'[5]Tourism Receipts'!$B$6:$B$271,'[5]Tourism Receipts'!$BK$6:$BK$271)</f>
        <v>3756000000</v>
      </c>
      <c r="M15" s="195">
        <f t="shared" si="1"/>
        <v>0.39210243727451943</v>
      </c>
      <c r="N15">
        <v>0.53968831483839697</v>
      </c>
      <c r="O15" s="188">
        <v>65889</v>
      </c>
      <c r="P15" s="188">
        <v>100.62</v>
      </c>
      <c r="Q15">
        <v>39.806205804418397</v>
      </c>
      <c r="R15">
        <v>35.688405797101403</v>
      </c>
      <c r="S15">
        <v>0</v>
      </c>
      <c r="T15">
        <v>39.285514485514497</v>
      </c>
    </row>
    <row r="16" spans="1:20" x14ac:dyDescent="0.2">
      <c r="A16" s="161" t="s">
        <v>148</v>
      </c>
      <c r="B16" s="161">
        <v>48</v>
      </c>
      <c r="C16" t="str">
        <f>_xlfn.XLOOKUP(B16,'Country Code M49'!$B$2:$B$250,'Country Code M49'!$C$2:$C$250,,0)</f>
        <v>BHR</v>
      </c>
      <c r="D16" s="161" t="s">
        <v>93</v>
      </c>
      <c r="E16" s="162">
        <v>12.811309449374059</v>
      </c>
      <c r="F16" s="162">
        <v>21025.921068312706</v>
      </c>
      <c r="G16" s="160" t="s">
        <v>877</v>
      </c>
      <c r="H16" s="188">
        <f>_xlfn.XLOOKUP(D16,'[1]World Population'!$B$2:$B$267,'[1]World Population'!$BN$2:$BN$267,0)</f>
        <v>1701583</v>
      </c>
      <c r="I16" s="188">
        <f>_xlfn.XLOOKUP(C16,'[4]Access to Electricity'!$B$6:$B$271,'[4]Access to Electricity'!$BM$6:$BM$271)</f>
        <v>100</v>
      </c>
      <c r="J16" s="194">
        <f>_xlfn.XLOOKUP(C16,'[2]GDP 2015 Constant'!$B$6:$B$271,'[2]GDP 2015 Constant'!$BM$6:$BM$271)</f>
        <v>33258424204</v>
      </c>
      <c r="K16" s="193">
        <f t="shared" si="0"/>
        <v>19545.578560669681</v>
      </c>
      <c r="L16" s="194">
        <f>_xlfn.XLOOKUP(C16,'[5]Tourism Receipts'!$B$6:$B$271,'[5]Tourism Receipts'!$BK$6:$BK$271)</f>
        <v>3834000000</v>
      </c>
      <c r="M16" s="195">
        <f t="shared" si="1"/>
        <v>0.11527906362860342</v>
      </c>
      <c r="N16">
        <v>0.28121226773105501</v>
      </c>
      <c r="O16" s="188">
        <v>178564</v>
      </c>
      <c r="P16" s="188">
        <v>131.22</v>
      </c>
      <c r="Q16">
        <v>71.553532635117193</v>
      </c>
      <c r="R16">
        <v>76.485960757710998</v>
      </c>
      <c r="S16">
        <v>19596.983098977398</v>
      </c>
      <c r="T16">
        <v>2167.6216560509602</v>
      </c>
    </row>
    <row r="17" spans="1:20" ht="25" x14ac:dyDescent="0.2">
      <c r="A17" s="161" t="s">
        <v>149</v>
      </c>
      <c r="B17" s="161">
        <v>50</v>
      </c>
      <c r="C17" t="str">
        <f>_xlfn.XLOOKUP(B17,'Country Code M49'!$B$2:$B$250,'Country Code M49'!$C$2:$C$250,,0)</f>
        <v>BGD</v>
      </c>
      <c r="D17" s="161" t="s">
        <v>94</v>
      </c>
      <c r="E17" s="162">
        <v>15.640228594822497</v>
      </c>
      <c r="F17" s="162">
        <v>2550079.8395171482</v>
      </c>
      <c r="G17" s="160" t="s">
        <v>872</v>
      </c>
      <c r="H17" s="188">
        <f>_xlfn.XLOOKUP(D17,'[1]World Population'!$B$2:$B$267,'[1]World Population'!$BN$2:$BN$267,0)</f>
        <v>164689383</v>
      </c>
      <c r="I17" s="188">
        <f>_xlfn.XLOOKUP(C17,'[4]Access to Electricity'!$B$6:$B$271,'[4]Access to Electricity'!$BM$6:$BM$271)</f>
        <v>96.199996948242202</v>
      </c>
      <c r="J17" s="194">
        <f>_xlfn.XLOOKUP(C17,'[2]GDP 2015 Constant'!$B$6:$B$271,'[2]GDP 2015 Constant'!$BM$6:$BM$271)</f>
        <v>266760000000</v>
      </c>
      <c r="K17" s="193">
        <f t="shared" si="0"/>
        <v>1619.7765462513148</v>
      </c>
      <c r="L17" s="194">
        <f>_xlfn.XLOOKUP(C17,'[5]Tourism Receipts'!$B$6:$B$271,'[5]Tourism Receipts'!$BK$6:$BK$271)</f>
        <v>357000000</v>
      </c>
      <c r="M17" s="195">
        <f t="shared" si="1"/>
        <v>1.3382816014394963E-3</v>
      </c>
      <c r="N17">
        <v>11.9753231358984</v>
      </c>
      <c r="O17" s="188">
        <v>101815917</v>
      </c>
      <c r="P17" s="188">
        <v>112.19</v>
      </c>
      <c r="Q17">
        <v>19.839843779749199</v>
      </c>
      <c r="R17">
        <v>13.0947573353039</v>
      </c>
      <c r="S17">
        <v>320.20992330409899</v>
      </c>
      <c r="T17">
        <v>1265.18693247292</v>
      </c>
    </row>
    <row r="18" spans="1:20" x14ac:dyDescent="0.2">
      <c r="A18" s="161" t="s">
        <v>150</v>
      </c>
      <c r="B18" s="161">
        <v>52</v>
      </c>
      <c r="C18" t="str">
        <f>_xlfn.XLOOKUP(B18,'Country Code M49'!$B$2:$B$250,'Country Code M49'!$C$2:$C$250,,0)</f>
        <v>BRB</v>
      </c>
      <c r="D18" s="161" t="s">
        <v>712</v>
      </c>
      <c r="E18" s="162">
        <v>12.811309449374059</v>
      </c>
      <c r="F18" s="162">
        <v>3676.845811970355</v>
      </c>
      <c r="G18" s="160" t="s">
        <v>877</v>
      </c>
      <c r="H18" s="188">
        <f>_xlfn.XLOOKUP(D18,'[1]World Population'!$B$2:$B$267,'[1]World Population'!$BN$2:$BN$267,0)</f>
        <v>287371</v>
      </c>
      <c r="I18" s="188">
        <f>_xlfn.XLOOKUP(C18,'[4]Access to Electricity'!$B$6:$B$271,'[4]Access to Electricity'!$BM$6:$BM$271)</f>
        <v>100</v>
      </c>
      <c r="J18" s="194">
        <f>_xlfn.XLOOKUP(C18,'[2]GDP 2015 Constant'!$B$6:$B$271,'[2]GDP 2015 Constant'!$BM$6:$BM$271)</f>
        <v>4117793616</v>
      </c>
      <c r="K18" s="193">
        <f t="shared" si="0"/>
        <v>14329.18984866253</v>
      </c>
      <c r="L18" s="194">
        <f>_xlfn.XLOOKUP(C18,'[5]Tourism Receipts'!$B$6:$B$271,'[5]Tourism Receipts'!$BK$6:$BK$271)</f>
        <v>0</v>
      </c>
      <c r="M18" s="195">
        <f t="shared" si="1"/>
        <v>0</v>
      </c>
      <c r="N18">
        <v>1.3052955252256799</v>
      </c>
      <c r="O18" s="188">
        <v>197737</v>
      </c>
      <c r="P18" s="188">
        <v>101.28</v>
      </c>
      <c r="Q18">
        <v>39.938922654957899</v>
      </c>
      <c r="R18">
        <v>36.620169203368</v>
      </c>
      <c r="S18">
        <v>0</v>
      </c>
      <c r="T18">
        <v>668.30465116279095</v>
      </c>
    </row>
    <row r="19" spans="1:20" ht="25" x14ac:dyDescent="0.2">
      <c r="A19" s="161" t="s">
        <v>156</v>
      </c>
      <c r="B19" s="161">
        <v>112</v>
      </c>
      <c r="C19" t="str">
        <f>_xlfn.XLOOKUP(B19,'Country Code M49'!$B$2:$B$250,'Country Code M49'!$C$2:$C$250,,0)</f>
        <v>BLR</v>
      </c>
      <c r="D19" s="161" t="s">
        <v>700</v>
      </c>
      <c r="E19" s="162">
        <v>15.640228594822497</v>
      </c>
      <c r="F19" s="162">
        <v>147837.69676970018</v>
      </c>
      <c r="G19" s="160" t="s">
        <v>872</v>
      </c>
      <c r="H19" s="188">
        <f>_xlfn.XLOOKUP(D19,'[1]World Population'!$B$2:$B$267,'[1]World Population'!$BN$2:$BN$267,0)</f>
        <v>9379952</v>
      </c>
      <c r="I19" s="188">
        <f>_xlfn.XLOOKUP(C19,'[4]Access to Electricity'!$B$6:$B$271,'[4]Access to Electricity'!$BM$6:$BM$271)</f>
        <v>100</v>
      </c>
      <c r="J19" s="194">
        <f>_xlfn.XLOOKUP(C19,'[2]GDP 2015 Constant'!$B$6:$B$271,'[2]GDP 2015 Constant'!$BM$6:$BM$271)</f>
        <v>58482352925</v>
      </c>
      <c r="K19" s="193">
        <f t="shared" si="0"/>
        <v>6234.8243279922972</v>
      </c>
      <c r="L19" s="194">
        <f>_xlfn.XLOOKUP(C19,'[5]Tourism Receipts'!$B$6:$B$271,'[5]Tourism Receipts'!$BK$6:$BK$271)</f>
        <v>1221000000</v>
      </c>
      <c r="M19" s="195">
        <f t="shared" si="1"/>
        <v>2.0878092944821441E-2</v>
      </c>
      <c r="N19">
        <v>6.7946688279927399</v>
      </c>
      <c r="O19" s="188">
        <v>1924485</v>
      </c>
      <c r="P19" s="188">
        <v>106.21</v>
      </c>
      <c r="Q19">
        <v>68.938690987633194</v>
      </c>
      <c r="R19">
        <v>65.0945839929757</v>
      </c>
      <c r="S19">
        <v>3690.1036829597001</v>
      </c>
      <c r="T19">
        <v>46.211212927382</v>
      </c>
    </row>
    <row r="20" spans="1:20" x14ac:dyDescent="0.2">
      <c r="A20" s="161" t="s">
        <v>147</v>
      </c>
      <c r="B20" s="161">
        <v>56</v>
      </c>
      <c r="C20" t="str">
        <f>_xlfn.XLOOKUP(B20,'Country Code M49'!$B$2:$B$250,'Country Code M49'!$C$2:$C$250,,0)</f>
        <v>BEL</v>
      </c>
      <c r="D20" s="161" t="s">
        <v>95</v>
      </c>
      <c r="E20" s="162">
        <v>9.7146420256410249</v>
      </c>
      <c r="F20" s="162">
        <v>112100.16872647947</v>
      </c>
      <c r="G20" s="160" t="s">
        <v>881</v>
      </c>
      <c r="H20" s="188">
        <f>_xlfn.XLOOKUP(D20,'[1]World Population'!$B$2:$B$267,'[1]World Population'!$BN$2:$BN$267,0)</f>
        <v>11544241</v>
      </c>
      <c r="I20" s="188">
        <f>_xlfn.XLOOKUP(C20,'[4]Access to Electricity'!$B$6:$B$271,'[4]Access to Electricity'!$BM$6:$BM$271)</f>
        <v>100</v>
      </c>
      <c r="J20" s="194">
        <f>_xlfn.XLOOKUP(C20,'[2]GDP 2015 Constant'!$B$6:$B$271,'[2]GDP 2015 Constant'!$BM$6:$BM$271)</f>
        <v>466672000000</v>
      </c>
      <c r="K20" s="193">
        <f t="shared" si="0"/>
        <v>40424.658494222356</v>
      </c>
      <c r="L20" s="194">
        <f>_xlfn.XLOOKUP(C20,'[5]Tourism Receipts'!$B$6:$B$271,'[5]Tourism Receipts'!$BK$6:$BK$271)</f>
        <v>10319000000</v>
      </c>
      <c r="M20" s="195">
        <f t="shared" si="1"/>
        <v>2.2111890149826858E-2</v>
      </c>
      <c r="N20">
        <v>0.66575512782419</v>
      </c>
      <c r="O20" s="188">
        <v>221765</v>
      </c>
      <c r="P20" s="188">
        <v>101.49</v>
      </c>
      <c r="Q20">
        <v>83.266031532409698</v>
      </c>
      <c r="R20">
        <v>82.174139326600198</v>
      </c>
      <c r="S20">
        <v>7709.1230778824702</v>
      </c>
      <c r="T20">
        <v>381.24970277410802</v>
      </c>
    </row>
    <row r="21" spans="1:20" ht="25" x14ac:dyDescent="0.2">
      <c r="A21" s="161" t="s">
        <v>150</v>
      </c>
      <c r="B21" s="161">
        <v>84</v>
      </c>
      <c r="C21" t="str">
        <f>_xlfn.XLOOKUP(B21,'Country Code M49'!$B$2:$B$250,'Country Code M49'!$C$2:$C$250,,0)</f>
        <v>BLZ</v>
      </c>
      <c r="D21" s="161" t="s">
        <v>96</v>
      </c>
      <c r="E21" s="162">
        <v>15.640228594822497</v>
      </c>
      <c r="F21" s="162">
        <v>6105.9452434187033</v>
      </c>
      <c r="G21" s="160" t="s">
        <v>872</v>
      </c>
      <c r="H21" s="188">
        <f>_xlfn.XLOOKUP(D21,'[1]World Population'!$B$2:$B$267,'[1]World Population'!$BN$2:$BN$267,0)</f>
        <v>397621</v>
      </c>
      <c r="I21" s="188">
        <f>_xlfn.XLOOKUP(C21,'[4]Access to Electricity'!$B$6:$B$271,'[4]Access to Electricity'!$BM$6:$BM$271)</f>
        <v>97.113334655761705</v>
      </c>
      <c r="J21" s="194">
        <f>_xlfn.XLOOKUP(C21,'[2]GDP 2015 Constant'!$B$6:$B$271,'[2]GDP 2015 Constant'!$BM$6:$BM$271)</f>
        <v>1531516106</v>
      </c>
      <c r="K21" s="193">
        <f t="shared" si="0"/>
        <v>3851.6982402840895</v>
      </c>
      <c r="L21" s="194">
        <f>_xlfn.XLOOKUP(C21,'[5]Tourism Receipts'!$B$6:$B$271,'[5]Tourism Receipts'!$BK$6:$BK$271)</f>
        <v>0</v>
      </c>
      <c r="M21" s="195">
        <f t="shared" si="1"/>
        <v>0</v>
      </c>
      <c r="N21">
        <v>8.9393380568209402</v>
      </c>
      <c r="O21" s="188">
        <v>214616</v>
      </c>
      <c r="P21" s="188">
        <v>94.93</v>
      </c>
      <c r="Q21">
        <v>57.508344491399498</v>
      </c>
      <c r="R21">
        <v>59.650423312062799</v>
      </c>
      <c r="S21">
        <v>0</v>
      </c>
      <c r="T21">
        <v>17.4318719859711</v>
      </c>
    </row>
    <row r="22" spans="1:20" ht="25" x14ac:dyDescent="0.2">
      <c r="A22" s="161" t="s">
        <v>154</v>
      </c>
      <c r="B22" s="161">
        <v>204</v>
      </c>
      <c r="C22" t="str">
        <f>_xlfn.XLOOKUP(B22,'Country Code M49'!$B$2:$B$250,'Country Code M49'!$C$2:$C$250,,0)</f>
        <v>BEN</v>
      </c>
      <c r="D22" s="161" t="s">
        <v>813</v>
      </c>
      <c r="E22" s="162">
        <v>15.640228594822497</v>
      </c>
      <c r="F22" s="162">
        <v>184573.46569321924</v>
      </c>
      <c r="G22" s="160" t="s">
        <v>872</v>
      </c>
      <c r="H22" s="188">
        <f>_xlfn.XLOOKUP(D22,'[1]World Population'!$B$2:$B$267,'[1]World Population'!$BN$2:$BN$267,0)</f>
        <v>12123198</v>
      </c>
      <c r="I22" s="188">
        <f>_xlfn.XLOOKUP(C22,'[4]Access to Electricity'!$B$6:$B$271,'[4]Access to Electricity'!$BM$6:$BM$271)</f>
        <v>41.410957336425803</v>
      </c>
      <c r="J22" s="194">
        <f>_xlfn.XLOOKUP(C22,'[2]GDP 2015 Constant'!$B$6:$B$271,'[2]GDP 2015 Constant'!$BM$6:$BM$271)</f>
        <v>14725558673</v>
      </c>
      <c r="K22" s="193">
        <f t="shared" si="0"/>
        <v>1214.6595867691017</v>
      </c>
      <c r="L22" s="194">
        <f>_xlfn.XLOOKUP(C22,'[5]Tourism Receipts'!$B$6:$B$271,'[5]Tourism Receipts'!$BK$6:$BK$271)</f>
        <v>175000000</v>
      </c>
      <c r="M22" s="195">
        <f t="shared" si="1"/>
        <v>1.1884099196920159E-2</v>
      </c>
      <c r="N22">
        <v>26.875801625833699</v>
      </c>
      <c r="O22" s="188">
        <v>6253752</v>
      </c>
      <c r="P22" s="188">
        <v>115.73</v>
      </c>
      <c r="Q22">
        <v>34.520963871436301</v>
      </c>
      <c r="R22">
        <v>29.630527193547799</v>
      </c>
      <c r="S22">
        <v>100.22515176916799</v>
      </c>
      <c r="T22">
        <v>107.51328485278501</v>
      </c>
    </row>
    <row r="23" spans="1:20" x14ac:dyDescent="0.2">
      <c r="A23" s="161" t="s">
        <v>151</v>
      </c>
      <c r="B23" s="161">
        <v>60</v>
      </c>
      <c r="C23" t="str">
        <f>_xlfn.XLOOKUP(B23,'Country Code M49'!$B$2:$B$250,'Country Code M49'!$C$2:$C$250,,0)</f>
        <v>BMU</v>
      </c>
      <c r="D23" s="161" t="s">
        <v>771</v>
      </c>
      <c r="E23" s="162">
        <v>12.811309449374059</v>
      </c>
      <c r="F23" s="162">
        <v>800.70684058587869</v>
      </c>
      <c r="G23" s="160" t="s">
        <v>877</v>
      </c>
      <c r="H23" s="188">
        <f>_xlfn.XLOOKUP(D23,'[1]World Population'!$B$2:$B$267,'[1]World Population'!$BN$2:$BN$267,0)</f>
        <v>63893</v>
      </c>
      <c r="I23" s="188">
        <f>_xlfn.XLOOKUP(C23,'[4]Access to Electricity'!$B$6:$B$271,'[4]Access to Electricity'!$BM$6:$BM$271)</f>
        <v>100</v>
      </c>
      <c r="J23" s="194">
        <f>_xlfn.XLOOKUP(C23,'[2]GDP 2015 Constant'!$B$6:$B$271,'[2]GDP 2015 Constant'!$BM$6:$BM$271)</f>
        <v>6371962194</v>
      </c>
      <c r="K23" s="193">
        <f t="shared" si="0"/>
        <v>99728.643106443589</v>
      </c>
      <c r="L23" s="194">
        <f>_xlfn.XLOOKUP(C23,'[5]Tourism Receipts'!$B$6:$B$271,'[5]Tourism Receipts'!$BK$6:$BK$271)</f>
        <v>583000000</v>
      </c>
      <c r="M23" s="195">
        <f t="shared" si="1"/>
        <v>9.1494579259896971E-2</v>
      </c>
      <c r="N23">
        <v>0.22096150517312299</v>
      </c>
      <c r="O23" s="188">
        <v>0</v>
      </c>
      <c r="P23" s="188">
        <v>0</v>
      </c>
      <c r="Q23">
        <v>26.0761139981486</v>
      </c>
      <c r="R23">
        <v>50.649272273796697</v>
      </c>
      <c r="S23">
        <v>0</v>
      </c>
      <c r="T23">
        <v>1183.2037037037001</v>
      </c>
    </row>
    <row r="24" spans="1:20" ht="25" x14ac:dyDescent="0.2">
      <c r="A24" s="161" t="s">
        <v>149</v>
      </c>
      <c r="B24" s="161">
        <v>64</v>
      </c>
      <c r="C24" t="str">
        <f>_xlfn.XLOOKUP(B24,'Country Code M49'!$B$2:$B$250,'Country Code M49'!$C$2:$C$250,,0)</f>
        <v>BTN</v>
      </c>
      <c r="D24" s="161" t="s">
        <v>798</v>
      </c>
      <c r="E24" s="162">
        <v>15.640228594822497</v>
      </c>
      <c r="F24" s="162">
        <v>11935.058440709046</v>
      </c>
      <c r="G24" s="160" t="s">
        <v>872</v>
      </c>
      <c r="H24" s="188">
        <f>_xlfn.XLOOKUP(D24,'[1]World Population'!$B$2:$B$267,'[1]World Population'!$BN$2:$BN$267,0)</f>
        <v>771612</v>
      </c>
      <c r="I24" s="188">
        <f>_xlfn.XLOOKUP(C24,'[4]Access to Electricity'!$B$6:$B$271,'[4]Access to Electricity'!$BM$6:$BM$271)</f>
        <v>100</v>
      </c>
      <c r="J24" s="194">
        <f>_xlfn.XLOOKUP(C24,'[2]GDP 2015 Constant'!$B$6:$B$271,'[2]GDP 2015 Constant'!$BM$6:$BM$271)</f>
        <v>2221963713</v>
      </c>
      <c r="K24" s="193">
        <f t="shared" si="0"/>
        <v>2879.6386175953717</v>
      </c>
      <c r="L24" s="194">
        <f>_xlfn.XLOOKUP(C24,'[5]Tourism Receipts'!$B$6:$B$271,'[5]Tourism Receipts'!$BK$6:$BK$271)</f>
        <v>121000000</v>
      </c>
      <c r="M24" s="195">
        <f t="shared" si="1"/>
        <v>5.4456334859146277E-2</v>
      </c>
      <c r="N24">
        <v>15.784149136121</v>
      </c>
      <c r="O24" s="188">
        <v>445097</v>
      </c>
      <c r="P24" s="188">
        <v>102.57</v>
      </c>
      <c r="Q24">
        <v>53.369305611803298</v>
      </c>
      <c r="R24">
        <v>33.939063813345697</v>
      </c>
      <c r="S24">
        <v>0</v>
      </c>
      <c r="T24">
        <v>20.231043523859501</v>
      </c>
    </row>
    <row r="25" spans="1:20" ht="25" x14ac:dyDescent="0.2">
      <c r="A25" s="161" t="s">
        <v>150</v>
      </c>
      <c r="B25" s="161">
        <v>68</v>
      </c>
      <c r="C25" t="str">
        <f>_xlfn.XLOOKUP(B25,'Country Code M49'!$B$2:$B$250,'Country Code M49'!$C$2:$C$250,,0)</f>
        <v>BOL</v>
      </c>
      <c r="D25" s="161" t="s">
        <v>713</v>
      </c>
      <c r="E25" s="162">
        <v>15.640228594822497</v>
      </c>
      <c r="F25" s="162">
        <v>180067.5158350509</v>
      </c>
      <c r="G25" s="160" t="s">
        <v>872</v>
      </c>
      <c r="H25" s="188">
        <f>_xlfn.XLOOKUP(D25,'[1]World Population'!$B$2:$B$267,'[1]World Population'!$BN$2:$BN$267,0)</f>
        <v>11673029</v>
      </c>
      <c r="I25" s="188">
        <f>_xlfn.XLOOKUP(C25,'[4]Access to Electricity'!$B$6:$B$271,'[4]Access to Electricity'!$BM$6:$BM$271)</f>
        <v>97.554122924804702</v>
      </c>
      <c r="J25" s="194">
        <f>_xlfn.XLOOKUP(C25,'[2]GDP 2015 Constant'!$B$6:$B$271,'[2]GDP 2015 Constant'!$BM$6:$BM$271)</f>
        <v>34855949803</v>
      </c>
      <c r="K25" s="193">
        <f t="shared" si="0"/>
        <v>2986.0244331612644</v>
      </c>
      <c r="L25" s="194">
        <f>_xlfn.XLOOKUP(C25,'[5]Tourism Receipts'!$B$6:$B$271,'[5]Tourism Receipts'!$BK$6:$BK$271)</f>
        <v>948000000</v>
      </c>
      <c r="M25" s="195">
        <f t="shared" si="1"/>
        <v>2.7197652204514221E-2</v>
      </c>
      <c r="N25">
        <v>12.221757582489101</v>
      </c>
      <c r="O25" s="188">
        <v>3487551</v>
      </c>
      <c r="P25" s="188">
        <v>109.63</v>
      </c>
      <c r="Q25">
        <v>31.121169553100799</v>
      </c>
      <c r="R25">
        <v>24.967262284016599</v>
      </c>
      <c r="S25">
        <v>742.53839974288599</v>
      </c>
      <c r="T25">
        <v>10.7754352441614</v>
      </c>
    </row>
    <row r="26" spans="1:20" ht="25" x14ac:dyDescent="0.2">
      <c r="A26" s="161" t="s">
        <v>155</v>
      </c>
      <c r="B26" s="161">
        <v>70</v>
      </c>
      <c r="C26" t="str">
        <f>_xlfn.XLOOKUP(B26,'Country Code M49'!$B$2:$B$250,'Country Code M49'!$C$2:$C$250,,0)</f>
        <v>BIH</v>
      </c>
      <c r="D26" s="161" t="s">
        <v>804</v>
      </c>
      <c r="E26" s="162">
        <v>15.640228594822497</v>
      </c>
      <c r="F26" s="162">
        <v>51628.394591509066</v>
      </c>
      <c r="G26" s="160" t="s">
        <v>872</v>
      </c>
      <c r="H26" s="188">
        <f>_xlfn.XLOOKUP(D26,'[1]World Population'!$B$2:$B$267,'[1]World Population'!$BN$2:$BN$267,0)</f>
        <v>3280815</v>
      </c>
      <c r="I26" s="188">
        <f>_xlfn.XLOOKUP(C26,'[4]Access to Electricity'!$B$6:$B$271,'[4]Access to Electricity'!$BM$6:$BM$271)</f>
        <v>100</v>
      </c>
      <c r="J26" s="194">
        <f>_xlfn.XLOOKUP(C26,'[2]GDP 2015 Constant'!$B$6:$B$271,'[2]GDP 2015 Constant'!$BM$6:$BM$271)</f>
        <v>17839465168</v>
      </c>
      <c r="K26" s="193">
        <f t="shared" si="0"/>
        <v>5437.510243034124</v>
      </c>
      <c r="L26" s="194">
        <f>_xlfn.XLOOKUP(C26,'[5]Tourism Receipts'!$B$6:$B$271,'[5]Tourism Receipts'!$BK$6:$BK$271)</f>
        <v>1147000000</v>
      </c>
      <c r="M26" s="195">
        <f t="shared" si="1"/>
        <v>6.4295649516301692E-2</v>
      </c>
      <c r="N26">
        <v>5.60309221594256</v>
      </c>
      <c r="O26" s="188">
        <v>1672559</v>
      </c>
      <c r="P26" s="188">
        <v>114.83</v>
      </c>
      <c r="Q26">
        <v>57.287542199684601</v>
      </c>
      <c r="R26">
        <v>40.570120121172202</v>
      </c>
      <c r="S26">
        <v>3446.7646878067499</v>
      </c>
      <c r="T26">
        <v>64.078417968750003</v>
      </c>
    </row>
    <row r="27" spans="1:20" ht="25" x14ac:dyDescent="0.2">
      <c r="A27" s="161" t="s">
        <v>154</v>
      </c>
      <c r="B27" s="161">
        <v>72</v>
      </c>
      <c r="C27" t="str">
        <f>_xlfn.XLOOKUP(B27,'Country Code M49'!$B$2:$B$250,'Country Code M49'!$C$2:$C$250,,0)</f>
        <v>BWA</v>
      </c>
      <c r="D27" s="161" t="s">
        <v>814</v>
      </c>
      <c r="E27" s="162">
        <v>15.640228594822497</v>
      </c>
      <c r="F27" s="162">
        <v>36030.394613892582</v>
      </c>
      <c r="G27" s="160" t="s">
        <v>872</v>
      </c>
      <c r="H27" s="188">
        <f>_xlfn.XLOOKUP(D27,'[1]World Population'!$B$2:$B$267,'[1]World Population'!$BN$2:$BN$267,0)</f>
        <v>2351625</v>
      </c>
      <c r="I27" s="188">
        <f>_xlfn.XLOOKUP(C27,'[4]Access to Electricity'!$B$6:$B$271,'[4]Access to Electricity'!$BM$6:$BM$271)</f>
        <v>71.994758605957003</v>
      </c>
      <c r="J27" s="194">
        <f>_xlfn.XLOOKUP(C27,'[2]GDP 2015 Constant'!$B$6:$B$271,'[2]GDP 2015 Constant'!$BM$6:$BM$271)</f>
        <v>14826671812</v>
      </c>
      <c r="K27" s="193">
        <f t="shared" si="0"/>
        <v>6304.8623024504332</v>
      </c>
      <c r="L27" s="194">
        <f>_xlfn.XLOOKUP(C27,'[5]Tourism Receipts'!$B$6:$B$271,'[5]Tourism Receipts'!$BK$6:$BK$271)</f>
        <v>584200012.20000005</v>
      </c>
      <c r="M27" s="195">
        <f t="shared" si="1"/>
        <v>3.9401965566350262E-2</v>
      </c>
      <c r="N27">
        <v>2.0886547867047298</v>
      </c>
      <c r="O27" s="188">
        <v>684864</v>
      </c>
      <c r="P27" s="188">
        <v>102.44</v>
      </c>
      <c r="Q27">
        <v>43.527644930917397</v>
      </c>
      <c r="R27">
        <v>37.154310871440401</v>
      </c>
      <c r="S27">
        <v>1815.5537223399799</v>
      </c>
      <c r="T27">
        <v>4.1494627071092101</v>
      </c>
    </row>
    <row r="28" spans="1:20" ht="25" x14ac:dyDescent="0.2">
      <c r="A28" s="161" t="s">
        <v>150</v>
      </c>
      <c r="B28" s="161">
        <v>76</v>
      </c>
      <c r="C28" t="str">
        <f>_xlfn.XLOOKUP(B28,'Country Code M49'!$B$2:$B$250,'Country Code M49'!$C$2:$C$250,,0)</f>
        <v>BRA</v>
      </c>
      <c r="D28" s="161" t="s">
        <v>97</v>
      </c>
      <c r="E28" s="162">
        <v>15.640228594822497</v>
      </c>
      <c r="F28" s="162">
        <v>3300862.4248229908</v>
      </c>
      <c r="G28" s="160" t="s">
        <v>872</v>
      </c>
      <c r="H28" s="188">
        <f>_xlfn.XLOOKUP(D28,'[1]World Population'!$B$2:$B$267,'[1]World Population'!$BN$2:$BN$267,0)</f>
        <v>212559409</v>
      </c>
      <c r="I28" s="188">
        <f>_xlfn.XLOOKUP(C28,'[4]Access to Electricity'!$B$6:$B$271,'[4]Access to Electricity'!$BM$6:$BM$271)</f>
        <v>100</v>
      </c>
      <c r="J28" s="194">
        <f>_xlfn.XLOOKUP(C28,'[2]GDP 2015 Constant'!$B$6:$B$271,'[2]GDP 2015 Constant'!$BM$6:$BM$271)</f>
        <v>1749100000000</v>
      </c>
      <c r="K28" s="193">
        <f t="shared" si="0"/>
        <v>8228.7582950515261</v>
      </c>
      <c r="L28" s="194">
        <f>_xlfn.XLOOKUP(C28,'[5]Tourism Receipts'!$B$6:$B$271,'[5]Tourism Receipts'!$BK$6:$BK$271)</f>
        <v>6324000000</v>
      </c>
      <c r="M28" s="195">
        <f t="shared" si="1"/>
        <v>3.6155737236292949E-3</v>
      </c>
      <c r="N28">
        <v>4.2050140951174599</v>
      </c>
      <c r="O28" s="188">
        <v>27477555</v>
      </c>
      <c r="P28" s="188">
        <v>111.85</v>
      </c>
      <c r="Q28">
        <v>14.241203878622001</v>
      </c>
      <c r="R28">
        <v>14.122919190471</v>
      </c>
      <c r="S28">
        <v>2619.9604994470801</v>
      </c>
      <c r="T28">
        <v>25.431424814611901</v>
      </c>
    </row>
    <row r="29" spans="1:20" x14ac:dyDescent="0.2">
      <c r="A29" s="161" t="s">
        <v>150</v>
      </c>
      <c r="B29" s="161">
        <v>92</v>
      </c>
      <c r="C29" t="str">
        <f>_xlfn.XLOOKUP(B29,'Country Code M49'!$B$2:$B$250,'Country Code M49'!$C$2:$C$250,,0)</f>
        <v>VGB</v>
      </c>
      <c r="D29" s="161" t="s">
        <v>714</v>
      </c>
      <c r="E29" s="162">
        <v>12.811309449374059</v>
      </c>
      <c r="F29" s="162">
        <v>384.33928348122174</v>
      </c>
      <c r="G29" s="160" t="s">
        <v>877</v>
      </c>
      <c r="H29" s="188">
        <f>_xlfn.XLOOKUP(D29,'[1]World Population'!$B$2:$B$267,'[1]World Population'!$BN$2:$BN$267,0)</f>
        <v>30237</v>
      </c>
      <c r="I29" s="188">
        <f>_xlfn.XLOOKUP(C29,'[4]Access to Electricity'!$B$6:$B$271,'[4]Access to Electricity'!$BM$6:$BM$271)</f>
        <v>100</v>
      </c>
      <c r="J29" s="194" t="e">
        <f>_xlfn.XLOOKUP(C29,'[2]GDP 2015 Constant'!$B$6:$B$271,'[2]GDP 2015 Constant'!$BM$6:$BM$271)</f>
        <v>#REF!</v>
      </c>
      <c r="K29" s="193" t="e">
        <f t="shared" si="0"/>
        <v>#REF!</v>
      </c>
      <c r="L29" s="194">
        <f>_xlfn.XLOOKUP(C29,'[5]Tourism Receipts'!$B$6:$B$271,'[5]Tourism Receipts'!$BK$6:$BK$271)</f>
        <v>0</v>
      </c>
      <c r="M29" s="195" t="e">
        <f t="shared" si="1"/>
        <v>#REF!</v>
      </c>
      <c r="N29">
        <v>0</v>
      </c>
      <c r="O29" s="188">
        <v>15568</v>
      </c>
      <c r="P29" s="188">
        <v>0</v>
      </c>
      <c r="Q29">
        <v>0</v>
      </c>
      <c r="R29">
        <v>0</v>
      </c>
      <c r="S29">
        <v>0</v>
      </c>
      <c r="T29">
        <v>201.58</v>
      </c>
    </row>
    <row r="30" spans="1:20" x14ac:dyDescent="0.2">
      <c r="A30" s="161" t="s">
        <v>157</v>
      </c>
      <c r="B30" s="161">
        <v>96</v>
      </c>
      <c r="C30" t="str">
        <f>_xlfn.XLOOKUP(B30,'Country Code M49'!$B$2:$B$250,'Country Code M49'!$C$2:$C$250,,0)</f>
        <v>BRN</v>
      </c>
      <c r="D30" s="161" t="s">
        <v>789</v>
      </c>
      <c r="E30" s="162">
        <v>12.811309449374059</v>
      </c>
      <c r="F30" s="162">
        <v>5551.1403844137794</v>
      </c>
      <c r="G30" s="160" t="s">
        <v>877</v>
      </c>
      <c r="H30" s="188">
        <f>_xlfn.XLOOKUP(D30,'[1]World Population'!$B$2:$B$267,'[1]World Population'!$BN$2:$BN$267,0)</f>
        <v>437483</v>
      </c>
      <c r="I30" s="188">
        <f>_xlfn.XLOOKUP(C30,'[4]Access to Electricity'!$B$6:$B$271,'[4]Access to Electricity'!$BM$6:$BM$271)</f>
        <v>100</v>
      </c>
      <c r="J30" s="194">
        <f>_xlfn.XLOOKUP(C30,'[2]GDP 2015 Constant'!$B$6:$B$271,'[2]GDP 2015 Constant'!$BM$6:$BM$271)</f>
        <v>13429361906</v>
      </c>
      <c r="K30" s="193">
        <f t="shared" si="0"/>
        <v>30696.877149512096</v>
      </c>
      <c r="L30" s="194">
        <f>_xlfn.XLOOKUP(C30,'[5]Tourism Receipts'!$B$6:$B$271,'[5]Tourism Receipts'!$BK$6:$BK$271)</f>
        <v>190000000</v>
      </c>
      <c r="M30" s="195">
        <f t="shared" si="1"/>
        <v>1.414810333729344E-2</v>
      </c>
      <c r="N30">
        <v>0.98605513011851498</v>
      </c>
      <c r="O30" s="188">
        <v>95153</v>
      </c>
      <c r="P30" s="188">
        <v>105.88</v>
      </c>
      <c r="Q30">
        <v>41.964043494891001</v>
      </c>
      <c r="R30">
        <v>57.946040538108001</v>
      </c>
      <c r="S30">
        <v>10290.9380200987</v>
      </c>
      <c r="T30">
        <v>83.013851992409897</v>
      </c>
    </row>
    <row r="31" spans="1:20" ht="25" x14ac:dyDescent="0.2">
      <c r="A31" s="161" t="s">
        <v>156</v>
      </c>
      <c r="B31" s="161">
        <v>100</v>
      </c>
      <c r="C31" t="str">
        <f>_xlfn.XLOOKUP(B31,'Country Code M49'!$B$2:$B$250,'Country Code M49'!$C$2:$C$250,,0)</f>
        <v>BGR</v>
      </c>
      <c r="D31" s="161" t="s">
        <v>701</v>
      </c>
      <c r="E31" s="162">
        <v>15.640228594822497</v>
      </c>
      <c r="F31" s="162">
        <v>109483.16418661697</v>
      </c>
      <c r="G31" s="160" t="s">
        <v>872</v>
      </c>
      <c r="H31" s="188">
        <f>_xlfn.XLOOKUP(D31,'[1]World Population'!$B$2:$B$267,'[1]World Population'!$BN$2:$BN$267,0)</f>
        <v>6934015</v>
      </c>
      <c r="I31" s="188">
        <f>_xlfn.XLOOKUP(C31,'[4]Access to Electricity'!$B$6:$B$271,'[4]Access to Electricity'!$BM$6:$BM$271)</f>
        <v>99.699996948242202</v>
      </c>
      <c r="J31" s="194">
        <f>_xlfn.XLOOKUP(C31,'[2]GDP 2015 Constant'!$B$6:$B$271,'[2]GDP 2015 Constant'!$BM$6:$BM$271)</f>
        <v>54923717978</v>
      </c>
      <c r="K31" s="193">
        <f t="shared" si="0"/>
        <v>7920.9113303043041</v>
      </c>
      <c r="L31" s="194">
        <f>_xlfn.XLOOKUP(C31,'[5]Tourism Receipts'!$B$6:$B$271,'[5]Tourism Receipts'!$BK$6:$BK$271)</f>
        <v>5061000000</v>
      </c>
      <c r="M31" s="195">
        <f t="shared" si="1"/>
        <v>9.2145983307743512E-2</v>
      </c>
      <c r="N31">
        <v>3.2413816852813602</v>
      </c>
      <c r="O31" s="188">
        <v>1685936</v>
      </c>
      <c r="P31" s="188">
        <v>90.3</v>
      </c>
      <c r="Q31">
        <v>63.155915001457203</v>
      </c>
      <c r="R31">
        <v>63.934343346753103</v>
      </c>
      <c r="S31">
        <v>4708.9274575723102</v>
      </c>
      <c r="T31">
        <v>63.8726510685335</v>
      </c>
    </row>
    <row r="32" spans="1:20" ht="25" x14ac:dyDescent="0.2">
      <c r="A32" s="161" t="s">
        <v>154</v>
      </c>
      <c r="B32" s="161">
        <v>854</v>
      </c>
      <c r="C32" t="str">
        <f>_xlfn.XLOOKUP(B32,'Country Code M49'!$B$2:$B$250,'Country Code M49'!$C$2:$C$250,,0)</f>
        <v>BFA</v>
      </c>
      <c r="D32" s="161" t="s">
        <v>815</v>
      </c>
      <c r="E32" s="162">
        <v>15.640228594822497</v>
      </c>
      <c r="F32" s="162">
        <v>317831.34136682586</v>
      </c>
      <c r="G32" s="160" t="s">
        <v>872</v>
      </c>
      <c r="H32" s="188">
        <f>_xlfn.XLOOKUP(D32,'[1]World Population'!$B$2:$B$267,'[1]World Population'!$BN$2:$BN$267,0)</f>
        <v>20903278</v>
      </c>
      <c r="I32" s="188">
        <f>_xlfn.XLOOKUP(C32,'[4]Access to Electricity'!$B$6:$B$271,'[4]Access to Electricity'!$BM$6:$BM$271)</f>
        <v>18.957239151001001</v>
      </c>
      <c r="J32" s="194">
        <f>_xlfn.XLOOKUP(C32,'[2]GDP 2015 Constant'!$B$6:$B$271,'[2]GDP 2015 Constant'!$BM$6:$BM$271)</f>
        <v>15291209207</v>
      </c>
      <c r="K32" s="193">
        <f t="shared" si="0"/>
        <v>731.52207070106419</v>
      </c>
      <c r="L32" s="194">
        <f>_xlfn.XLOOKUP(C32,'[5]Tourism Receipts'!$B$6:$B$271,'[5]Tourism Receipts'!$BK$6:$BK$271)</f>
        <v>179000000</v>
      </c>
      <c r="M32" s="195">
        <f t="shared" si="1"/>
        <v>1.1706072265237042E-2</v>
      </c>
      <c r="N32">
        <v>18.376102905702599</v>
      </c>
      <c r="O32" s="188">
        <v>14505412</v>
      </c>
      <c r="P32" s="188">
        <v>108.14</v>
      </c>
      <c r="Q32">
        <v>32.516719481726902</v>
      </c>
      <c r="R32">
        <v>27.6161121175574</v>
      </c>
      <c r="S32">
        <v>0</v>
      </c>
      <c r="T32">
        <v>76.400869883040897</v>
      </c>
    </row>
    <row r="33" spans="1:20" ht="25" x14ac:dyDescent="0.2">
      <c r="A33" s="161" t="s">
        <v>154</v>
      </c>
      <c r="B33" s="161">
        <v>108</v>
      </c>
      <c r="C33" t="str">
        <f>_xlfn.XLOOKUP(B33,'Country Code M49'!$B$2:$B$250,'Country Code M49'!$C$2:$C$250,,0)</f>
        <v>BDI</v>
      </c>
      <c r="D33" s="161" t="s">
        <v>816</v>
      </c>
      <c r="E33" s="162">
        <v>15.640228594822497</v>
      </c>
      <c r="F33" s="162">
        <v>180341.21983546027</v>
      </c>
      <c r="G33" s="160" t="s">
        <v>872</v>
      </c>
      <c r="H33" s="188">
        <f>_xlfn.XLOOKUP(D33,'[1]World Population'!$B$2:$B$267,'[1]World Population'!$BN$2:$BN$267,0)</f>
        <v>11890781</v>
      </c>
      <c r="I33" s="188">
        <f>_xlfn.XLOOKUP(C33,'[4]Access to Electricity'!$B$6:$B$271,'[4]Access to Electricity'!$BM$6:$BM$271)</f>
        <v>11.7355556488037</v>
      </c>
      <c r="J33" s="194">
        <f>_xlfn.XLOOKUP(C33,'[2]GDP 2015 Constant'!$B$6:$B$271,'[2]GDP 2015 Constant'!$BM$6:$BM$271)</f>
        <v>3218331132</v>
      </c>
      <c r="K33" s="193">
        <f t="shared" si="0"/>
        <v>270.65767437815902</v>
      </c>
      <c r="L33" s="194">
        <f>_xlfn.XLOOKUP(C33,'[5]Tourism Receipts'!$B$6:$B$271,'[5]Tourism Receipts'!$BK$6:$BK$271)</f>
        <v>0</v>
      </c>
      <c r="M33" s="195">
        <f t="shared" si="1"/>
        <v>0</v>
      </c>
      <c r="N33">
        <v>28.8443900468367</v>
      </c>
      <c r="O33" s="188">
        <v>10260793</v>
      </c>
      <c r="P33" s="188">
        <v>143.53</v>
      </c>
      <c r="Q33">
        <v>20.914048150470499</v>
      </c>
      <c r="R33">
        <v>5.1720368384995297</v>
      </c>
      <c r="S33">
        <v>0</v>
      </c>
      <c r="T33">
        <v>463.03664330218101</v>
      </c>
    </row>
    <row r="34" spans="1:20" ht="25" x14ac:dyDescent="0.2">
      <c r="A34" s="161" t="s">
        <v>154</v>
      </c>
      <c r="B34" s="161">
        <v>132</v>
      </c>
      <c r="C34" t="str">
        <f>_xlfn.XLOOKUP(B34,'Country Code M49'!$B$2:$B$250,'Country Code M49'!$C$2:$C$250,,0)</f>
        <v>CPV</v>
      </c>
      <c r="D34" s="161" t="s">
        <v>817</v>
      </c>
      <c r="E34" s="162">
        <v>15.640228594822497</v>
      </c>
      <c r="F34" s="162">
        <v>8600.5617042928916</v>
      </c>
      <c r="G34" s="160" t="s">
        <v>872</v>
      </c>
      <c r="H34" s="188">
        <f>_xlfn.XLOOKUP(D34,'[1]World Population'!$B$2:$B$267,'[1]World Population'!$BN$2:$BN$267,0)</f>
        <v>555988</v>
      </c>
      <c r="I34" s="188">
        <f>_xlfn.XLOOKUP(C34,'[4]Access to Electricity'!$B$6:$B$271,'[4]Access to Electricity'!$BM$6:$BM$271)</f>
        <v>94.1617431640625</v>
      </c>
      <c r="J34" s="194">
        <f>_xlfn.XLOOKUP(C34,'[2]GDP 2015 Constant'!$B$6:$B$271,'[2]GDP 2015 Constant'!$BM$6:$BM$271)</f>
        <v>1632003278</v>
      </c>
      <c r="K34" s="193">
        <f t="shared" si="0"/>
        <v>2935.3210464974063</v>
      </c>
      <c r="L34" s="194">
        <f>_xlfn.XLOOKUP(C34,'[5]Tourism Receipts'!$B$6:$B$271,'[5]Tourism Receipts'!$BK$6:$BK$271)</f>
        <v>520000000</v>
      </c>
      <c r="M34" s="195">
        <f t="shared" si="1"/>
        <v>0.31862681099345191</v>
      </c>
      <c r="N34">
        <v>4.6329060379078797</v>
      </c>
      <c r="O34" s="188">
        <v>185411</v>
      </c>
      <c r="P34" s="188">
        <v>80.510000000000005</v>
      </c>
      <c r="Q34">
        <v>67.998422800026404</v>
      </c>
      <c r="R34">
        <v>50.649292015538499</v>
      </c>
      <c r="S34">
        <v>0</v>
      </c>
      <c r="T34">
        <v>137.962282878412</v>
      </c>
    </row>
    <row r="35" spans="1:20" ht="25" x14ac:dyDescent="0.2">
      <c r="A35" s="161" t="s">
        <v>157</v>
      </c>
      <c r="B35" s="161">
        <v>116</v>
      </c>
      <c r="C35" t="str">
        <f>_xlfn.XLOOKUP(B35,'Country Code M49'!$B$2:$B$250,'Country Code M49'!$C$2:$C$250,,0)</f>
        <v>KHM</v>
      </c>
      <c r="D35" s="161" t="s">
        <v>790</v>
      </c>
      <c r="E35" s="162">
        <v>15.640228594822497</v>
      </c>
      <c r="F35" s="162">
        <v>257852.62872854111</v>
      </c>
      <c r="G35" s="160" t="s">
        <v>872</v>
      </c>
      <c r="H35" s="188">
        <f>_xlfn.XLOOKUP(D35,'[1]World Population'!$B$2:$B$267,'[1]World Population'!$BN$2:$BN$267,0)</f>
        <v>16718971</v>
      </c>
      <c r="I35" s="188">
        <f>_xlfn.XLOOKUP(C35,'[4]Access to Electricity'!$B$6:$B$271,'[4]Access to Electricity'!$BM$6:$BM$271)</f>
        <v>86.400001525878906</v>
      </c>
      <c r="J35" s="194">
        <f>_xlfn.XLOOKUP(C35,'[2]GDP 2015 Constant'!$B$6:$B$271,'[2]GDP 2015 Constant'!$BM$6:$BM$271)</f>
        <v>23024448759</v>
      </c>
      <c r="K35" s="193">
        <f t="shared" si="0"/>
        <v>1377.1450862017764</v>
      </c>
      <c r="L35" s="194">
        <f>_xlfn.XLOOKUP(C35,'[5]Tourism Receipts'!$B$6:$B$271,'[5]Tourism Receipts'!$BK$6:$BK$271)</f>
        <v>4832000000</v>
      </c>
      <c r="M35" s="195">
        <f t="shared" si="1"/>
        <v>0.20986387342329857</v>
      </c>
      <c r="N35">
        <v>20.711870688426099</v>
      </c>
      <c r="O35" s="188">
        <v>12667630</v>
      </c>
      <c r="P35" s="188">
        <v>107.27</v>
      </c>
      <c r="Q35">
        <v>63.3028853207447</v>
      </c>
      <c r="R35">
        <v>61.091296522819697</v>
      </c>
      <c r="S35">
        <v>271.36720493612</v>
      </c>
      <c r="T35">
        <v>94.714315658282302</v>
      </c>
    </row>
    <row r="36" spans="1:20" ht="25" x14ac:dyDescent="0.2">
      <c r="A36" s="161" t="s">
        <v>154</v>
      </c>
      <c r="B36" s="161">
        <v>120</v>
      </c>
      <c r="C36" t="str">
        <f>_xlfn.XLOOKUP(B36,'Country Code M49'!$B$2:$B$250,'Country Code M49'!$C$2:$C$250,,0)</f>
        <v>CMR</v>
      </c>
      <c r="D36" s="161" t="s">
        <v>818</v>
      </c>
      <c r="E36" s="162">
        <v>15.640228594822497</v>
      </c>
      <c r="F36" s="162">
        <v>404712.81121106487</v>
      </c>
      <c r="G36" s="160" t="s">
        <v>872</v>
      </c>
      <c r="H36" s="188">
        <f>_xlfn.XLOOKUP(D36,'[1]World Population'!$B$2:$B$267,'[1]World Population'!$BN$2:$BN$267,0)</f>
        <v>26545864</v>
      </c>
      <c r="I36" s="188">
        <f>_xlfn.XLOOKUP(C36,'[4]Access to Electricity'!$B$6:$B$271,'[4]Access to Electricity'!$BM$6:$BM$271)</f>
        <v>64.721366882324205</v>
      </c>
      <c r="J36" s="194">
        <f>_xlfn.XLOOKUP(C36,'[2]GDP 2015 Constant'!$B$6:$B$271,'[2]GDP 2015 Constant'!$BM$6:$BM$271)</f>
        <v>37686544900</v>
      </c>
      <c r="K36" s="193">
        <f t="shared" si="0"/>
        <v>1419.6767112194955</v>
      </c>
      <c r="L36" s="194">
        <f>_xlfn.XLOOKUP(C36,'[5]Tourism Receipts'!$B$6:$B$271,'[5]Tourism Receipts'!$BK$6:$BK$271)</f>
        <v>633000000</v>
      </c>
      <c r="M36" s="195">
        <f t="shared" si="1"/>
        <v>1.6796445566438754E-2</v>
      </c>
      <c r="N36">
        <v>16.802283564440099</v>
      </c>
      <c r="O36" s="188">
        <v>11266065</v>
      </c>
      <c r="P36" s="188">
        <v>103.11</v>
      </c>
      <c r="Q36">
        <v>21.851349408009899</v>
      </c>
      <c r="R36">
        <v>19.8500907473186</v>
      </c>
      <c r="S36">
        <v>275.19797434539402</v>
      </c>
      <c r="T36">
        <v>56.156764189460802</v>
      </c>
    </row>
    <row r="37" spans="1:20" x14ac:dyDescent="0.2">
      <c r="A37" s="161" t="s">
        <v>151</v>
      </c>
      <c r="B37" s="161">
        <v>124</v>
      </c>
      <c r="C37" t="str">
        <f>_xlfn.XLOOKUP(B37,'Country Code M49'!$B$2:$B$250,'Country Code M49'!$C$2:$C$250,,0)</f>
        <v>CAN</v>
      </c>
      <c r="D37" s="161" t="s">
        <v>98</v>
      </c>
      <c r="E37" s="162">
        <v>12.811309449374059</v>
      </c>
      <c r="F37" s="162">
        <v>479283.89781053294</v>
      </c>
      <c r="G37" s="160" t="s">
        <v>877</v>
      </c>
      <c r="H37" s="188">
        <f>_xlfn.XLOOKUP(D37,'[1]World Population'!$B$2:$B$267,'[1]World Population'!$BN$2:$BN$267,0)</f>
        <v>38037204</v>
      </c>
      <c r="I37" s="188">
        <f>_xlfn.XLOOKUP(C37,'[4]Access to Electricity'!$B$6:$B$271,'[4]Access to Electricity'!$BM$6:$BM$271)</f>
        <v>100</v>
      </c>
      <c r="J37" s="194">
        <f>_xlfn.XLOOKUP(C37,'[2]GDP 2015 Constant'!$B$6:$B$271,'[2]GDP 2015 Constant'!$BM$6:$BM$271)</f>
        <v>1607400000000</v>
      </c>
      <c r="K37" s="193">
        <f t="shared" si="0"/>
        <v>42258.626580439508</v>
      </c>
      <c r="L37" s="194">
        <f>_xlfn.XLOOKUP(C37,'[5]Tourism Receipts'!$B$6:$B$271,'[5]Tourism Receipts'!$BK$6:$BK$271)</f>
        <v>0</v>
      </c>
      <c r="M37" s="195">
        <f t="shared" si="1"/>
        <v>0</v>
      </c>
      <c r="N37">
        <v>0</v>
      </c>
      <c r="O37" s="188">
        <v>7013300</v>
      </c>
      <c r="P37" s="188">
        <v>113.66</v>
      </c>
      <c r="Q37">
        <v>34.167534414708399</v>
      </c>
      <c r="R37">
        <v>31.908532622851101</v>
      </c>
      <c r="S37">
        <v>15588.4871464315</v>
      </c>
      <c r="T37">
        <v>4.2425767852422398</v>
      </c>
    </row>
    <row r="38" spans="1:20" x14ac:dyDescent="0.2">
      <c r="A38" s="161" t="s">
        <v>150</v>
      </c>
      <c r="B38" s="161">
        <v>136</v>
      </c>
      <c r="C38" t="str">
        <f>_xlfn.XLOOKUP(B38,'Country Code M49'!$B$2:$B$250,'Country Code M49'!$C$2:$C$250,,0)</f>
        <v>CYM</v>
      </c>
      <c r="D38" s="161" t="s">
        <v>715</v>
      </c>
      <c r="E38" s="162">
        <v>12.811309449374059</v>
      </c>
      <c r="F38" s="162">
        <v>831.45398326437646</v>
      </c>
      <c r="G38" s="160" t="s">
        <v>877</v>
      </c>
      <c r="H38" s="188">
        <f>_xlfn.XLOOKUP(D38,'[1]World Population'!$B$2:$B$267,'[1]World Population'!$BN$2:$BN$267,0)</f>
        <v>65720</v>
      </c>
      <c r="I38" s="188">
        <f>_xlfn.XLOOKUP(C38,'[4]Access to Electricity'!$B$6:$B$271,'[4]Access to Electricity'!$BM$6:$BM$271)</f>
        <v>100</v>
      </c>
      <c r="J38" s="194">
        <f>_xlfn.XLOOKUP(C38,'[2]GDP 2015 Constant'!$B$6:$B$271,'[2]GDP 2015 Constant'!$BM$6:$BM$271)</f>
        <v>5123472741</v>
      </c>
      <c r="K38" s="193">
        <f t="shared" si="0"/>
        <v>77959.110483870973</v>
      </c>
      <c r="L38" s="194">
        <f>_xlfn.XLOOKUP(C38,'[5]Tourism Receipts'!$B$6:$B$271,'[5]Tourism Receipts'!$BK$6:$BK$271)</f>
        <v>911000000</v>
      </c>
      <c r="M38" s="195">
        <f t="shared" si="1"/>
        <v>0.17780908498054993</v>
      </c>
      <c r="N38">
        <v>0.41420543024258799</v>
      </c>
      <c r="O38" s="188">
        <v>0</v>
      </c>
      <c r="P38" s="188">
        <v>0</v>
      </c>
      <c r="Q38">
        <v>45.529273094847497</v>
      </c>
      <c r="R38">
        <v>69.453743444260695</v>
      </c>
      <c r="S38">
        <v>0</v>
      </c>
      <c r="T38">
        <v>273.83333333333297</v>
      </c>
    </row>
    <row r="39" spans="1:20" ht="25" x14ac:dyDescent="0.2">
      <c r="A39" s="161" t="s">
        <v>154</v>
      </c>
      <c r="B39" s="161">
        <v>140</v>
      </c>
      <c r="C39" t="str">
        <f>_xlfn.XLOOKUP(B39,'Country Code M49'!$B$2:$B$250,'Country Code M49'!$C$2:$C$250,,0)</f>
        <v>CAF</v>
      </c>
      <c r="D39" s="161" t="s">
        <v>819</v>
      </c>
      <c r="E39" s="162">
        <v>15.640228594822497</v>
      </c>
      <c r="F39" s="162">
        <v>74216.012728151705</v>
      </c>
      <c r="G39" s="160" t="s">
        <v>872</v>
      </c>
      <c r="H39" s="188">
        <f>_xlfn.XLOOKUP(D39,'[1]World Population'!$B$2:$B$267,'[1]World Population'!$BN$2:$BN$267,0)</f>
        <v>4829764</v>
      </c>
      <c r="I39" s="188">
        <f>_xlfn.XLOOKUP(C39,'[4]Access to Electricity'!$B$6:$B$271,'[4]Access to Electricity'!$BM$6:$BM$271)</f>
        <v>15.465084075927701</v>
      </c>
      <c r="J39" s="194">
        <f>_xlfn.XLOOKUP(C39,'[2]GDP 2015 Constant'!$B$6:$B$271,'[2]GDP 2015 Constant'!$BM$6:$BM$271)</f>
        <v>2004791523</v>
      </c>
      <c r="K39" s="193">
        <f t="shared" si="0"/>
        <v>415.09099057428062</v>
      </c>
      <c r="L39" s="194">
        <f>_xlfn.XLOOKUP(C39,'[5]Tourism Receipts'!$B$6:$B$271,'[5]Tourism Receipts'!$BK$6:$BK$271)</f>
        <v>0</v>
      </c>
      <c r="M39" s="195">
        <f t="shared" si="1"/>
        <v>0</v>
      </c>
      <c r="N39">
        <v>28.341832464943799</v>
      </c>
      <c r="O39" s="188">
        <v>2791700</v>
      </c>
      <c r="P39" s="188">
        <v>105.26</v>
      </c>
      <c r="Q39">
        <v>33.720170001661799</v>
      </c>
      <c r="R39">
        <v>15.7553800018083</v>
      </c>
      <c r="S39">
        <v>0</v>
      </c>
      <c r="T39">
        <v>7.7526790587177796</v>
      </c>
    </row>
    <row r="40" spans="1:20" ht="25" x14ac:dyDescent="0.2">
      <c r="A40" s="161" t="s">
        <v>154</v>
      </c>
      <c r="B40" s="161">
        <v>148</v>
      </c>
      <c r="C40" t="str">
        <f>_xlfn.XLOOKUP(B40,'Country Code M49'!$B$2:$B$250,'Country Code M49'!$C$2:$C$250,,0)</f>
        <v>TCD</v>
      </c>
      <c r="D40" s="161" t="s">
        <v>820</v>
      </c>
      <c r="E40" s="162">
        <v>15.640228594822497</v>
      </c>
      <c r="F40" s="162">
        <v>249413.16137877488</v>
      </c>
      <c r="G40" s="160" t="s">
        <v>872</v>
      </c>
      <c r="H40" s="188">
        <f>_xlfn.XLOOKUP(D40,'[1]World Population'!$B$2:$B$267,'[1]World Population'!$BN$2:$BN$267,0)</f>
        <v>16425859</v>
      </c>
      <c r="I40" s="188">
        <f>_xlfn.XLOOKUP(C40,'[4]Access to Electricity'!$B$6:$B$271,'[4]Access to Electricity'!$BM$6:$BM$271)</f>
        <v>11.080117225646999</v>
      </c>
      <c r="J40" s="194">
        <f>_xlfn.XLOOKUP(C40,'[2]GDP 2015 Constant'!$B$6:$B$271,'[2]GDP 2015 Constant'!$BM$6:$BM$271)</f>
        <v>10357639641</v>
      </c>
      <c r="K40" s="193">
        <f t="shared" si="0"/>
        <v>630.56913133127466</v>
      </c>
      <c r="L40" s="194">
        <f>_xlfn.XLOOKUP(C40,'[5]Tourism Receipts'!$B$6:$B$271,'[5]Tourism Receipts'!$BK$6:$BK$271)</f>
        <v>0</v>
      </c>
      <c r="M40" s="195">
        <f t="shared" si="1"/>
        <v>0</v>
      </c>
      <c r="N40">
        <v>42.594449124090801</v>
      </c>
      <c r="O40" s="188">
        <v>12562497</v>
      </c>
      <c r="P40" s="188">
        <v>120.7</v>
      </c>
      <c r="Q40">
        <v>38.014071283580499</v>
      </c>
      <c r="R40">
        <v>36.742253436382597</v>
      </c>
      <c r="S40">
        <v>0</v>
      </c>
      <c r="T40">
        <v>13.044678367217299</v>
      </c>
    </row>
    <row r="41" spans="1:20" x14ac:dyDescent="0.2">
      <c r="A41" s="161" t="s">
        <v>150</v>
      </c>
      <c r="B41" s="161">
        <v>152</v>
      </c>
      <c r="C41" t="str">
        <f>_xlfn.XLOOKUP(B41,'Country Code M49'!$B$2:$B$250,'Country Code M49'!$C$2:$C$250,,0)</f>
        <v>CHL</v>
      </c>
      <c r="D41" s="161" t="s">
        <v>716</v>
      </c>
      <c r="E41" s="162">
        <v>12.811309449374059</v>
      </c>
      <c r="F41" s="162">
        <v>242799.93668453718</v>
      </c>
      <c r="G41" s="160" t="s">
        <v>877</v>
      </c>
      <c r="H41" s="188">
        <f>_xlfn.XLOOKUP(D41,'[1]World Population'!$B$2:$B$267,'[1]World Population'!$BN$2:$BN$267,0)</f>
        <v>19116209</v>
      </c>
      <c r="I41" s="188">
        <f>_xlfn.XLOOKUP(C41,'[4]Access to Electricity'!$B$6:$B$271,'[4]Access to Electricity'!$BM$6:$BM$271)</f>
        <v>100</v>
      </c>
      <c r="J41" s="194">
        <f>_xlfn.XLOOKUP(C41,'[2]GDP 2015 Constant'!$B$6:$B$271,'[2]GDP 2015 Constant'!$BM$6:$BM$271)</f>
        <v>246413000000</v>
      </c>
      <c r="K41" s="193">
        <f t="shared" si="0"/>
        <v>12890.265010180627</v>
      </c>
      <c r="L41" s="194">
        <f>_xlfn.XLOOKUP(C41,'[5]Tourism Receipts'!$B$6:$B$271,'[5]Tourism Receipts'!$BK$6:$BK$271)</f>
        <v>3911000000</v>
      </c>
      <c r="M41" s="195">
        <f t="shared" si="1"/>
        <v>1.5871727546842091E-2</v>
      </c>
      <c r="N41">
        <v>3.9839672335147398</v>
      </c>
      <c r="O41" s="188">
        <v>2346132</v>
      </c>
      <c r="P41" s="188">
        <v>107.97</v>
      </c>
      <c r="Q41">
        <v>29.648005893694801</v>
      </c>
      <c r="R41">
        <v>27.834131590256899</v>
      </c>
      <c r="S41">
        <v>3879.6734202306502</v>
      </c>
      <c r="T41">
        <v>25.710001721512999</v>
      </c>
    </row>
    <row r="42" spans="1:20" ht="25" x14ac:dyDescent="0.2">
      <c r="A42" s="161" t="s">
        <v>152</v>
      </c>
      <c r="B42" s="161">
        <v>156</v>
      </c>
      <c r="C42" t="str">
        <f>_xlfn.XLOOKUP(B42,'Country Code M49'!$B$2:$B$250,'Country Code M49'!$C$2:$C$250,,0)</f>
        <v>CHN</v>
      </c>
      <c r="D42" s="161" t="s">
        <v>99</v>
      </c>
      <c r="E42" s="162">
        <v>15.640228594822497</v>
      </c>
      <c r="F42" s="162">
        <v>22424704.823530402</v>
      </c>
      <c r="G42" s="160" t="s">
        <v>872</v>
      </c>
      <c r="H42" s="188">
        <f>_xlfn.XLOOKUP(D42,'[1]World Population'!$B$2:$B$267,'[1]World Population'!$BN$2:$BN$267,0)</f>
        <v>1411100000</v>
      </c>
      <c r="I42" s="188">
        <f>_xlfn.XLOOKUP(C42,'[4]Access to Electricity'!$B$6:$B$271,'[4]Access to Electricity'!$BM$6:$BM$271)</f>
        <v>100</v>
      </c>
      <c r="J42" s="194">
        <f>_xlfn.XLOOKUP(C42,'[2]GDP 2015 Constant'!$B$6:$B$271,'[2]GDP 2015 Constant'!$BM$6:$BM$271)</f>
        <v>14616500000000</v>
      </c>
      <c r="K42" s="193">
        <f t="shared" si="0"/>
        <v>10358.231167174545</v>
      </c>
      <c r="L42" s="194">
        <f>_xlfn.XLOOKUP(C42,'[5]Tourism Receipts'!$B$6:$B$271,'[5]Tourism Receipts'!$BK$6:$BK$271)</f>
        <v>0</v>
      </c>
      <c r="M42" s="195">
        <f t="shared" si="1"/>
        <v>0</v>
      </c>
      <c r="N42">
        <v>7.1436902775817996</v>
      </c>
      <c r="O42" s="188">
        <v>544289492</v>
      </c>
      <c r="P42" s="188">
        <v>102.96</v>
      </c>
      <c r="Q42">
        <v>18.453680565723399</v>
      </c>
      <c r="R42">
        <v>18.4099923154801</v>
      </c>
      <c r="S42">
        <v>3905.3175980056299</v>
      </c>
      <c r="T42">
        <v>149.72355255888201</v>
      </c>
    </row>
    <row r="43" spans="1:20" x14ac:dyDescent="0.2">
      <c r="A43" s="161" t="s">
        <v>152</v>
      </c>
      <c r="B43" s="161">
        <v>344</v>
      </c>
      <c r="C43" t="str">
        <f>_xlfn.XLOOKUP(B43,'Country Code M49'!$B$2:$B$250,'Country Code M49'!$C$2:$C$250,,0)</f>
        <v>HKG</v>
      </c>
      <c r="D43" s="161" t="s">
        <v>695</v>
      </c>
      <c r="E43" s="162">
        <v>12.811309449374059</v>
      </c>
      <c r="F43" s="162">
        <v>95267.459327435368</v>
      </c>
      <c r="G43" s="160" t="s">
        <v>877</v>
      </c>
      <c r="H43" s="188">
        <f>_xlfn.XLOOKUP(D43,'[1]World Population'!$B$2:$B$267,'[1]World Population'!$BN$2:$BN$267,0)</f>
        <v>7481000</v>
      </c>
      <c r="I43" s="188">
        <f>_xlfn.XLOOKUP(C43,'[4]Access to Electricity'!$B$6:$B$271,'[4]Access to Electricity'!$BM$6:$BM$271)</f>
        <v>100</v>
      </c>
      <c r="J43" s="194">
        <f>_xlfn.XLOOKUP(C43,'[2]GDP 2015 Constant'!$B$6:$B$271,'[2]GDP 2015 Constant'!$BM$6:$BM$271)</f>
        <v>310237000000</v>
      </c>
      <c r="K43" s="193">
        <f t="shared" si="0"/>
        <v>41469.99064296217</v>
      </c>
      <c r="L43" s="194">
        <f>_xlfn.XLOOKUP(C43,'[5]Tourism Receipts'!$B$6:$B$271,'[5]Tourism Receipts'!$BK$6:$BK$271)</f>
        <v>42313000000</v>
      </c>
      <c r="M43" s="195">
        <f t="shared" si="1"/>
        <v>0.13638927658532027</v>
      </c>
      <c r="N43">
        <v>7.2306274898122705E-2</v>
      </c>
      <c r="O43" s="188">
        <v>0</v>
      </c>
      <c r="P43" s="188">
        <v>220.88</v>
      </c>
      <c r="Q43">
        <v>188.553266542735</v>
      </c>
      <c r="R43">
        <v>177.65620106276501</v>
      </c>
      <c r="S43">
        <v>6083.2699356802004</v>
      </c>
      <c r="T43">
        <v>7124.7619047619</v>
      </c>
    </row>
    <row r="44" spans="1:20" x14ac:dyDescent="0.2">
      <c r="A44" s="161" t="s">
        <v>152</v>
      </c>
      <c r="B44" s="161">
        <v>446</v>
      </c>
      <c r="C44" t="str">
        <f>_xlfn.XLOOKUP(B44,'Country Code M49'!$B$2:$B$250,'Country Code M49'!$C$2:$C$250,,0)</f>
        <v>MAC</v>
      </c>
      <c r="D44" s="161" t="s">
        <v>696</v>
      </c>
      <c r="E44" s="162">
        <v>12.811309449374059</v>
      </c>
      <c r="F44" s="162">
        <v>8204.362571379148</v>
      </c>
      <c r="G44" s="160" t="s">
        <v>877</v>
      </c>
      <c r="H44" s="188">
        <f>_xlfn.XLOOKUP(D44,'[1]World Population'!$B$2:$B$267,'[1]World Population'!$BN$2:$BN$267,0)</f>
        <v>649342</v>
      </c>
      <c r="I44" s="188">
        <f>_xlfn.XLOOKUP(C44,'[4]Access to Electricity'!$B$6:$B$271,'[4]Access to Electricity'!$BM$6:$BM$271)</f>
        <v>100</v>
      </c>
      <c r="J44" s="194">
        <f>_xlfn.XLOOKUP(C44,'[2]GDP 2015 Constant'!$B$6:$B$271,'[2]GDP 2015 Constant'!$BM$6:$BM$271)</f>
        <v>23488188942</v>
      </c>
      <c r="K44" s="193">
        <f t="shared" si="0"/>
        <v>36172.292785619902</v>
      </c>
      <c r="L44" s="194">
        <f>_xlfn.XLOOKUP(C44,'[5]Tourism Receipts'!$B$6:$B$271,'[5]Tourism Receipts'!$BK$6:$BK$271)</f>
        <v>41478000000</v>
      </c>
      <c r="M44" s="195">
        <f t="shared" si="1"/>
        <v>1.7659088192121883</v>
      </c>
      <c r="N44">
        <v>0</v>
      </c>
      <c r="O44" s="188">
        <v>0</v>
      </c>
      <c r="P44" s="188">
        <v>89.39</v>
      </c>
      <c r="Q44">
        <v>33.100745491089697</v>
      </c>
      <c r="R44">
        <v>82.522613516486004</v>
      </c>
      <c r="S44">
        <v>0</v>
      </c>
      <c r="T44">
        <v>19736.838905775101</v>
      </c>
    </row>
    <row r="45" spans="1:20" ht="25" x14ac:dyDescent="0.2">
      <c r="A45" s="161" t="s">
        <v>150</v>
      </c>
      <c r="B45" s="161">
        <v>170</v>
      </c>
      <c r="C45" t="str">
        <f>_xlfn.XLOOKUP(B45,'Country Code M49'!$B$2:$B$250,'Country Code M49'!$C$2:$C$250,,0)</f>
        <v>COL</v>
      </c>
      <c r="D45" s="161" t="s">
        <v>100</v>
      </c>
      <c r="E45" s="162">
        <v>15.640228594822497</v>
      </c>
      <c r="F45" s="162">
        <v>787319.7233262076</v>
      </c>
      <c r="G45" s="160" t="s">
        <v>872</v>
      </c>
      <c r="H45" s="188">
        <f>_xlfn.XLOOKUP(D45,'[1]World Population'!$B$2:$B$267,'[1]World Population'!$BN$2:$BN$267,0)</f>
        <v>50882884</v>
      </c>
      <c r="I45" s="188">
        <f>_xlfn.XLOOKUP(C45,'[4]Access to Electricity'!$B$6:$B$271,'[4]Access to Electricity'!$BM$6:$BM$271)</f>
        <v>100</v>
      </c>
      <c r="J45" s="194">
        <f>_xlfn.XLOOKUP(C45,'[2]GDP 2015 Constant'!$B$6:$B$271,'[2]GDP 2015 Constant'!$BM$6:$BM$271)</f>
        <v>298742000000</v>
      </c>
      <c r="K45" s="193">
        <f t="shared" si="0"/>
        <v>5871.1687804488438</v>
      </c>
      <c r="L45" s="194">
        <f>_xlfn.XLOOKUP(C45,'[5]Tourism Receipts'!$B$6:$B$271,'[5]Tourism Receipts'!$BK$6:$BK$271)</f>
        <v>6655000000</v>
      </c>
      <c r="M45" s="195">
        <f t="shared" si="1"/>
        <v>2.2276747159756579E-2</v>
      </c>
      <c r="N45">
        <v>6.41072082168313</v>
      </c>
      <c r="O45" s="188">
        <v>9451496</v>
      </c>
      <c r="P45" s="188">
        <v>103.02</v>
      </c>
      <c r="Q45">
        <v>20.635033119354201</v>
      </c>
      <c r="R45">
        <v>15.868038654124099</v>
      </c>
      <c r="S45">
        <v>1312.1994929878001</v>
      </c>
      <c r="T45">
        <v>45.861094186570497</v>
      </c>
    </row>
    <row r="46" spans="1:20" ht="25" x14ac:dyDescent="0.2">
      <c r="A46" s="161" t="s">
        <v>154</v>
      </c>
      <c r="B46" s="161">
        <v>174</v>
      </c>
      <c r="C46" t="str">
        <f>_xlfn.XLOOKUP(B46,'Country Code M49'!$B$2:$B$250,'Country Code M49'!$C$2:$C$250,,0)</f>
        <v>COM</v>
      </c>
      <c r="D46" s="161" t="s">
        <v>821</v>
      </c>
      <c r="E46" s="162">
        <v>15.640228594822497</v>
      </c>
      <c r="F46" s="162">
        <v>13308.270511334464</v>
      </c>
      <c r="G46" s="160" t="s">
        <v>872</v>
      </c>
      <c r="H46" s="188">
        <f>_xlfn.XLOOKUP(D46,'[1]World Population'!$B$2:$B$267,'[1]World Population'!$BN$2:$BN$267,0)</f>
        <v>869595</v>
      </c>
      <c r="I46" s="188">
        <f>_xlfn.XLOOKUP(C46,'[4]Access to Electricity'!$B$6:$B$271,'[4]Access to Electricity'!$BM$6:$BM$271)</f>
        <v>86.737136840820298</v>
      </c>
      <c r="J46" s="194">
        <f>_xlfn.XLOOKUP(C46,'[2]GDP 2015 Constant'!$B$6:$B$271,'[2]GDP 2015 Constant'!$BM$6:$BM$271)</f>
        <v>1089641267</v>
      </c>
      <c r="K46" s="193">
        <f t="shared" si="0"/>
        <v>1253.0445402744956</v>
      </c>
      <c r="L46" s="194">
        <f>_xlfn.XLOOKUP(C46,'[5]Tourism Receipts'!$B$6:$B$271,'[5]Tourism Receipts'!$BK$6:$BK$271)</f>
        <v>73699996.950000003</v>
      </c>
      <c r="M46" s="195">
        <f t="shared" si="1"/>
        <v>6.7636936285380242E-2</v>
      </c>
      <c r="N46">
        <v>35.620097987878097</v>
      </c>
      <c r="O46" s="188">
        <v>614108</v>
      </c>
      <c r="P46" s="188">
        <v>104.59</v>
      </c>
      <c r="Q46">
        <v>30.087130352256999</v>
      </c>
      <c r="R46">
        <v>12.7734606325226</v>
      </c>
      <c r="S46">
        <v>0</v>
      </c>
      <c r="T46">
        <v>467.27297152068797</v>
      </c>
    </row>
    <row r="47" spans="1:20" ht="25" x14ac:dyDescent="0.2">
      <c r="A47" s="161" t="s">
        <v>154</v>
      </c>
      <c r="B47" s="161">
        <v>178</v>
      </c>
      <c r="C47" t="str">
        <f>_xlfn.XLOOKUP(B47,'Country Code M49'!$B$2:$B$250,'Country Code M49'!$C$2:$C$250,,0)</f>
        <v>COG</v>
      </c>
      <c r="D47" s="161" t="s">
        <v>822</v>
      </c>
      <c r="E47" s="162">
        <v>15.640228594822497</v>
      </c>
      <c r="F47" s="162">
        <v>84152.249954442435</v>
      </c>
      <c r="G47" s="160" t="s">
        <v>872</v>
      </c>
      <c r="H47" s="188">
        <f>_xlfn.XLOOKUP(D47,'[1]World Population'!$B$2:$B$267,'[1]World Population'!$BN$2:$BN$267,0)</f>
        <v>89561404</v>
      </c>
      <c r="I47" s="188">
        <f>_xlfn.XLOOKUP(C47,'[4]Access to Electricity'!$B$6:$B$271,'[4]Access to Electricity'!$BM$6:$BM$271)</f>
        <v>49.517101287841797</v>
      </c>
      <c r="J47" s="194">
        <f>_xlfn.XLOOKUP(C47,'[2]GDP 2015 Constant'!$B$6:$B$271,'[2]GDP 2015 Constant'!$BM$6:$BM$271)</f>
        <v>9045462978</v>
      </c>
      <c r="K47" s="193">
        <f t="shared" si="0"/>
        <v>100.99733338258073</v>
      </c>
      <c r="L47" s="194">
        <f>_xlfn.XLOOKUP(C47,'[5]Tourism Receipts'!$B$6:$B$271,'[5]Tourism Receipts'!$BK$6:$BK$271)</f>
        <v>0</v>
      </c>
      <c r="M47" s="195">
        <f t="shared" si="1"/>
        <v>0</v>
      </c>
      <c r="N47">
        <v>7.6253804865844597</v>
      </c>
      <c r="O47" s="188">
        <v>1775225</v>
      </c>
      <c r="P47" s="188">
        <v>101.48</v>
      </c>
      <c r="Q47">
        <v>49.006193372719899</v>
      </c>
      <c r="R47">
        <v>73.792287746466101</v>
      </c>
      <c r="S47">
        <v>202.87251436310001</v>
      </c>
      <c r="T47">
        <v>16.1583953147877</v>
      </c>
    </row>
    <row r="48" spans="1:20" ht="25" x14ac:dyDescent="0.2">
      <c r="A48" s="161" t="s">
        <v>150</v>
      </c>
      <c r="B48" s="161">
        <v>188</v>
      </c>
      <c r="C48" t="str">
        <f>_xlfn.XLOOKUP(B48,'Country Code M49'!$B$2:$B$250,'Country Code M49'!$C$2:$C$250,,0)</f>
        <v>CRI</v>
      </c>
      <c r="D48" s="161" t="s">
        <v>717</v>
      </c>
      <c r="E48" s="162">
        <v>15.640228594822497</v>
      </c>
      <c r="F48" s="162">
        <v>78945.617855226039</v>
      </c>
      <c r="G48" s="160" t="s">
        <v>872</v>
      </c>
      <c r="H48" s="188">
        <f>_xlfn.XLOOKUP(D48,'[1]World Population'!$B$2:$B$267,'[1]World Population'!$BN$2:$BN$267,0)</f>
        <v>5094114</v>
      </c>
      <c r="I48" s="188">
        <f>_xlfn.XLOOKUP(C48,'[4]Access to Electricity'!$B$6:$B$271,'[4]Access to Electricity'!$BM$6:$BM$271)</f>
        <v>99.900001525878906</v>
      </c>
      <c r="J48" s="194">
        <f>_xlfn.XLOOKUP(C48,'[2]GDP 2015 Constant'!$B$6:$B$271,'[2]GDP 2015 Constant'!$BM$6:$BM$271)</f>
        <v>61774415011</v>
      </c>
      <c r="K48" s="193">
        <f t="shared" si="0"/>
        <v>12126.625947318807</v>
      </c>
      <c r="L48" s="194">
        <f>_xlfn.XLOOKUP(C48,'[5]Tourism Receipts'!$B$6:$B$271,'[5]Tourism Receipts'!$BK$6:$BK$271)</f>
        <v>4073000000</v>
      </c>
      <c r="M48" s="195">
        <f t="shared" si="1"/>
        <v>6.5933445088467976E-2</v>
      </c>
      <c r="N48">
        <v>4.2020511630246498</v>
      </c>
      <c r="O48" s="188">
        <v>979547</v>
      </c>
      <c r="P48" s="188">
        <v>98.33</v>
      </c>
      <c r="Q48">
        <v>33.206831240482401</v>
      </c>
      <c r="R48">
        <v>34.325321559330803</v>
      </c>
      <c r="S48">
        <v>1942.49060034742</v>
      </c>
      <c r="T48">
        <v>99.767215041128097</v>
      </c>
    </row>
    <row r="49" spans="1:20" ht="25" x14ac:dyDescent="0.2">
      <c r="A49" s="161" t="s">
        <v>154</v>
      </c>
      <c r="B49" s="161">
        <v>384</v>
      </c>
      <c r="C49" t="str">
        <f>_xlfn.XLOOKUP(B49,'Country Code M49'!$B$2:$B$250,'Country Code M49'!$C$2:$C$250,,0)</f>
        <v>CIV</v>
      </c>
      <c r="D49" s="161" t="s">
        <v>823</v>
      </c>
      <c r="E49" s="162">
        <v>15.640228594822497</v>
      </c>
      <c r="F49" s="162">
        <v>402211.93865875271</v>
      </c>
      <c r="G49" s="160" t="s">
        <v>872</v>
      </c>
      <c r="H49" s="188">
        <f>_xlfn.XLOOKUP(D49,'[1]World Population'!$B$2:$B$267,'[1]World Population'!$BN$2:$BN$267,0)</f>
        <v>26378275</v>
      </c>
      <c r="I49" s="188">
        <f>_xlfn.XLOOKUP(C49,'[4]Access to Electricity'!$B$6:$B$271,'[4]Access to Electricity'!$BM$6:$BM$271)</f>
        <v>69.679122924804702</v>
      </c>
      <c r="J49" s="194">
        <f>_xlfn.XLOOKUP(C49,'[2]GDP 2015 Constant'!$B$6:$B$271,'[2]GDP 2015 Constant'!$BM$6:$BM$271)</f>
        <v>61033878289</v>
      </c>
      <c r="K49" s="193">
        <f t="shared" si="0"/>
        <v>2313.7933882712196</v>
      </c>
      <c r="L49" s="194">
        <f>_xlfn.XLOOKUP(C49,'[5]Tourism Receipts'!$B$6:$B$271,'[5]Tourism Receipts'!$BK$6:$BK$271)</f>
        <v>551000000</v>
      </c>
      <c r="M49" s="195">
        <f t="shared" si="1"/>
        <v>9.0277730245319418E-3</v>
      </c>
      <c r="N49">
        <v>20.671221079934</v>
      </c>
      <c r="O49" s="188">
        <v>12739124</v>
      </c>
      <c r="P49" s="188">
        <v>118.41</v>
      </c>
      <c r="Q49">
        <v>23.426803689101199</v>
      </c>
      <c r="R49">
        <v>23.776277560911399</v>
      </c>
      <c r="S49">
        <v>274.73022392765102</v>
      </c>
      <c r="T49">
        <v>82.950550314465403</v>
      </c>
    </row>
    <row r="50" spans="1:20" x14ac:dyDescent="0.2">
      <c r="A50" s="161" t="s">
        <v>155</v>
      </c>
      <c r="B50" s="161">
        <v>191</v>
      </c>
      <c r="C50" t="str">
        <f>_xlfn.XLOOKUP(B50,'Country Code M49'!$B$2:$B$250,'Country Code M49'!$C$2:$C$250,,0)</f>
        <v>HRV</v>
      </c>
      <c r="D50" s="161" t="s">
        <v>805</v>
      </c>
      <c r="E50" s="162">
        <v>12.811309449374059</v>
      </c>
      <c r="F50" s="162">
        <v>52914.551418749674</v>
      </c>
      <c r="G50" s="160" t="s">
        <v>877</v>
      </c>
      <c r="H50" s="188">
        <f>_xlfn.XLOOKUP(D50,'[1]World Population'!$B$2:$B$267,'[1]World Population'!$BN$2:$BN$267,0)</f>
        <v>4047680</v>
      </c>
      <c r="I50" s="188">
        <f>_xlfn.XLOOKUP(C50,'[4]Access to Electricity'!$B$6:$B$271,'[4]Access to Electricity'!$BM$6:$BM$271)</f>
        <v>100</v>
      </c>
      <c r="J50" s="194">
        <f>_xlfn.XLOOKUP(C50,'[2]GDP 2015 Constant'!$B$6:$B$271,'[2]GDP 2015 Constant'!$BM$6:$BM$271)</f>
        <v>52557893779</v>
      </c>
      <c r="K50" s="193">
        <f t="shared" si="0"/>
        <v>12984.69586997984</v>
      </c>
      <c r="L50" s="194">
        <f>_xlfn.XLOOKUP(C50,'[5]Tourism Receipts'!$B$6:$B$271,'[5]Tourism Receipts'!$BK$6:$BK$271)</f>
        <v>11348000000</v>
      </c>
      <c r="M50" s="195">
        <f t="shared" si="1"/>
        <v>0.21591428392692175</v>
      </c>
      <c r="N50">
        <v>2.86876409373393</v>
      </c>
      <c r="O50" s="188">
        <v>1718119</v>
      </c>
      <c r="P50" s="188">
        <v>86.34</v>
      </c>
      <c r="Q50">
        <v>50.342006249526399</v>
      </c>
      <c r="R50">
        <v>50.747473751656102</v>
      </c>
      <c r="S50">
        <v>3714.3829884420702</v>
      </c>
      <c r="T50">
        <v>72.331665475339506</v>
      </c>
    </row>
    <row r="51" spans="1:20" ht="25" x14ac:dyDescent="0.2">
      <c r="A51" s="161" t="s">
        <v>150</v>
      </c>
      <c r="B51" s="161">
        <v>192</v>
      </c>
      <c r="C51" t="str">
        <f>_xlfn.XLOOKUP(B51,'Country Code M49'!$B$2:$B$250,'Country Code M49'!$C$2:$C$250,,0)</f>
        <v>CUB</v>
      </c>
      <c r="D51" s="161" t="s">
        <v>718</v>
      </c>
      <c r="E51" s="162">
        <v>15.640228594822497</v>
      </c>
      <c r="F51" s="162">
        <v>177258.53077942078</v>
      </c>
      <c r="G51" s="160" t="s">
        <v>872</v>
      </c>
      <c r="H51" s="188">
        <f>_xlfn.XLOOKUP(D51,'[1]World Population'!$B$2:$B$267,'[1]World Population'!$BN$2:$BN$267,0)</f>
        <v>11326616</v>
      </c>
      <c r="I51" s="188">
        <f>_xlfn.XLOOKUP(C51,'[4]Access to Electricity'!$B$6:$B$271,'[4]Access to Electricity'!$BM$6:$BM$271)</f>
        <v>100</v>
      </c>
      <c r="J51" s="194">
        <f>_xlfn.XLOOKUP(C51,'[2]GDP 2015 Constant'!$B$6:$B$271,'[2]GDP 2015 Constant'!$BM$6:$BM$271)</f>
        <v>81054474018</v>
      </c>
      <c r="K51" s="193">
        <f t="shared" si="0"/>
        <v>7156.1068211370457</v>
      </c>
      <c r="L51" s="194">
        <f>_xlfn.XLOOKUP(C51,'[5]Tourism Receipts'!$B$6:$B$271,'[5]Tourism Receipts'!$BK$6:$BK$271)</f>
        <v>2783000000</v>
      </c>
      <c r="M51" s="195">
        <f t="shared" si="1"/>
        <v>3.4334933804912128E-2</v>
      </c>
      <c r="N51">
        <v>3.5676992690567402</v>
      </c>
      <c r="O51" s="188">
        <v>2583148</v>
      </c>
      <c r="P51" s="188">
        <v>73.7</v>
      </c>
      <c r="Q51">
        <v>12.560719640179901</v>
      </c>
      <c r="R51">
        <v>12.2133271454538</v>
      </c>
      <c r="S51">
        <v>1450.8828186377</v>
      </c>
      <c r="T51">
        <v>109.11961464354501</v>
      </c>
    </row>
    <row r="52" spans="1:20" x14ac:dyDescent="0.2">
      <c r="A52" s="161" t="s">
        <v>150</v>
      </c>
      <c r="B52" s="161">
        <v>531</v>
      </c>
      <c r="C52" t="str">
        <f>_xlfn.XLOOKUP(B52,'Country Code M49'!$B$2:$B$250,'Country Code M49'!$C$2:$C$250,,0)</f>
        <v>CUW</v>
      </c>
      <c r="D52" s="161" t="s">
        <v>719</v>
      </c>
      <c r="E52" s="162">
        <v>12.811309449374059</v>
      </c>
      <c r="F52" s="162">
        <v>2093.3679640277214</v>
      </c>
      <c r="G52" s="160" t="s">
        <v>877</v>
      </c>
      <c r="H52" s="188">
        <f>_xlfn.XLOOKUP(D52,'[1]World Population'!$B$2:$B$267,'[1]World Population'!$BN$2:$BN$267,0)</f>
        <v>154947</v>
      </c>
      <c r="I52" s="188">
        <f>_xlfn.XLOOKUP(C52,'[4]Access to Electricity'!$B$6:$B$271,'[4]Access to Electricity'!$BM$6:$BM$271)</f>
        <v>100</v>
      </c>
      <c r="J52" s="194">
        <f>_xlfn.XLOOKUP(C52,'[2]GDP 2015 Constant'!$B$6:$B$271,'[2]GDP 2015 Constant'!$BM$6:$BM$271)</f>
        <v>2285297118</v>
      </c>
      <c r="K52" s="193">
        <f t="shared" si="0"/>
        <v>14748.895544928266</v>
      </c>
      <c r="L52" s="194">
        <f>_xlfn.XLOOKUP(C52,'[5]Tourism Receipts'!$B$6:$B$271,'[5]Tourism Receipts'!$BK$6:$BK$271)</f>
        <v>604000000</v>
      </c>
      <c r="M52" s="195">
        <f t="shared" si="1"/>
        <v>0.26429823730255103</v>
      </c>
      <c r="N52">
        <v>0.16876592666023599</v>
      </c>
      <c r="O52" s="188">
        <v>16948</v>
      </c>
      <c r="P52" s="188">
        <v>0</v>
      </c>
      <c r="Q52">
        <v>0</v>
      </c>
      <c r="R52">
        <v>0</v>
      </c>
      <c r="S52">
        <v>4797.6704359594396</v>
      </c>
      <c r="T52">
        <v>348.97972972973002</v>
      </c>
    </row>
    <row r="53" spans="1:20" x14ac:dyDescent="0.2">
      <c r="A53" s="161" t="s">
        <v>148</v>
      </c>
      <c r="B53" s="161">
        <v>196</v>
      </c>
      <c r="C53" t="str">
        <f>_xlfn.XLOOKUP(B53,'Country Code M49'!$B$2:$B$250,'Country Code M49'!$C$2:$C$250,,0)</f>
        <v>CYP</v>
      </c>
      <c r="D53" s="161" t="s">
        <v>858</v>
      </c>
      <c r="E53" s="162">
        <v>12.811309449374059</v>
      </c>
      <c r="F53" s="162">
        <v>15355.635506019747</v>
      </c>
      <c r="G53" s="160" t="s">
        <v>877</v>
      </c>
      <c r="H53" s="188">
        <f>_xlfn.XLOOKUP(D53,'[1]World Population'!$B$2:$B$267,'[1]World Population'!$BN$2:$BN$267,0)</f>
        <v>1207361</v>
      </c>
      <c r="I53" s="188">
        <f>_xlfn.XLOOKUP(C53,'[4]Access to Electricity'!$B$6:$B$271,'[4]Access to Electricity'!$BM$6:$BM$271)</f>
        <v>100</v>
      </c>
      <c r="J53" s="194">
        <f>_xlfn.XLOOKUP(C53,'[2]GDP 2015 Constant'!$B$6:$B$271,'[2]GDP 2015 Constant'!$BM$6:$BM$271)</f>
        <v>23640672757</v>
      </c>
      <c r="K53" s="193">
        <f t="shared" si="0"/>
        <v>19580.450881716406</v>
      </c>
      <c r="L53" s="194">
        <f>_xlfn.XLOOKUP(C53,'[5]Tourism Receipts'!$B$6:$B$271,'[5]Tourism Receipts'!$BK$6:$BK$271)</f>
        <v>3449000000</v>
      </c>
      <c r="M53" s="195">
        <f t="shared" si="1"/>
        <v>0.14589263323645268</v>
      </c>
      <c r="N53">
        <v>1.80860524588047</v>
      </c>
      <c r="O53" s="188">
        <v>400590</v>
      </c>
      <c r="P53" s="188">
        <v>106.23</v>
      </c>
      <c r="Q53">
        <v>73.773375139814306</v>
      </c>
      <c r="R53">
        <v>75.593848763019395</v>
      </c>
      <c r="S53">
        <v>3624.9335023869698</v>
      </c>
      <c r="T53">
        <v>130.66677489177499</v>
      </c>
    </row>
    <row r="54" spans="1:20" x14ac:dyDescent="0.2">
      <c r="A54" s="161" t="s">
        <v>156</v>
      </c>
      <c r="B54" s="161">
        <v>203</v>
      </c>
      <c r="C54" t="str">
        <f>_xlfn.XLOOKUP(B54,'Country Code M49'!$B$2:$B$250,'Country Code M49'!$C$2:$C$250,,0)</f>
        <v>CZE</v>
      </c>
      <c r="D54" s="161" t="s">
        <v>702</v>
      </c>
      <c r="E54" s="162">
        <v>12.811309449374059</v>
      </c>
      <c r="F54" s="162">
        <v>136942.64896624919</v>
      </c>
      <c r="G54" s="160" t="s">
        <v>877</v>
      </c>
      <c r="H54" s="188">
        <f>_xlfn.XLOOKUP(D54,'[1]World Population'!$B$2:$B$267,'[1]World Population'!$BN$2:$BN$267,0)</f>
        <v>10697858</v>
      </c>
      <c r="I54" s="188">
        <f>_xlfn.XLOOKUP(C54,'[4]Access to Electricity'!$B$6:$B$271,'[4]Access to Electricity'!$BM$6:$BM$271)</f>
        <v>100</v>
      </c>
      <c r="J54" s="194">
        <f>_xlfn.XLOOKUP(C54,'[2]GDP 2015 Constant'!$B$6:$B$271,'[2]GDP 2015 Constant'!$BM$6:$BM$271)</f>
        <v>203095000000</v>
      </c>
      <c r="K54" s="193">
        <f t="shared" si="0"/>
        <v>18984.641598346137</v>
      </c>
      <c r="L54" s="194">
        <f>_xlfn.XLOOKUP(C54,'[5]Tourism Receipts'!$B$6:$B$271,'[5]Tourism Receipts'!$BK$6:$BK$271)</f>
        <v>8283000000</v>
      </c>
      <c r="M54" s="195">
        <f t="shared" si="1"/>
        <v>4.0783869617666613E-2</v>
      </c>
      <c r="N54">
        <v>1.8612180131487801</v>
      </c>
      <c r="O54" s="188">
        <v>2774917</v>
      </c>
      <c r="P54" s="188">
        <v>97.33</v>
      </c>
      <c r="Q54">
        <v>71.019332990120503</v>
      </c>
      <c r="R54">
        <v>73.894453321285695</v>
      </c>
      <c r="S54">
        <v>6258.8910370365902</v>
      </c>
      <c r="T54">
        <v>138.575928842168</v>
      </c>
    </row>
    <row r="55" spans="1:20" ht="25" x14ac:dyDescent="0.2">
      <c r="A55" s="161" t="s">
        <v>152</v>
      </c>
      <c r="B55" s="161">
        <v>408</v>
      </c>
      <c r="C55" t="str">
        <f>_xlfn.XLOOKUP(B55,'Country Code M49'!$B$2:$B$250,'Country Code M49'!$C$2:$C$250,,0)</f>
        <v>PRK</v>
      </c>
      <c r="D55" s="161" t="s">
        <v>697</v>
      </c>
      <c r="E55" s="162">
        <v>15.640228594822497</v>
      </c>
      <c r="F55" s="162">
        <v>401425.23516043316</v>
      </c>
      <c r="G55" s="160" t="s">
        <v>872</v>
      </c>
      <c r="H55" s="188">
        <f>_xlfn.XLOOKUP(D55,'[1]World Population'!$B$2:$B$267,'[1]World Population'!$BN$2:$BN$267,0)</f>
        <v>25778815</v>
      </c>
      <c r="I55" s="188">
        <f>_xlfn.XLOOKUP(C55,'[4]Access to Electricity'!$B$6:$B$271,'[4]Access to Electricity'!$BM$6:$BM$271)</f>
        <v>52.313545227050803</v>
      </c>
      <c r="J55" s="194" t="e">
        <f>_xlfn.XLOOKUP(C55,'[2]GDP 2015 Constant'!$B$6:$B$271,'[2]GDP 2015 Constant'!$BM$6:$BM$271)</f>
        <v>#REF!</v>
      </c>
      <c r="K55" s="193" t="e">
        <f t="shared" si="0"/>
        <v>#REF!</v>
      </c>
      <c r="L55" s="194">
        <f>_xlfn.XLOOKUP(C55,'[5]Tourism Receipts'!$B$6:$B$271,'[5]Tourism Receipts'!$BK$6:$BK$271)</f>
        <v>0</v>
      </c>
      <c r="M55" s="195" t="e">
        <f t="shared" si="1"/>
        <v>#REF!</v>
      </c>
      <c r="N55">
        <v>0</v>
      </c>
      <c r="O55" s="188">
        <v>9697732</v>
      </c>
      <c r="P55" s="188">
        <v>94.46</v>
      </c>
      <c r="Q55">
        <v>0</v>
      </c>
      <c r="R55">
        <v>0</v>
      </c>
      <c r="S55">
        <v>601.68906335845304</v>
      </c>
      <c r="T55">
        <v>214.091977410514</v>
      </c>
    </row>
    <row r="56" spans="1:20" ht="25" x14ac:dyDescent="0.2">
      <c r="A56" s="161" t="s">
        <v>154</v>
      </c>
      <c r="B56" s="161">
        <v>180</v>
      </c>
      <c r="C56" t="str">
        <f>_xlfn.XLOOKUP(B56,'Country Code M49'!$B$2:$B$250,'Country Code M49'!$C$2:$C$250,,0)</f>
        <v>COD</v>
      </c>
      <c r="D56" s="161" t="s">
        <v>824</v>
      </c>
      <c r="E56" s="162">
        <v>15.640228594822497</v>
      </c>
      <c r="F56" s="162">
        <v>1357424.8238818015</v>
      </c>
      <c r="G56" s="160" t="s">
        <v>872</v>
      </c>
      <c r="H56" s="188">
        <f>_xlfn.XLOOKUP(D56,'[1]World Population'!$B$2:$B$267,'[1]World Population'!$BN$2:$BN$267,0)</f>
        <v>5518092</v>
      </c>
      <c r="I56" s="188">
        <f>_xlfn.XLOOKUP(C56,'[4]Access to Electricity'!$B$6:$B$271,'[4]Access to Electricity'!$BM$6:$BM$271)</f>
        <v>19.100000381469702</v>
      </c>
      <c r="J56" s="194">
        <f>_xlfn.XLOOKUP(C56,'[2]GDP 2015 Constant'!$B$6:$B$271,'[2]GDP 2015 Constant'!$BM$6:$BM$271)</f>
        <v>45259706748</v>
      </c>
      <c r="K56" s="193">
        <f t="shared" si="0"/>
        <v>8202.0572958914054</v>
      </c>
      <c r="L56" s="194">
        <f>_xlfn.XLOOKUP(C56,'[5]Tourism Receipts'!$B$6:$B$271,'[5]Tourism Receipts'!$BK$6:$BK$271)</f>
        <v>60500000</v>
      </c>
      <c r="M56" s="195">
        <f t="shared" si="1"/>
        <v>1.3367298276335709E-3</v>
      </c>
      <c r="N56">
        <v>1.2220281022500099</v>
      </c>
      <c r="O56" s="188">
        <v>693004</v>
      </c>
      <c r="P56" s="188">
        <v>102.6</v>
      </c>
      <c r="Q56">
        <v>50.415191942282902</v>
      </c>
      <c r="R56">
        <v>58.999334966281701</v>
      </c>
      <c r="S56">
        <v>5858.8015362874803</v>
      </c>
      <c r="T56">
        <v>145.7851</v>
      </c>
    </row>
    <row r="57" spans="1:20" x14ac:dyDescent="0.2">
      <c r="A57" s="161" t="s">
        <v>153</v>
      </c>
      <c r="B57" s="161">
        <v>208</v>
      </c>
      <c r="C57" t="str">
        <f>_xlfn.XLOOKUP(B57,'Country Code M49'!$B$2:$B$250,'Country Code M49'!$C$2:$C$250,,0)</f>
        <v>DNK</v>
      </c>
      <c r="D57" s="161" t="s">
        <v>101</v>
      </c>
      <c r="E57" s="162">
        <v>29.8</v>
      </c>
      <c r="F57" s="162">
        <v>172002.62</v>
      </c>
      <c r="G57" s="160" t="s">
        <v>880</v>
      </c>
      <c r="H57" s="188">
        <f>_xlfn.XLOOKUP(D57,'[1]World Population'!$B$2:$B$267,'[1]World Population'!$BN$2:$BN$267,0)</f>
        <v>5831404</v>
      </c>
      <c r="I57" s="188">
        <f>_xlfn.XLOOKUP(C57,'[4]Access to Electricity'!$B$6:$B$271,'[4]Access to Electricity'!$BM$6:$BM$271)</f>
        <v>100</v>
      </c>
      <c r="J57" s="194">
        <f>_xlfn.XLOOKUP(C57,'[2]GDP 2015 Constant'!$B$6:$B$271,'[2]GDP 2015 Constant'!$BM$6:$BM$271)</f>
        <v>327738000000</v>
      </c>
      <c r="K57" s="193">
        <f t="shared" si="0"/>
        <v>56202.245634156032</v>
      </c>
      <c r="L57" s="194">
        <f>_xlfn.XLOOKUP(C57,'[5]Tourism Receipts'!$B$6:$B$271,'[5]Tourism Receipts'!$BK$6:$BK$271)</f>
        <v>9097000000</v>
      </c>
      <c r="M57" s="195">
        <f t="shared" si="1"/>
        <v>2.7756927789880943E-2</v>
      </c>
      <c r="N57">
        <v>1.51935122196429</v>
      </c>
      <c r="O57" s="188">
        <v>216748</v>
      </c>
      <c r="P57" s="188">
        <v>122.46</v>
      </c>
      <c r="Q57">
        <v>143.77881164830299</v>
      </c>
      <c r="R57">
        <v>166.71774637210899</v>
      </c>
      <c r="S57">
        <v>0</v>
      </c>
      <c r="T57">
        <v>42.623037100949098</v>
      </c>
    </row>
    <row r="58" spans="1:20" ht="25" x14ac:dyDescent="0.2">
      <c r="A58" s="161" t="s">
        <v>154</v>
      </c>
      <c r="B58" s="161">
        <v>262</v>
      </c>
      <c r="C58" t="str">
        <f>_xlfn.XLOOKUP(B58,'Country Code M49'!$B$2:$B$250,'Country Code M49'!$C$2:$C$250,,0)</f>
        <v>DJI</v>
      </c>
      <c r="D58" s="161" t="s">
        <v>825</v>
      </c>
      <c r="E58" s="162">
        <v>15.640228594822497</v>
      </c>
      <c r="F58" s="162">
        <v>15227.326559919184</v>
      </c>
      <c r="G58" s="160" t="s">
        <v>872</v>
      </c>
      <c r="H58" s="188">
        <f>_xlfn.XLOOKUP(D58,'[1]World Population'!$B$2:$B$267,'[1]World Population'!$BN$2:$BN$267,0)</f>
        <v>988002</v>
      </c>
      <c r="I58" s="188">
        <f>_xlfn.XLOOKUP(C58,'[4]Access to Electricity'!$B$6:$B$271,'[4]Access to Electricity'!$BM$6:$BM$271)</f>
        <v>61.767082214355497</v>
      </c>
      <c r="J58" s="194">
        <f>_xlfn.XLOOKUP(C58,'[2]GDP 2015 Constant'!$B$6:$B$271,'[2]GDP 2015 Constant'!$BM$6:$BM$271)</f>
        <v>3065136606</v>
      </c>
      <c r="K58" s="193">
        <f t="shared" si="0"/>
        <v>3102.3587057516079</v>
      </c>
      <c r="L58" s="194">
        <f>_xlfn.XLOOKUP(C58,'[5]Tourism Receipts'!$B$6:$B$271,'[5]Tourism Receipts'!$BK$6:$BK$271)</f>
        <v>57000000</v>
      </c>
      <c r="M58" s="195">
        <f t="shared" si="1"/>
        <v>1.8596234793719336E-2</v>
      </c>
      <c r="N58">
        <v>11.983163249856201</v>
      </c>
      <c r="O58" s="188">
        <v>20813</v>
      </c>
      <c r="P58" s="188">
        <v>99.96</v>
      </c>
      <c r="Q58">
        <v>77.767244372045795</v>
      </c>
      <c r="R58">
        <v>0</v>
      </c>
      <c r="S58">
        <v>0</v>
      </c>
      <c r="T58">
        <v>95.988</v>
      </c>
    </row>
    <row r="59" spans="1:20" ht="25" x14ac:dyDescent="0.2">
      <c r="A59" s="161" t="s">
        <v>150</v>
      </c>
      <c r="B59" s="161">
        <v>212</v>
      </c>
      <c r="C59" t="str">
        <f>_xlfn.XLOOKUP(B59,'Country Code M49'!$B$2:$B$250,'Country Code M49'!$C$2:$C$250,,0)</f>
        <v>DMA</v>
      </c>
      <c r="D59" s="161" t="s">
        <v>720</v>
      </c>
      <c r="E59" s="162">
        <v>15.640228594822497</v>
      </c>
      <c r="F59" s="162">
        <v>1122.9684131082552</v>
      </c>
      <c r="G59" s="160" t="s">
        <v>872</v>
      </c>
      <c r="H59" s="188">
        <f>_xlfn.XLOOKUP(D59,'[1]World Population'!$B$2:$B$267,'[1]World Population'!$BN$2:$BN$267,0)</f>
        <v>71991</v>
      </c>
      <c r="I59" s="188">
        <f>_xlfn.XLOOKUP(C59,'[4]Access to Electricity'!$B$6:$B$271,'[4]Access to Electricity'!$BM$6:$BM$271)</f>
        <v>100</v>
      </c>
      <c r="J59" s="194">
        <f>_xlfn.XLOOKUP(C59,'[2]GDP 2015 Constant'!$B$6:$B$271,'[2]GDP 2015 Constant'!$BM$6:$BM$271)</f>
        <v>472745391.10000002</v>
      </c>
      <c r="K59" s="193">
        <f t="shared" si="0"/>
        <v>6566.7290508535789</v>
      </c>
      <c r="L59" s="194">
        <f>_xlfn.XLOOKUP(C59,'[5]Tourism Receipts'!$B$6:$B$271,'[5]Tourism Receipts'!$BK$6:$BK$271)</f>
        <v>111000000</v>
      </c>
      <c r="M59" s="195">
        <f t="shared" si="1"/>
        <v>0.23479869310142068</v>
      </c>
      <c r="N59">
        <v>5.2272889262158202</v>
      </c>
      <c r="O59" s="188">
        <v>1894044</v>
      </c>
      <c r="P59" s="188">
        <v>117.31</v>
      </c>
      <c r="Q59">
        <v>28.504535082217799</v>
      </c>
      <c r="R59">
        <v>23.069282041292301</v>
      </c>
      <c r="S59">
        <v>1615.5146066248501</v>
      </c>
      <c r="T59">
        <v>224.547795487477</v>
      </c>
    </row>
    <row r="60" spans="1:20" ht="25" x14ac:dyDescent="0.2">
      <c r="A60" s="161" t="s">
        <v>150</v>
      </c>
      <c r="B60" s="161">
        <v>214</v>
      </c>
      <c r="C60" t="str">
        <f>_xlfn.XLOOKUP(B60,'Country Code M49'!$B$2:$B$250,'Country Code M49'!$C$2:$C$250,,0)</f>
        <v>DOM</v>
      </c>
      <c r="D60" s="161" t="s">
        <v>721</v>
      </c>
      <c r="E60" s="162">
        <v>15.640228594822497</v>
      </c>
      <c r="F60" s="162">
        <v>167960.4148797988</v>
      </c>
      <c r="G60" s="160" t="s">
        <v>872</v>
      </c>
      <c r="H60" s="188">
        <f>_xlfn.XLOOKUP(D60,'[1]World Population'!$B$2:$B$267,'[1]World Population'!$BN$2:$BN$267,0)</f>
        <v>10847904</v>
      </c>
      <c r="I60" s="188">
        <f>_xlfn.XLOOKUP(C60,'[4]Access to Electricity'!$B$6:$B$271,'[4]Access to Electricity'!$BM$6:$BM$271)</f>
        <v>100</v>
      </c>
      <c r="J60" s="194">
        <f>_xlfn.XLOOKUP(C60,'[2]GDP 2015 Constant'!$B$6:$B$271,'[2]GDP 2015 Constant'!$BM$6:$BM$271)</f>
        <v>83287065055</v>
      </c>
      <c r="K60" s="193">
        <f t="shared" si="0"/>
        <v>7677.7103719760053</v>
      </c>
      <c r="L60" s="194">
        <f>_xlfn.XLOOKUP(C60,'[5]Tourism Receipts'!$B$6:$B$271,'[5]Tourism Receipts'!$BK$6:$BK$271)</f>
        <v>7561000000</v>
      </c>
      <c r="M60" s="195">
        <f t="shared" si="1"/>
        <v>9.078240414651384E-2</v>
      </c>
      <c r="N60">
        <v>8.8005311428869195</v>
      </c>
      <c r="O60" s="188">
        <v>6322214</v>
      </c>
      <c r="P60" s="188">
        <v>96.86</v>
      </c>
      <c r="Q60">
        <v>23.757446960268702</v>
      </c>
      <c r="R60">
        <v>23.048367304590698</v>
      </c>
      <c r="S60">
        <v>1376.3936330322399</v>
      </c>
      <c r="T60">
        <v>71.038250926075094</v>
      </c>
    </row>
    <row r="61" spans="1:20" ht="25" x14ac:dyDescent="0.2">
      <c r="A61" s="161" t="s">
        <v>150</v>
      </c>
      <c r="B61" s="161">
        <v>218</v>
      </c>
      <c r="C61" t="str">
        <f>_xlfn.XLOOKUP(B61,'Country Code M49'!$B$2:$B$250,'Country Code M49'!$C$2:$C$250,,0)</f>
        <v>ECU</v>
      </c>
      <c r="D61" s="161" t="s">
        <v>722</v>
      </c>
      <c r="E61" s="162">
        <v>15.640228594822497</v>
      </c>
      <c r="F61" s="162">
        <v>271728.63953786762</v>
      </c>
      <c r="G61" s="160" t="s">
        <v>872</v>
      </c>
      <c r="H61" s="188">
        <f>_xlfn.XLOOKUP(D61,'[1]World Population'!$B$2:$B$267,'[1]World Population'!$BN$2:$BN$267,0)</f>
        <v>17643060</v>
      </c>
      <c r="I61" s="188">
        <f>_xlfn.XLOOKUP(C61,'[4]Access to Electricity'!$B$6:$B$271,'[4]Access to Electricity'!$BM$6:$BM$271)</f>
        <v>98.849998474121094</v>
      </c>
      <c r="J61" s="194">
        <f>_xlfn.XLOOKUP(C61,'[2]GDP 2015 Constant'!$B$6:$B$271,'[2]GDP 2015 Constant'!$BM$6:$BM$271)</f>
        <v>93781977160</v>
      </c>
      <c r="K61" s="193">
        <f t="shared" si="0"/>
        <v>5315.5165351135238</v>
      </c>
      <c r="L61" s="194">
        <f>_xlfn.XLOOKUP(C61,'[5]Tourism Receipts'!$B$6:$B$271,'[5]Tourism Receipts'!$BK$6:$BK$271)</f>
        <v>2279000000</v>
      </c>
      <c r="M61" s="195">
        <f t="shared" si="1"/>
        <v>2.4301044497194092E-2</v>
      </c>
      <c r="N61">
        <v>11.0489758951318</v>
      </c>
      <c r="O61" s="188">
        <v>58552675</v>
      </c>
      <c r="P61" s="188">
        <v>99.59</v>
      </c>
      <c r="Q61">
        <v>29.366295578491901</v>
      </c>
      <c r="R61">
        <v>17.500610661205201</v>
      </c>
      <c r="S61">
        <v>1683.2132576920301</v>
      </c>
      <c r="T61">
        <v>102.80215279521801</v>
      </c>
    </row>
    <row r="62" spans="1:20" ht="25" x14ac:dyDescent="0.2">
      <c r="A62" s="161" t="s">
        <v>876</v>
      </c>
      <c r="B62" s="161">
        <v>818</v>
      </c>
      <c r="C62" t="str">
        <f>_xlfn.XLOOKUP(B62,'Country Code M49'!$B$2:$B$250,'Country Code M49'!$C$2:$C$250,,0)</f>
        <v>EGY</v>
      </c>
      <c r="D62" s="161" t="s">
        <v>765</v>
      </c>
      <c r="E62" s="162">
        <v>15.640228594822497</v>
      </c>
      <c r="F62" s="162">
        <v>1570092.8321999004</v>
      </c>
      <c r="G62" s="160" t="s">
        <v>872</v>
      </c>
      <c r="H62" s="188">
        <f>_xlfn.XLOOKUP(D62,'[1]World Population'!$B$2:$B$267,'[1]World Population'!$BN$2:$BN$267,0)</f>
        <v>102334403</v>
      </c>
      <c r="I62" s="188">
        <f>_xlfn.XLOOKUP(C62,'[4]Access to Electricity'!$B$6:$B$271,'[4]Access to Electricity'!$BM$6:$BM$271)</f>
        <v>100</v>
      </c>
      <c r="J62" s="194">
        <f>_xlfn.XLOOKUP(C62,'[2]GDP 2015 Constant'!$B$6:$B$271,'[2]GDP 2015 Constant'!$BM$6:$BM$271)</f>
        <v>412246000000</v>
      </c>
      <c r="K62" s="193">
        <f t="shared" si="0"/>
        <v>4028.420432569485</v>
      </c>
      <c r="L62" s="194">
        <f>_xlfn.XLOOKUP(C62,'[5]Tourism Receipts'!$B$6:$B$271,'[5]Tourism Receipts'!$BK$6:$BK$271)</f>
        <v>12704000000</v>
      </c>
      <c r="M62" s="195">
        <f t="shared" si="1"/>
        <v>3.0816551282486671E-2</v>
      </c>
      <c r="N62">
        <v>4.8678163013548899</v>
      </c>
      <c r="O62" s="188">
        <v>1722476</v>
      </c>
      <c r="P62" s="188">
        <v>104.45</v>
      </c>
      <c r="Q62">
        <v>46.699243106970002</v>
      </c>
      <c r="R62">
        <v>29.675840792128099</v>
      </c>
      <c r="S62">
        <v>937.07447224232601</v>
      </c>
      <c r="T62">
        <v>313.04058880308901</v>
      </c>
    </row>
    <row r="63" spans="1:20" ht="25" x14ac:dyDescent="0.2">
      <c r="A63" s="161" t="s">
        <v>150</v>
      </c>
      <c r="B63" s="161">
        <v>222</v>
      </c>
      <c r="C63" t="str">
        <f>_xlfn.XLOOKUP(B63,'Country Code M49'!$B$2:$B$250,'Country Code M49'!$C$2:$C$250,,0)</f>
        <v>SLV</v>
      </c>
      <c r="D63" s="161" t="s">
        <v>723</v>
      </c>
      <c r="E63" s="162">
        <v>15.640228594822497</v>
      </c>
      <c r="F63" s="162">
        <v>100935.77925954647</v>
      </c>
      <c r="G63" s="160" t="s">
        <v>872</v>
      </c>
      <c r="H63" s="188">
        <f>_xlfn.XLOOKUP(D63,'[1]World Population'!$B$2:$B$267,'[1]World Population'!$BN$2:$BN$267,0)</f>
        <v>6486201</v>
      </c>
      <c r="I63" s="188">
        <f>_xlfn.XLOOKUP(C63,'[4]Access to Electricity'!$B$6:$B$271,'[4]Access to Electricity'!$BM$6:$BM$271)</f>
        <v>100</v>
      </c>
      <c r="J63" s="194">
        <f>_xlfn.XLOOKUP(C63,'[2]GDP 2015 Constant'!$B$6:$B$271,'[2]GDP 2015 Constant'!$BM$6:$BM$271)</f>
        <v>23560825997</v>
      </c>
      <c r="K63" s="193">
        <f t="shared" si="0"/>
        <v>3632.4538812472815</v>
      </c>
      <c r="L63" s="194">
        <f>_xlfn.XLOOKUP(C63,'[5]Tourism Receipts'!$B$6:$B$271,'[5]Tourism Receipts'!$BK$6:$BK$271)</f>
        <v>1370000000</v>
      </c>
      <c r="M63" s="195">
        <f t="shared" si="1"/>
        <v>5.8147367166772594E-2</v>
      </c>
      <c r="N63">
        <v>2.43787850840374</v>
      </c>
      <c r="O63" s="188">
        <v>377403</v>
      </c>
      <c r="P63" s="188">
        <v>101.37</v>
      </c>
      <c r="Q63">
        <v>44.031146679407499</v>
      </c>
      <c r="R63">
        <v>51.130748168144997</v>
      </c>
      <c r="S63">
        <v>0</v>
      </c>
      <c r="T63">
        <v>50.017290552584697</v>
      </c>
    </row>
    <row r="64" spans="1:20" ht="25" x14ac:dyDescent="0.2">
      <c r="A64" s="161" t="s">
        <v>154</v>
      </c>
      <c r="B64" s="161">
        <v>226</v>
      </c>
      <c r="C64" t="str">
        <f>_xlfn.XLOOKUP(B64,'Country Code M49'!$B$2:$B$250,'Country Code M49'!$C$2:$C$250,,0)</f>
        <v>GNQ</v>
      </c>
      <c r="D64" s="161" t="s">
        <v>826</v>
      </c>
      <c r="E64" s="162">
        <v>15.640228594822497</v>
      </c>
      <c r="F64" s="162">
        <v>21208.149974579308</v>
      </c>
      <c r="G64" s="160" t="s">
        <v>872</v>
      </c>
      <c r="H64" s="188">
        <f>_xlfn.XLOOKUP(D64,'[1]World Population'!$B$2:$B$267,'[1]World Population'!$BN$2:$BN$267,0)</f>
        <v>1402985</v>
      </c>
      <c r="I64" s="188">
        <f>_xlfn.XLOOKUP(C64,'[4]Access to Electricity'!$B$6:$B$271,'[4]Access to Electricity'!$BM$6:$BM$271)</f>
        <v>66.747726440429702</v>
      </c>
      <c r="J64" s="194">
        <f>_xlfn.XLOOKUP(C64,'[2]GDP 2015 Constant'!$B$6:$B$271,'[2]GDP 2015 Constant'!$BM$6:$BM$271)</f>
        <v>9625001914</v>
      </c>
      <c r="K64" s="193">
        <f t="shared" si="0"/>
        <v>6860.3740695730885</v>
      </c>
      <c r="L64" s="194">
        <f>_xlfn.XLOOKUP(C64,'[5]Tourism Receipts'!$B$6:$B$271,'[5]Tourism Receipts'!$BK$6:$BK$271)</f>
        <v>0</v>
      </c>
      <c r="M64" s="195">
        <f t="shared" si="1"/>
        <v>0</v>
      </c>
      <c r="N64">
        <v>0</v>
      </c>
      <c r="O64" s="188" t="e">
        <v>#REF!</v>
      </c>
      <c r="P64" s="188">
        <v>103.01</v>
      </c>
      <c r="Q64">
        <v>0</v>
      </c>
      <c r="R64">
        <v>0</v>
      </c>
      <c r="S64">
        <v>96.634579959679201</v>
      </c>
      <c r="T64">
        <v>29.299427551012599</v>
      </c>
    </row>
    <row r="65" spans="1:20" ht="25" x14ac:dyDescent="0.2">
      <c r="A65" s="161" t="s">
        <v>154</v>
      </c>
      <c r="B65" s="161">
        <v>232</v>
      </c>
      <c r="C65" t="str">
        <f>_xlfn.XLOOKUP(B65,'Country Code M49'!$B$2:$B$250,'Country Code M49'!$C$2:$C$250,,0)</f>
        <v>ERI</v>
      </c>
      <c r="D65" s="161" t="s">
        <v>827</v>
      </c>
      <c r="E65" s="162">
        <v>15.640228594822497</v>
      </c>
      <c r="F65" s="162">
        <v>54695.443418953757</v>
      </c>
      <c r="G65" s="160" t="s">
        <v>872</v>
      </c>
      <c r="H65" s="188">
        <f>_xlfn.XLOOKUP(D65,'[1]World Population'!$B$2:$B$267,'[1]World Population'!$BN$2:$BN$267,0)</f>
        <v>0</v>
      </c>
      <c r="I65" s="188">
        <f>_xlfn.XLOOKUP(C65,'[4]Access to Electricity'!$B$6:$B$271,'[4]Access to Electricity'!$BM$6:$BM$271)</f>
        <v>52.171096801757798</v>
      </c>
      <c r="J65" s="194" t="e">
        <f>_xlfn.XLOOKUP(C65,'[2]GDP 2015 Constant'!$B$6:$B$271,'[2]GDP 2015 Constant'!$BM$6:$BM$271)</f>
        <v>#REF!</v>
      </c>
      <c r="K65" s="193"/>
      <c r="L65" s="194">
        <f>_xlfn.XLOOKUP(C65,'[5]Tourism Receipts'!$B$6:$B$271,'[5]Tourism Receipts'!$BK$6:$BK$271)</f>
        <v>0</v>
      </c>
      <c r="M65" s="195"/>
      <c r="N65">
        <v>2.5111737977642701</v>
      </c>
      <c r="O65" s="188">
        <v>409094</v>
      </c>
      <c r="P65" s="188">
        <v>107.75</v>
      </c>
      <c r="Q65">
        <v>71.871360536091601</v>
      </c>
      <c r="R65">
        <v>74.046586127579104</v>
      </c>
      <c r="S65">
        <v>6732.3674731561096</v>
      </c>
      <c r="T65">
        <v>31.098923976608202</v>
      </c>
    </row>
    <row r="66" spans="1:20" x14ac:dyDescent="0.2">
      <c r="A66" s="161" t="s">
        <v>153</v>
      </c>
      <c r="B66" s="161">
        <v>233</v>
      </c>
      <c r="C66" t="str">
        <f>_xlfn.XLOOKUP(B66,'Country Code M49'!$B$2:$B$250,'Country Code M49'!$C$2:$C$250,,0)</f>
        <v>EST</v>
      </c>
      <c r="D66" s="161" t="s">
        <v>102</v>
      </c>
      <c r="E66" s="162">
        <v>4.7094078698952826</v>
      </c>
      <c r="F66" s="162">
        <v>6242.791072333187</v>
      </c>
      <c r="G66" s="160" t="s">
        <v>881</v>
      </c>
      <c r="H66" s="188">
        <f>_xlfn.XLOOKUP(D66,'[1]World Population'!$B$2:$B$267,'[1]World Population'!$BN$2:$BN$267,0)</f>
        <v>1329479</v>
      </c>
      <c r="I66" s="188">
        <f>_xlfn.XLOOKUP(C66,'[4]Access to Electricity'!$B$6:$B$271,'[4]Access to Electricity'!$BM$6:$BM$271)</f>
        <v>100</v>
      </c>
      <c r="J66" s="194">
        <f>_xlfn.XLOOKUP(C66,'[2]GDP 2015 Constant'!$B$6:$B$271,'[2]GDP 2015 Constant'!$BM$6:$BM$271)</f>
        <v>26279914561</v>
      </c>
      <c r="K66" s="193">
        <f t="shared" ref="K66:K129" si="2">J66/H66</f>
        <v>19767.077600323133</v>
      </c>
      <c r="L66" s="194">
        <f>_xlfn.XLOOKUP(C66,'[5]Tourism Receipts'!$B$6:$B$271,'[5]Tourism Receipts'!$BK$6:$BK$271)</f>
        <v>2326000000</v>
      </c>
      <c r="M66" s="195">
        <f t="shared" si="1"/>
        <v>8.8508659135895285E-2</v>
      </c>
      <c r="N66">
        <v>8.5982213976999908</v>
      </c>
      <c r="O66" s="188">
        <v>879741</v>
      </c>
      <c r="P66" s="188">
        <v>102.88</v>
      </c>
      <c r="Q66">
        <v>44.313881031412002</v>
      </c>
      <c r="R66">
        <v>45.946323426739497</v>
      </c>
      <c r="S66">
        <v>0</v>
      </c>
      <c r="T66">
        <v>67.451395348837195</v>
      </c>
    </row>
    <row r="67" spans="1:20" ht="25" x14ac:dyDescent="0.2">
      <c r="A67" s="161" t="s">
        <v>154</v>
      </c>
      <c r="B67" s="161">
        <v>748</v>
      </c>
      <c r="C67" t="str">
        <f>_xlfn.XLOOKUP(B67,'Country Code M49'!$B$2:$B$250,'Country Code M49'!$C$2:$C$250,,0)</f>
        <v>SWZ</v>
      </c>
      <c r="D67" s="161" t="s">
        <v>828</v>
      </c>
      <c r="E67" s="162">
        <v>15.640228594822497</v>
      </c>
      <c r="F67" s="162">
        <v>17956.546449715712</v>
      </c>
      <c r="G67" s="160" t="s">
        <v>872</v>
      </c>
      <c r="H67" s="188">
        <f>_xlfn.XLOOKUP(D67,'[1]World Population'!$B$2:$B$267,'[1]World Population'!$BN$2:$BN$267,0)</f>
        <v>1160164</v>
      </c>
      <c r="I67" s="188">
        <f>_xlfn.XLOOKUP(C67,'[4]Access to Electricity'!$B$6:$B$271,'[4]Access to Electricity'!$BM$6:$BM$271)</f>
        <v>79.730499267578097</v>
      </c>
      <c r="J67" s="194">
        <f>_xlfn.XLOOKUP(C67,'[2]GDP 2015 Constant'!$B$6:$B$271,'[2]GDP 2015 Constant'!$BM$6:$BM$271)</f>
        <v>4319634145</v>
      </c>
      <c r="K67" s="193">
        <f t="shared" si="2"/>
        <v>3723.2961417523729</v>
      </c>
      <c r="L67" s="194">
        <f>_xlfn.XLOOKUP(C67,'[5]Tourism Receipts'!$B$6:$B$271,'[5]Tourism Receipts'!$BK$6:$BK$271)</f>
        <v>16399999.619999999</v>
      </c>
      <c r="M67" s="195">
        <f t="shared" ref="M67:M130" si="3">L67/J67</f>
        <v>3.7966177387923207E-3</v>
      </c>
      <c r="N67">
        <v>33.633329059433599</v>
      </c>
      <c r="O67" s="188">
        <v>90022234</v>
      </c>
      <c r="P67" s="188">
        <v>119.21</v>
      </c>
      <c r="Q67">
        <v>22.826699077005301</v>
      </c>
      <c r="R67">
        <v>7.9399766087609001</v>
      </c>
      <c r="S67">
        <v>69.198745402687393</v>
      </c>
      <c r="T67">
        <v>101.86648071355999</v>
      </c>
    </row>
    <row r="68" spans="1:20" ht="25" x14ac:dyDescent="0.2">
      <c r="A68" s="161" t="s">
        <v>154</v>
      </c>
      <c r="B68" s="161">
        <v>231</v>
      </c>
      <c r="C68" t="str">
        <f>_xlfn.XLOOKUP(B68,'Country Code M49'!$B$2:$B$250,'Country Code M49'!$C$2:$C$250,,0)</f>
        <v>ETH</v>
      </c>
      <c r="D68" s="161" t="s">
        <v>103</v>
      </c>
      <c r="E68" s="162">
        <v>15.640228594822497</v>
      </c>
      <c r="F68" s="162">
        <v>1752936.4886105324</v>
      </c>
      <c r="G68" s="160" t="s">
        <v>872</v>
      </c>
      <c r="H68" s="188">
        <f>_xlfn.XLOOKUP(D68,'[1]World Population'!$B$2:$B$267,'[1]World Population'!$BN$2:$BN$267,0)</f>
        <v>114963583</v>
      </c>
      <c r="I68" s="188">
        <f>_xlfn.XLOOKUP(C68,'[4]Access to Electricity'!$B$6:$B$271,'[4]Access to Electricity'!$BM$6:$BM$271)</f>
        <v>51.093982696533203</v>
      </c>
      <c r="J68" s="194">
        <f>_xlfn.XLOOKUP(C68,'[2]GDP 2015 Constant'!$B$6:$B$271,'[2]GDP 2015 Constant'!$BM$6:$BM$271)</f>
        <v>95071785238</v>
      </c>
      <c r="K68" s="193">
        <f t="shared" si="2"/>
        <v>826.97305317980567</v>
      </c>
      <c r="L68" s="194">
        <f>_xlfn.XLOOKUP(C68,'[5]Tourism Receipts'!$B$6:$B$271,'[5]Tourism Receipts'!$BK$6:$BK$271)</f>
        <v>3548000000</v>
      </c>
      <c r="M68" s="195">
        <f t="shared" si="3"/>
        <v>3.7319168785124188E-2</v>
      </c>
      <c r="N68">
        <v>17.027503073225301</v>
      </c>
      <c r="O68" s="188">
        <v>28147</v>
      </c>
      <c r="P68" s="188">
        <v>90.38</v>
      </c>
      <c r="Q68">
        <v>54.201255919804403</v>
      </c>
      <c r="R68">
        <v>55.729501128378303</v>
      </c>
      <c r="S68">
        <v>0</v>
      </c>
      <c r="T68">
        <v>35.772327964860899</v>
      </c>
    </row>
    <row r="69" spans="1:20" x14ac:dyDescent="0.2">
      <c r="A69" s="161" t="s">
        <v>153</v>
      </c>
      <c r="B69" s="161">
        <v>234</v>
      </c>
      <c r="C69" t="str">
        <f>_xlfn.XLOOKUP(B69,'Country Code M49'!$B$2:$B$250,'Country Code M49'!$C$2:$C$250,,0)</f>
        <v>FRO</v>
      </c>
      <c r="D69" s="161" t="s">
        <v>774</v>
      </c>
      <c r="E69" s="162">
        <v>12.811309449374059</v>
      </c>
      <c r="F69" s="162">
        <v>623.91077018451665</v>
      </c>
      <c r="G69" s="160" t="s">
        <v>877</v>
      </c>
      <c r="H69" s="188">
        <f>_xlfn.XLOOKUP(D69,'[1]World Population'!$B$2:$B$267,'[1]World Population'!$BN$2:$BN$267,0)</f>
        <v>48865</v>
      </c>
      <c r="I69" s="188">
        <f>_xlfn.XLOOKUP(C69,'[4]Access to Electricity'!$B$6:$B$271,'[4]Access to Electricity'!$BM$6:$BM$271)</f>
        <v>100</v>
      </c>
      <c r="J69" s="194" t="e">
        <f>_xlfn.XLOOKUP(C69,'[2]GDP 2015 Constant'!$B$6:$B$271,'[2]GDP 2015 Constant'!$BM$6:$BM$271)</f>
        <v>#REF!</v>
      </c>
      <c r="K69" s="193" t="e">
        <f t="shared" si="2"/>
        <v>#REF!</v>
      </c>
      <c r="L69" s="194">
        <f>_xlfn.XLOOKUP(C69,'[5]Tourism Receipts'!$B$6:$B$271,'[5]Tourism Receipts'!$BK$6:$BK$271)</f>
        <v>0</v>
      </c>
      <c r="M69" s="195"/>
      <c r="N69">
        <v>11.849117809924</v>
      </c>
      <c r="O69" s="188">
        <v>383257</v>
      </c>
      <c r="P69" s="188">
        <v>114.8</v>
      </c>
      <c r="Q69">
        <v>55.523715109346398</v>
      </c>
      <c r="R69">
        <v>48.131641707421402</v>
      </c>
      <c r="S69">
        <v>0</v>
      </c>
      <c r="T69">
        <v>49.0664477285167</v>
      </c>
    </row>
    <row r="70" spans="1:20" ht="25" x14ac:dyDescent="0.2">
      <c r="A70" s="161" t="s">
        <v>874</v>
      </c>
      <c r="B70" s="161">
        <v>242</v>
      </c>
      <c r="C70" t="str">
        <f>_xlfn.XLOOKUP(B70,'Country Code M49'!$B$2:$B$250,'Country Code M49'!$C$2:$C$250,,0)</f>
        <v>FJI</v>
      </c>
      <c r="D70" s="161" t="s">
        <v>752</v>
      </c>
      <c r="E70" s="162">
        <v>15.640228594822497</v>
      </c>
      <c r="F70" s="162">
        <v>13919.803449392022</v>
      </c>
      <c r="G70" s="160" t="s">
        <v>872</v>
      </c>
      <c r="H70" s="188">
        <f>_xlfn.XLOOKUP(D70,'[1]World Population'!$B$2:$B$267,'[1]World Population'!$BN$2:$BN$267,0)</f>
        <v>896444</v>
      </c>
      <c r="I70" s="188">
        <f>_xlfn.XLOOKUP(C70,'[4]Access to Electricity'!$B$6:$B$271,'[4]Access to Electricity'!$BM$6:$BM$271)</f>
        <v>100</v>
      </c>
      <c r="J70" s="194">
        <f>_xlfn.XLOOKUP(C70,'[2]GDP 2015 Constant'!$B$6:$B$271,'[2]GDP 2015 Constant'!$BM$6:$BM$271)</f>
        <v>4431812577</v>
      </c>
      <c r="K70" s="193">
        <f t="shared" si="2"/>
        <v>4943.7695795833315</v>
      </c>
      <c r="L70" s="194">
        <f>_xlfn.XLOOKUP(C70,'[5]Tourism Receipts'!$B$6:$B$271,'[5]Tourism Receipts'!$BK$6:$BK$271)</f>
        <v>1370000000</v>
      </c>
      <c r="M70" s="195">
        <f t="shared" si="3"/>
        <v>0.30912859607600685</v>
      </c>
      <c r="N70">
        <v>2.34936544202258</v>
      </c>
      <c r="O70" s="188">
        <v>800844</v>
      </c>
      <c r="P70" s="188">
        <v>98.55</v>
      </c>
      <c r="Q70">
        <v>39.722360237805603</v>
      </c>
      <c r="R70">
        <v>39.881677034171098</v>
      </c>
      <c r="S70">
        <v>15249.989380230199</v>
      </c>
      <c r="T70">
        <v>18.1928768835954</v>
      </c>
    </row>
    <row r="71" spans="1:20" x14ac:dyDescent="0.2">
      <c r="A71" s="161" t="s">
        <v>153</v>
      </c>
      <c r="B71" s="161">
        <v>246</v>
      </c>
      <c r="C71" t="str">
        <f>_xlfn.XLOOKUP(B71,'Country Code M49'!$B$2:$B$250,'Country Code M49'!$C$2:$C$250,,0)</f>
        <v>FIN</v>
      </c>
      <c r="D71" s="161" t="s">
        <v>104</v>
      </c>
      <c r="E71" s="162">
        <v>12.811309449374059</v>
      </c>
      <c r="F71" s="162">
        <v>70874.726135827164</v>
      </c>
      <c r="G71" s="160" t="s">
        <v>877</v>
      </c>
      <c r="H71" s="188">
        <f>_xlfn.XLOOKUP(D71,'[1]World Population'!$B$2:$B$267,'[1]World Population'!$BN$2:$BN$267,0)</f>
        <v>5529543</v>
      </c>
      <c r="I71" s="188">
        <f>_xlfn.XLOOKUP(C71,'[4]Access to Electricity'!$B$6:$B$271,'[4]Access to Electricity'!$BM$6:$BM$271)</f>
        <v>100</v>
      </c>
      <c r="J71" s="194">
        <f>_xlfn.XLOOKUP(C71,'[2]GDP 2015 Constant'!$B$6:$B$271,'[2]GDP 2015 Constant'!$BM$6:$BM$271)</f>
        <v>248883000000</v>
      </c>
      <c r="K71" s="193">
        <f t="shared" si="2"/>
        <v>45009.687057321011</v>
      </c>
      <c r="L71" s="194">
        <f>_xlfn.XLOOKUP(C71,'[5]Tourism Receipts'!$B$6:$B$271,'[5]Tourism Receipts'!$BK$6:$BK$271)</f>
        <v>5762000000</v>
      </c>
      <c r="M71" s="195">
        <f t="shared" si="3"/>
        <v>2.3151440636765067E-2</v>
      </c>
      <c r="N71">
        <v>1.52245926892254</v>
      </c>
      <c r="O71" s="188">
        <v>12819027</v>
      </c>
      <c r="P71" s="188">
        <v>92.19</v>
      </c>
      <c r="Q71">
        <v>32.724285386657499</v>
      </c>
      <c r="R71">
        <v>31.592055414366801</v>
      </c>
      <c r="S71">
        <v>6939.9435249092703</v>
      </c>
      <c r="T71">
        <v>123.055513855179</v>
      </c>
    </row>
    <row r="72" spans="1:20" x14ac:dyDescent="0.2">
      <c r="A72" s="161" t="s">
        <v>147</v>
      </c>
      <c r="B72" s="161">
        <v>250</v>
      </c>
      <c r="C72" t="str">
        <f>_xlfn.XLOOKUP(B72,'Country Code M49'!$B$2:$B$250,'Country Code M49'!$C$2:$C$250,,0)</f>
        <v>FRA</v>
      </c>
      <c r="D72" s="161" t="s">
        <v>105</v>
      </c>
      <c r="E72" s="162">
        <v>25.603798941245476</v>
      </c>
      <c r="F72" s="162">
        <v>1667567.7439036355</v>
      </c>
      <c r="G72" s="160" t="s">
        <v>881</v>
      </c>
      <c r="H72" s="188">
        <f>_xlfn.XLOOKUP(D72,'[1]World Population'!$B$2:$B$267,'[1]World Population'!$BN$2:$BN$267,0)</f>
        <v>67379908</v>
      </c>
      <c r="I72" s="188">
        <f>_xlfn.XLOOKUP(C72,'[4]Access to Electricity'!$B$6:$B$271,'[4]Access to Electricity'!$BM$6:$BM$271)</f>
        <v>100</v>
      </c>
      <c r="J72" s="194">
        <f>_xlfn.XLOOKUP(C72,'[2]GDP 2015 Constant'!$B$6:$B$271,'[2]GDP 2015 Constant'!$BM$6:$BM$271)</f>
        <v>2411260000000</v>
      </c>
      <c r="K72" s="193">
        <f t="shared" si="2"/>
        <v>35786.038769895618</v>
      </c>
      <c r="L72" s="194">
        <f>_xlfn.XLOOKUP(C72,'[5]Tourism Receipts'!$B$6:$B$271,'[5]Tourism Receipts'!$BK$6:$BK$271)</f>
        <v>72518000000</v>
      </c>
      <c r="M72" s="195">
        <f t="shared" si="3"/>
        <v>3.0074732712357853E-2</v>
      </c>
      <c r="N72">
        <v>0</v>
      </c>
      <c r="O72" s="188">
        <v>106814</v>
      </c>
      <c r="P72" s="188">
        <v>102.96</v>
      </c>
      <c r="Q72">
        <v>0</v>
      </c>
      <c r="R72">
        <v>20.175142725080899</v>
      </c>
      <c r="S72">
        <v>0</v>
      </c>
      <c r="T72">
        <v>80.928838951310894</v>
      </c>
    </row>
    <row r="73" spans="1:20" x14ac:dyDescent="0.2">
      <c r="A73" s="161" t="s">
        <v>878</v>
      </c>
      <c r="B73" s="161">
        <v>258</v>
      </c>
      <c r="C73" t="str">
        <f>_xlfn.XLOOKUP(B73,'Country Code M49'!$B$2:$B$250,'Country Code M49'!$C$2:$C$250,,0)</f>
        <v>PYF</v>
      </c>
      <c r="D73" s="161" t="s">
        <v>782</v>
      </c>
      <c r="E73" s="162">
        <v>12.811309449374059</v>
      </c>
      <c r="F73" s="162">
        <v>3578.1987292101749</v>
      </c>
      <c r="G73" s="160" t="s">
        <v>877</v>
      </c>
      <c r="H73" s="188">
        <f>_xlfn.XLOOKUP(D73,'[1]World Population'!$B$2:$B$267,'[1]World Population'!$BN$2:$BN$267,0)</f>
        <v>280904</v>
      </c>
      <c r="I73" s="188">
        <f>_xlfn.XLOOKUP(C73,'[4]Access to Electricity'!$B$6:$B$271,'[4]Access to Electricity'!$BM$6:$BM$271)</f>
        <v>100</v>
      </c>
      <c r="J73" s="194">
        <f>_xlfn.XLOOKUP(C73,'[2]GDP 2015 Constant'!$B$6:$B$271,'[2]GDP 2015 Constant'!$BM$6:$BM$271)</f>
        <v>5501937833</v>
      </c>
      <c r="K73" s="193">
        <f t="shared" si="2"/>
        <v>19586.541426964373</v>
      </c>
      <c r="L73" s="194">
        <f>_xlfn.XLOOKUP(C73,'[5]Tourism Receipts'!$B$6:$B$271,'[5]Tourism Receipts'!$BK$6:$BK$271)</f>
        <v>0</v>
      </c>
      <c r="M73" s="195">
        <f t="shared" si="3"/>
        <v>0</v>
      </c>
      <c r="N73">
        <v>5.5544308701413003</v>
      </c>
      <c r="O73" s="188">
        <v>220525</v>
      </c>
      <c r="P73" s="188">
        <v>103.24</v>
      </c>
      <c r="Q73">
        <v>22.737521206296201</v>
      </c>
      <c r="R73">
        <v>51.431073227199597</v>
      </c>
      <c r="S73">
        <v>1167.85159366621</v>
      </c>
      <c r="T73">
        <v>8.6379011914464208</v>
      </c>
    </row>
    <row r="74" spans="1:20" ht="25" x14ac:dyDescent="0.2">
      <c r="A74" s="161" t="s">
        <v>154</v>
      </c>
      <c r="B74" s="161">
        <v>266</v>
      </c>
      <c r="C74" t="str">
        <f>_xlfn.XLOOKUP(B74,'Country Code M49'!$B$2:$B$250,'Country Code M49'!$C$2:$C$250,,0)</f>
        <v>GAB</v>
      </c>
      <c r="D74" s="161" t="s">
        <v>829</v>
      </c>
      <c r="E74" s="162">
        <v>15.640228594822497</v>
      </c>
      <c r="F74" s="162">
        <v>33979.960645111358</v>
      </c>
      <c r="G74" s="160" t="s">
        <v>872</v>
      </c>
      <c r="H74" s="188">
        <f>_xlfn.XLOOKUP(D74,'[1]World Population'!$B$2:$B$267,'[1]World Population'!$BN$2:$BN$267,0)</f>
        <v>2225728</v>
      </c>
      <c r="I74" s="188">
        <f>_xlfn.XLOOKUP(C74,'[4]Access to Electricity'!$B$6:$B$271,'[4]Access to Electricity'!$BM$6:$BM$271)</f>
        <v>91.571563720703097</v>
      </c>
      <c r="J74" s="194">
        <f>_xlfn.XLOOKUP(C74,'[2]GDP 2015 Constant'!$B$6:$B$271,'[2]GDP 2015 Constant'!$BM$6:$BM$271)</f>
        <v>15176119329</v>
      </c>
      <c r="K74" s="193">
        <f t="shared" si="2"/>
        <v>6818.4968374392556</v>
      </c>
      <c r="L74" s="194">
        <f>_xlfn.XLOOKUP(C74,'[5]Tourism Receipts'!$B$6:$B$271,'[5]Tourism Receipts'!$BK$6:$BK$271)</f>
        <v>0</v>
      </c>
      <c r="M74" s="195">
        <f t="shared" si="3"/>
        <v>0</v>
      </c>
      <c r="N74">
        <v>20.004045872555501</v>
      </c>
      <c r="O74" s="188">
        <v>904267</v>
      </c>
      <c r="P74" s="188">
        <v>101.23</v>
      </c>
      <c r="Q74">
        <v>41.382682553200603</v>
      </c>
      <c r="R74">
        <v>18.841397968469501</v>
      </c>
      <c r="S74">
        <v>0</v>
      </c>
      <c r="T74">
        <v>238.80079051383399</v>
      </c>
    </row>
    <row r="75" spans="1:20" ht="25" x14ac:dyDescent="0.2">
      <c r="A75" s="161" t="s">
        <v>154</v>
      </c>
      <c r="B75" s="161">
        <v>270</v>
      </c>
      <c r="C75" t="str">
        <f>_xlfn.XLOOKUP(B75,'Country Code M49'!$B$2:$B$250,'Country Code M49'!$C$2:$C$250,,0)</f>
        <v>GMB</v>
      </c>
      <c r="D75" s="161" t="s">
        <v>830</v>
      </c>
      <c r="E75" s="162">
        <v>15.640228594822497</v>
      </c>
      <c r="F75" s="162">
        <v>36718.564672064771</v>
      </c>
      <c r="G75" s="160" t="s">
        <v>872</v>
      </c>
      <c r="H75" s="188">
        <f>_xlfn.XLOOKUP(D75,'[1]World Population'!$B$2:$B$267,'[1]World Population'!$BN$2:$BN$267,0)</f>
        <v>2416664</v>
      </c>
      <c r="I75" s="188">
        <f>_xlfn.XLOOKUP(C75,'[4]Access to Electricity'!$B$6:$B$271,'[4]Access to Electricity'!$BM$6:$BM$271)</f>
        <v>62.273067474365199</v>
      </c>
      <c r="J75" s="194">
        <f>_xlfn.XLOOKUP(C75,'[2]GDP 2015 Constant'!$B$6:$B$271,'[2]GDP 2015 Constant'!$BM$6:$BM$271)</f>
        <v>1674141973</v>
      </c>
      <c r="K75" s="193">
        <f t="shared" si="2"/>
        <v>692.74916703356359</v>
      </c>
      <c r="L75" s="194">
        <f>_xlfn.XLOOKUP(C75,'[5]Tourism Receipts'!$B$6:$B$271,'[5]Tourism Receipts'!$BK$6:$BK$271)</f>
        <v>174000000</v>
      </c>
      <c r="M75" s="195">
        <f t="shared" si="3"/>
        <v>0.10393383763516692</v>
      </c>
      <c r="N75">
        <v>6.5045891872234698</v>
      </c>
      <c r="O75" s="188">
        <v>1509450</v>
      </c>
      <c r="P75" s="188">
        <v>115.93</v>
      </c>
      <c r="Q75">
        <v>61.197011618990402</v>
      </c>
      <c r="R75">
        <v>54.818493141138099</v>
      </c>
      <c r="S75">
        <v>2693.9727602251301</v>
      </c>
      <c r="T75">
        <v>65.130270478323197</v>
      </c>
    </row>
    <row r="76" spans="1:20" ht="25" x14ac:dyDescent="0.2">
      <c r="A76" s="161" t="s">
        <v>148</v>
      </c>
      <c r="B76" s="161">
        <v>268</v>
      </c>
      <c r="C76" t="str">
        <f>_xlfn.XLOOKUP(B76,'Country Code M49'!$B$2:$B$250,'Country Code M49'!$C$2:$C$250,,0)</f>
        <v>GEO</v>
      </c>
      <c r="D76" s="161" t="s">
        <v>106</v>
      </c>
      <c r="E76" s="162">
        <v>15.640228594822497</v>
      </c>
      <c r="F76" s="162">
        <v>62510.865647786559</v>
      </c>
      <c r="G76" s="160" t="s">
        <v>872</v>
      </c>
      <c r="H76" s="188">
        <f>_xlfn.XLOOKUP(D76,'[1]World Population'!$B$2:$B$267,'[1]World Population'!$BN$2:$BN$267,0)</f>
        <v>3722716</v>
      </c>
      <c r="I76" s="188">
        <f>_xlfn.XLOOKUP(C76,'[4]Access to Electricity'!$B$6:$B$271,'[4]Access to Electricity'!$BM$6:$BM$271)</f>
        <v>100</v>
      </c>
      <c r="J76" s="194">
        <f>_xlfn.XLOOKUP(C76,'[2]GDP 2015 Constant'!$B$6:$B$271,'[2]GDP 2015 Constant'!$BM$6:$BM$271)</f>
        <v>16557390869</v>
      </c>
      <c r="K76" s="193">
        <f t="shared" si="2"/>
        <v>4447.6642507781953</v>
      </c>
      <c r="L76" s="194">
        <f>_xlfn.XLOOKUP(C76,'[5]Tourism Receipts'!$B$6:$B$271,'[5]Tourism Receipts'!$BK$6:$BK$271)</f>
        <v>3518000000</v>
      </c>
      <c r="M76" s="195">
        <f t="shared" si="3"/>
        <v>0.2124730899834385</v>
      </c>
      <c r="N76">
        <v>0.77898858450775199</v>
      </c>
      <c r="O76" s="188">
        <v>18750282</v>
      </c>
      <c r="P76" s="188">
        <v>94.74</v>
      </c>
      <c r="Q76">
        <v>41.133360650383302</v>
      </c>
      <c r="R76">
        <v>46.624238847222401</v>
      </c>
      <c r="S76">
        <v>7035.4829747167596</v>
      </c>
      <c r="T76">
        <v>238.01731875554501</v>
      </c>
    </row>
    <row r="77" spans="1:20" x14ac:dyDescent="0.2">
      <c r="A77" s="161" t="s">
        <v>147</v>
      </c>
      <c r="B77" s="161">
        <v>276</v>
      </c>
      <c r="C77" t="str">
        <f>_xlfn.XLOOKUP(B77,'Country Code M49'!$B$2:$B$250,'Country Code M49'!$C$2:$C$250,,0)</f>
        <v>DEU</v>
      </c>
      <c r="D77" s="161" t="s">
        <v>107</v>
      </c>
      <c r="E77" s="162">
        <v>5.9657776556407045</v>
      </c>
      <c r="F77" s="162">
        <v>498243.85246614472</v>
      </c>
      <c r="G77" s="160" t="s">
        <v>880</v>
      </c>
      <c r="H77" s="188">
        <f>_xlfn.XLOOKUP(D77,'[1]World Population'!$B$2:$B$267,'[1]World Population'!$BN$2:$BN$267,0)</f>
        <v>83160871</v>
      </c>
      <c r="I77" s="188">
        <f>_xlfn.XLOOKUP(C77,'[4]Access to Electricity'!$B$6:$B$271,'[4]Access to Electricity'!$BM$6:$BM$271)</f>
        <v>100</v>
      </c>
      <c r="J77" s="194">
        <f>_xlfn.XLOOKUP(C77,'[2]GDP 2015 Constant'!$B$6:$B$271,'[2]GDP 2015 Constant'!$BM$6:$BM$271)</f>
        <v>3435820000000</v>
      </c>
      <c r="K77" s="193">
        <f t="shared" si="2"/>
        <v>41315.344087726065</v>
      </c>
      <c r="L77" s="194">
        <f>_xlfn.XLOOKUP(C77,'[5]Tourism Receipts'!$B$6:$B$271,'[5]Tourism Receipts'!$BK$6:$BK$271)</f>
        <v>59446000000</v>
      </c>
      <c r="M77" s="195">
        <f t="shared" si="3"/>
        <v>1.7301837698133198E-2</v>
      </c>
      <c r="N77">
        <v>17.323229997398801</v>
      </c>
      <c r="O77" s="188">
        <v>13252922</v>
      </c>
      <c r="P77" s="188">
        <v>115.64</v>
      </c>
      <c r="Q77">
        <v>34.503622462809801</v>
      </c>
      <c r="R77">
        <v>37.449599421384399</v>
      </c>
      <c r="S77">
        <v>351.30147573066603</v>
      </c>
      <c r="T77">
        <v>136.564564261008</v>
      </c>
    </row>
    <row r="78" spans="1:20" ht="25" x14ac:dyDescent="0.2">
      <c r="A78" s="161" t="s">
        <v>154</v>
      </c>
      <c r="B78" s="161">
        <v>288</v>
      </c>
      <c r="C78" t="str">
        <f>_xlfn.XLOOKUP(B78,'Country Code M49'!$B$2:$B$250,'Country Code M49'!$C$2:$C$250,,0)</f>
        <v>GHA</v>
      </c>
      <c r="D78" s="161" t="s">
        <v>108</v>
      </c>
      <c r="E78" s="162">
        <v>15.640228594822497</v>
      </c>
      <c r="F78" s="162">
        <v>475742.90937445121</v>
      </c>
      <c r="G78" s="160" t="s">
        <v>872</v>
      </c>
      <c r="H78" s="188">
        <f>_xlfn.XLOOKUP(D78,'[1]World Population'!$B$2:$B$267,'[1]World Population'!$BN$2:$BN$267,0)</f>
        <v>31072945</v>
      </c>
      <c r="I78" s="188">
        <f>_xlfn.XLOOKUP(C78,'[4]Access to Electricity'!$B$6:$B$271,'[4]Access to Electricity'!$BM$6:$BM$271)</f>
        <v>85.873550415039105</v>
      </c>
      <c r="J78" s="194">
        <f>_xlfn.XLOOKUP(C78,'[2]GDP 2015 Constant'!$B$6:$B$271,'[2]GDP 2015 Constant'!$BM$6:$BM$271)</f>
        <v>62786746874</v>
      </c>
      <c r="K78" s="193">
        <f t="shared" si="2"/>
        <v>2020.6242721441433</v>
      </c>
      <c r="L78" s="194">
        <f>_xlfn.XLOOKUP(C78,'[5]Tourism Receipts'!$B$6:$B$271,'[5]Tourism Receipts'!$BK$6:$BK$271)</f>
        <v>996000000</v>
      </c>
      <c r="M78" s="195">
        <f t="shared" si="3"/>
        <v>1.5863220338501783E-2</v>
      </c>
      <c r="N78">
        <v>0</v>
      </c>
      <c r="O78" s="188">
        <v>0</v>
      </c>
      <c r="P78" s="188">
        <v>0</v>
      </c>
      <c r="Q78">
        <v>0</v>
      </c>
      <c r="R78">
        <v>0</v>
      </c>
      <c r="S78">
        <v>5692.9371997865101</v>
      </c>
      <c r="T78">
        <v>3369.1</v>
      </c>
    </row>
    <row r="79" spans="1:20" x14ac:dyDescent="0.2">
      <c r="A79" s="161" t="s">
        <v>155</v>
      </c>
      <c r="B79" s="161">
        <v>292</v>
      </c>
      <c r="C79" t="str">
        <f>_xlfn.XLOOKUP(B79,'Country Code M49'!$B$2:$B$250,'Country Code M49'!$C$2:$C$250,,0)</f>
        <v>GIB</v>
      </c>
      <c r="D79" s="161" t="s">
        <v>806</v>
      </c>
      <c r="E79" s="162">
        <v>12.811309449374059</v>
      </c>
      <c r="F79" s="162">
        <v>431.74112844390578</v>
      </c>
      <c r="G79" s="160" t="s">
        <v>877</v>
      </c>
      <c r="H79" s="188">
        <f>_xlfn.XLOOKUP(D79,'[1]World Population'!$B$2:$B$267,'[1]World Population'!$BN$2:$BN$267,0)</f>
        <v>33691</v>
      </c>
      <c r="I79" s="188">
        <f>_xlfn.XLOOKUP(C79,'[4]Access to Electricity'!$B$6:$B$271,'[4]Access to Electricity'!$BM$6:$BM$271)</f>
        <v>100</v>
      </c>
      <c r="J79" s="194" t="e">
        <f>_xlfn.XLOOKUP(C79,'[2]GDP 2015 Constant'!$B$6:$B$271,'[2]GDP 2015 Constant'!$BM$6:$BM$271)</f>
        <v>#REF!</v>
      </c>
      <c r="K79" s="193" t="e">
        <f t="shared" si="2"/>
        <v>#REF!</v>
      </c>
      <c r="L79" s="194">
        <f>_xlfn.XLOOKUP(C79,'[5]Tourism Receipts'!$B$6:$B$271,'[5]Tourism Receipts'!$BK$6:$BK$271)</f>
        <v>0</v>
      </c>
      <c r="M79" s="195" t="e">
        <f t="shared" si="3"/>
        <v>#REF!</v>
      </c>
      <c r="N79">
        <v>3.77962501702793</v>
      </c>
      <c r="O79" s="188">
        <v>2170608</v>
      </c>
      <c r="P79" s="188">
        <v>99.26</v>
      </c>
      <c r="Q79">
        <v>41.157120456381897</v>
      </c>
      <c r="R79">
        <v>40.132156109169998</v>
      </c>
      <c r="S79">
        <v>5062.6064215523202</v>
      </c>
      <c r="T79">
        <v>83.014398758727694</v>
      </c>
    </row>
    <row r="80" spans="1:20" x14ac:dyDescent="0.2">
      <c r="A80" s="161" t="s">
        <v>155</v>
      </c>
      <c r="B80" s="161">
        <v>300</v>
      </c>
      <c r="C80" t="str">
        <f>_xlfn.XLOOKUP(B80,'Country Code M49'!$B$2:$B$250,'Country Code M49'!$C$2:$C$250,,0)</f>
        <v>GRC</v>
      </c>
      <c r="D80" s="161" t="s">
        <v>109</v>
      </c>
      <c r="E80" s="162">
        <v>7.3835426121703698</v>
      </c>
      <c r="F80" s="162">
        <v>77331.533548566367</v>
      </c>
      <c r="G80" s="160" t="s">
        <v>881</v>
      </c>
      <c r="H80" s="188">
        <f>_xlfn.XLOOKUP(D80,'[1]World Population'!$B$2:$B$267,'[1]World Population'!$BN$2:$BN$267,0)</f>
        <v>10700556</v>
      </c>
      <c r="I80" s="188">
        <f>_xlfn.XLOOKUP(C80,'[4]Access to Electricity'!$B$6:$B$271,'[4]Access to Electricity'!$BM$6:$BM$271)</f>
        <v>100</v>
      </c>
      <c r="J80" s="194">
        <f>_xlfn.XLOOKUP(C80,'[2]GDP 2015 Constant'!$B$6:$B$271,'[2]GDP 2015 Constant'!$BM$6:$BM$271)</f>
        <v>185375000000</v>
      </c>
      <c r="K80" s="193">
        <f t="shared" si="2"/>
        <v>17323.866161720944</v>
      </c>
      <c r="L80" s="194">
        <f>_xlfn.XLOOKUP(C80,'[5]Tourism Receipts'!$B$6:$B$271,'[5]Tourism Receipts'!$BK$6:$BK$271)</f>
        <v>21594000000</v>
      </c>
      <c r="M80" s="195">
        <f t="shared" si="3"/>
        <v>0.1164881995954147</v>
      </c>
      <c r="N80">
        <v>18.178904779073001</v>
      </c>
      <c r="O80" s="188">
        <v>7169</v>
      </c>
      <c r="P80" s="188">
        <v>0</v>
      </c>
      <c r="Q80">
        <v>45.322111722057798</v>
      </c>
      <c r="R80">
        <v>41.083804029964298</v>
      </c>
      <c r="S80">
        <v>0</v>
      </c>
      <c r="T80">
        <v>0.13732976001949099</v>
      </c>
    </row>
    <row r="81" spans="1:20" x14ac:dyDescent="0.2">
      <c r="A81" s="161" t="s">
        <v>151</v>
      </c>
      <c r="B81" s="161">
        <v>304</v>
      </c>
      <c r="C81" t="str">
        <f>_xlfn.XLOOKUP(B81,'Country Code M49'!$B$2:$B$250,'Country Code M49'!$C$2:$C$250,,0)</f>
        <v>GRL</v>
      </c>
      <c r="D81" s="161" t="s">
        <v>772</v>
      </c>
      <c r="E81" s="162">
        <v>12.811309449374059</v>
      </c>
      <c r="F81" s="162">
        <v>726.40124577950917</v>
      </c>
      <c r="G81" s="160" t="s">
        <v>877</v>
      </c>
      <c r="H81" s="188">
        <f>_xlfn.XLOOKUP(D81,'[1]World Population'!$B$2:$B$267,'[1]World Population'!$BN$2:$BN$267,0)</f>
        <v>56367</v>
      </c>
      <c r="I81" s="188">
        <f>_xlfn.XLOOKUP(C81,'[4]Access to Electricity'!$B$6:$B$271,'[4]Access to Electricity'!$BM$6:$BM$271)</f>
        <v>100</v>
      </c>
      <c r="J81" s="194">
        <f>_xlfn.XLOOKUP(C81,'[2]GDP 2015 Constant'!$B$6:$B$271,'[2]GDP 2015 Constant'!$BM$6:$BM$271)</f>
        <v>2703236956</v>
      </c>
      <c r="K81" s="193">
        <f t="shared" si="2"/>
        <v>47957.793673603352</v>
      </c>
      <c r="L81" s="194">
        <f>_xlfn.XLOOKUP(C81,'[5]Tourism Receipts'!$B$6:$B$271,'[5]Tourism Receipts'!$BK$6:$BK$271)</f>
        <v>0</v>
      </c>
      <c r="M81" s="195">
        <f t="shared" si="3"/>
        <v>0</v>
      </c>
      <c r="N81">
        <v>4.6795120268830797</v>
      </c>
      <c r="O81" s="188">
        <v>71408</v>
      </c>
      <c r="P81" s="188">
        <v>91.56</v>
      </c>
      <c r="Q81">
        <v>0</v>
      </c>
      <c r="R81">
        <v>0</v>
      </c>
      <c r="S81">
        <v>0</v>
      </c>
      <c r="T81">
        <v>330.93823529411799</v>
      </c>
    </row>
    <row r="82" spans="1:20" ht="25" x14ac:dyDescent="0.2">
      <c r="A82" s="161" t="s">
        <v>150</v>
      </c>
      <c r="B82" s="161">
        <v>308</v>
      </c>
      <c r="C82" t="str">
        <f>_xlfn.XLOOKUP(B82,'Country Code M49'!$B$2:$B$250,'Country Code M49'!$C$2:$C$250,,0)</f>
        <v>GRD</v>
      </c>
      <c r="D82" s="161" t="s">
        <v>726</v>
      </c>
      <c r="E82" s="162">
        <v>15.640228594822497</v>
      </c>
      <c r="F82" s="162">
        <v>1751.7056026201196</v>
      </c>
      <c r="G82" s="160" t="s">
        <v>872</v>
      </c>
      <c r="H82" s="188">
        <f>_xlfn.XLOOKUP(D82,'[1]World Population'!$B$2:$B$267,'[1]World Population'!$BN$2:$BN$267,0)</f>
        <v>112519</v>
      </c>
      <c r="I82" s="188">
        <f>_xlfn.XLOOKUP(C82,'[4]Access to Electricity'!$B$6:$B$271,'[4]Access to Electricity'!$BM$6:$BM$271)</f>
        <v>93.586448669433594</v>
      </c>
      <c r="J82" s="194">
        <f>_xlfn.XLOOKUP(C82,'[2]GDP 2015 Constant'!$B$6:$B$271,'[2]GDP 2015 Constant'!$BM$6:$BM$271)</f>
        <v>978815313.89999998</v>
      </c>
      <c r="K82" s="193">
        <f t="shared" si="2"/>
        <v>8699.1113847439101</v>
      </c>
      <c r="L82" s="194">
        <f>_xlfn.XLOOKUP(C82,'[5]Tourism Receipts'!$B$6:$B$271,'[5]Tourism Receipts'!$BK$6:$BK$271)</f>
        <v>548000000</v>
      </c>
      <c r="M82" s="195">
        <f t="shared" si="3"/>
        <v>0.55986046828031755</v>
      </c>
      <c r="N82">
        <v>0</v>
      </c>
      <c r="O82" s="188">
        <v>8544</v>
      </c>
      <c r="P82" s="188">
        <v>0</v>
      </c>
      <c r="Q82">
        <v>53.6633663366337</v>
      </c>
      <c r="R82">
        <v>22.0458830923947</v>
      </c>
      <c r="S82">
        <v>0</v>
      </c>
      <c r="T82">
        <v>312.56111111111102</v>
      </c>
    </row>
    <row r="83" spans="1:20" x14ac:dyDescent="0.2">
      <c r="A83" s="161" t="s">
        <v>875</v>
      </c>
      <c r="B83" s="161">
        <v>316</v>
      </c>
      <c r="C83" t="str">
        <f>_xlfn.XLOOKUP(B83,'Country Code M49'!$B$2:$B$250,'Country Code M49'!$C$2:$C$250,,0)</f>
        <v>GUM</v>
      </c>
      <c r="D83" s="161" t="s">
        <v>757</v>
      </c>
      <c r="E83" s="162">
        <v>12.811309449374059</v>
      </c>
      <c r="F83" s="162">
        <v>2143.3320708802803</v>
      </c>
      <c r="G83" s="160" t="s">
        <v>877</v>
      </c>
      <c r="H83" s="188">
        <f>_xlfn.XLOOKUP(D83,'[1]World Population'!$B$2:$B$267,'[1]World Population'!$BN$2:$BN$267,0)</f>
        <v>168783</v>
      </c>
      <c r="I83" s="188">
        <f>_xlfn.XLOOKUP(C83,'[4]Access to Electricity'!$B$6:$B$271,'[4]Access to Electricity'!$BM$6:$BM$271)</f>
        <v>100</v>
      </c>
      <c r="J83" s="194">
        <f>_xlfn.XLOOKUP(C83,'[2]GDP 2015 Constant'!$B$6:$B$271,'[2]GDP 2015 Constant'!$BM$6:$BM$271)</f>
        <v>5259729936</v>
      </c>
      <c r="K83" s="193">
        <f t="shared" si="2"/>
        <v>31162.675956701802</v>
      </c>
      <c r="L83" s="194">
        <f>_xlfn.XLOOKUP(C83,'[5]Tourism Receipts'!$B$6:$B$271,'[5]Tourism Receipts'!$BK$6:$BK$271)</f>
        <v>0</v>
      </c>
      <c r="M83" s="195">
        <f t="shared" si="3"/>
        <v>0</v>
      </c>
      <c r="N83">
        <v>9.4342141738807292</v>
      </c>
      <c r="O83" s="188">
        <v>8119648</v>
      </c>
      <c r="P83" s="188">
        <v>106.62</v>
      </c>
      <c r="Q83">
        <v>28.889460626593301</v>
      </c>
      <c r="R83">
        <v>17.649123759796002</v>
      </c>
      <c r="S83">
        <v>601.18973108878697</v>
      </c>
      <c r="T83">
        <v>157.31927025009301</v>
      </c>
    </row>
    <row r="84" spans="1:20" ht="25" x14ac:dyDescent="0.2">
      <c r="A84" s="161" t="s">
        <v>150</v>
      </c>
      <c r="B84" s="161">
        <v>320</v>
      </c>
      <c r="C84" t="str">
        <f>_xlfn.XLOOKUP(B84,'Country Code M49'!$B$2:$B$250,'Country Code M49'!$C$2:$C$250,,0)</f>
        <v>GTM</v>
      </c>
      <c r="D84" s="161" t="s">
        <v>728</v>
      </c>
      <c r="E84" s="162">
        <v>15.640228594822497</v>
      </c>
      <c r="F84" s="162">
        <v>274978.67903987173</v>
      </c>
      <c r="G84" s="160" t="s">
        <v>872</v>
      </c>
      <c r="H84" s="188">
        <f>_xlfn.XLOOKUP(D84,'[1]World Population'!$B$2:$B$267,'[1]World Population'!$BN$2:$BN$267,0)</f>
        <v>16858333</v>
      </c>
      <c r="I84" s="188">
        <f>_xlfn.XLOOKUP(C84,'[4]Access to Electricity'!$B$6:$B$271,'[4]Access to Electricity'!$BM$6:$BM$271)</f>
        <v>97.055267333984403</v>
      </c>
      <c r="J84" s="194">
        <f>_xlfn.XLOOKUP(C84,'[2]GDP 2015 Constant'!$B$6:$B$271,'[2]GDP 2015 Constant'!$BM$6:$BM$271)</f>
        <v>69560945138</v>
      </c>
      <c r="K84" s="193">
        <f t="shared" si="2"/>
        <v>4126.2054283777643</v>
      </c>
      <c r="L84" s="194">
        <f>_xlfn.XLOOKUP(C84,'[5]Tourism Receipts'!$B$6:$B$271,'[5]Tourism Receipts'!$BK$6:$BK$271)</f>
        <v>1235099976</v>
      </c>
      <c r="M84" s="195">
        <f t="shared" si="3"/>
        <v>1.7755652594278585E-2</v>
      </c>
      <c r="N84">
        <v>26.427276700183299</v>
      </c>
      <c r="O84" s="188">
        <v>8290075</v>
      </c>
      <c r="P84" s="188">
        <v>135.81</v>
      </c>
      <c r="Q84">
        <v>48.777016010834899</v>
      </c>
      <c r="R84">
        <v>30.119030414687099</v>
      </c>
      <c r="S84">
        <v>0</v>
      </c>
      <c r="T84">
        <v>53.446166368223999</v>
      </c>
    </row>
    <row r="85" spans="1:20" ht="25" x14ac:dyDescent="0.2">
      <c r="A85" s="161" t="s">
        <v>154</v>
      </c>
      <c r="B85" s="161">
        <v>324</v>
      </c>
      <c r="C85" t="str">
        <f>_xlfn.XLOOKUP(B85,'Country Code M49'!$B$2:$B$250,'Country Code M49'!$C$2:$C$250,,0)</f>
        <v>GIN</v>
      </c>
      <c r="D85" s="161" t="s">
        <v>831</v>
      </c>
      <c r="E85" s="162">
        <v>15.640228594822497</v>
      </c>
      <c r="F85" s="162">
        <v>199744.4874301971</v>
      </c>
      <c r="G85" s="160" t="s">
        <v>872</v>
      </c>
      <c r="H85" s="188">
        <f>_xlfn.XLOOKUP(D85,'[1]World Population'!$B$2:$B$267,'[1]World Population'!$BN$2:$BN$267,0)</f>
        <v>13132792</v>
      </c>
      <c r="I85" s="188">
        <f>_xlfn.XLOOKUP(C85,'[4]Access to Electricity'!$B$6:$B$271,'[4]Access to Electricity'!$BM$6:$BM$271)</f>
        <v>44.668678283691399</v>
      </c>
      <c r="J85" s="194">
        <f>_xlfn.XLOOKUP(C85,'[2]GDP 2015 Constant'!$B$6:$B$271,'[2]GDP 2015 Constant'!$BM$6:$BM$271)</f>
        <v>12635273566</v>
      </c>
      <c r="K85" s="193">
        <f t="shared" si="2"/>
        <v>962.11632423630863</v>
      </c>
      <c r="L85" s="194">
        <f>_xlfn.XLOOKUP(C85,'[5]Tourism Receipts'!$B$6:$B$271,'[5]Tourism Receipts'!$BK$6:$BK$271)</f>
        <v>4699999.8090000004</v>
      </c>
      <c r="M85" s="195">
        <f t="shared" si="3"/>
        <v>3.7197451914671115E-4</v>
      </c>
      <c r="N85">
        <v>30.3965794546532</v>
      </c>
      <c r="O85" s="188">
        <v>1098222</v>
      </c>
      <c r="P85" s="188">
        <v>105.1</v>
      </c>
      <c r="Q85">
        <v>30.7420205283575</v>
      </c>
      <c r="R85">
        <v>20.287949662122099</v>
      </c>
      <c r="S85">
        <v>0</v>
      </c>
      <c r="T85">
        <v>69.985704125177804</v>
      </c>
    </row>
    <row r="86" spans="1:20" ht="25" x14ac:dyDescent="0.2">
      <c r="A86" s="161" t="s">
        <v>154</v>
      </c>
      <c r="B86" s="161">
        <v>624</v>
      </c>
      <c r="C86" t="str">
        <f>_xlfn.XLOOKUP(B86,'Country Code M49'!$B$2:$B$250,'Country Code M49'!$C$2:$C$250,,0)</f>
        <v>GNB</v>
      </c>
      <c r="D86" s="161" t="s">
        <v>832</v>
      </c>
      <c r="E86" s="162">
        <v>15.640228594822497</v>
      </c>
      <c r="F86" s="162">
        <v>30043.315107794533</v>
      </c>
      <c r="G86" s="160" t="s">
        <v>872</v>
      </c>
      <c r="H86" s="188">
        <f>_xlfn.XLOOKUP(D86,'[1]World Population'!$B$2:$B$267,'[1]World Population'!$BN$2:$BN$267,0)</f>
        <v>1967998</v>
      </c>
      <c r="I86" s="188">
        <f>_xlfn.XLOOKUP(C86,'[4]Access to Electricity'!$B$6:$B$271,'[4]Access to Electricity'!$BM$6:$BM$271)</f>
        <v>33.3354682922363</v>
      </c>
      <c r="J86" s="194">
        <f>_xlfn.XLOOKUP(C86,'[2]GDP 2015 Constant'!$B$6:$B$271,'[2]GDP 2015 Constant'!$BM$6:$BM$271)</f>
        <v>1218759824</v>
      </c>
      <c r="K86" s="193">
        <f t="shared" si="2"/>
        <v>619.28915781418482</v>
      </c>
      <c r="L86" s="194">
        <f>_xlfn.XLOOKUP(C86,'[5]Tourism Receipts'!$B$6:$B$271,'[5]Tourism Receipts'!$BK$6:$BK$271)</f>
        <v>20000000</v>
      </c>
      <c r="M86" s="195">
        <f t="shared" si="3"/>
        <v>1.6410124132874272E-2</v>
      </c>
      <c r="N86">
        <v>17.595336734249301</v>
      </c>
      <c r="O86" s="188">
        <v>575871</v>
      </c>
      <c r="P86" s="188">
        <v>113.75</v>
      </c>
      <c r="Q86">
        <v>0</v>
      </c>
      <c r="R86">
        <v>0</v>
      </c>
      <c r="S86">
        <v>0</v>
      </c>
      <c r="T86">
        <v>3.9957277114554199</v>
      </c>
    </row>
    <row r="87" spans="1:20" ht="25" x14ac:dyDescent="0.2">
      <c r="A87" s="161" t="s">
        <v>150</v>
      </c>
      <c r="B87" s="161">
        <v>328</v>
      </c>
      <c r="C87" t="str">
        <f>_xlfn.XLOOKUP(B87,'Country Code M49'!$B$2:$B$250,'Country Code M49'!$C$2:$C$250,,0)</f>
        <v>GUY</v>
      </c>
      <c r="D87" s="161" t="s">
        <v>729</v>
      </c>
      <c r="E87" s="162">
        <v>15.640228594822497</v>
      </c>
      <c r="F87" s="162">
        <v>12243.170944027052</v>
      </c>
      <c r="G87" s="160" t="s">
        <v>872</v>
      </c>
      <c r="H87" s="188">
        <f>_xlfn.XLOOKUP(D87,'[1]World Population'!$B$2:$B$267,'[1]World Population'!$BN$2:$BN$267,0)</f>
        <v>786559</v>
      </c>
      <c r="I87" s="188">
        <f>_xlfn.XLOOKUP(C87,'[4]Access to Electricity'!$B$6:$B$271,'[4]Access to Electricity'!$BM$6:$BM$271)</f>
        <v>92.540542602539105</v>
      </c>
      <c r="J87" s="194">
        <f>_xlfn.XLOOKUP(C87,'[2]GDP 2015 Constant'!$B$6:$B$271,'[2]GDP 2015 Constant'!$BM$6:$BM$271)</f>
        <v>7275908034</v>
      </c>
      <c r="K87" s="193">
        <f t="shared" si="2"/>
        <v>9250.3016734917528</v>
      </c>
      <c r="L87" s="194">
        <f>_xlfn.XLOOKUP(C87,'[5]Tourism Receipts'!$B$6:$B$271,'[5]Tourism Receipts'!$BK$6:$BK$271)</f>
        <v>0</v>
      </c>
      <c r="M87" s="195">
        <f t="shared" si="3"/>
        <v>0</v>
      </c>
      <c r="N87">
        <v>19.4861983599491</v>
      </c>
      <c r="O87" s="188">
        <v>4893055</v>
      </c>
      <c r="P87" s="188">
        <v>78.2</v>
      </c>
      <c r="Q87">
        <v>36.4481561015822</v>
      </c>
      <c r="R87">
        <v>11.714118839635001</v>
      </c>
      <c r="S87">
        <v>39.055808760009398</v>
      </c>
      <c r="T87">
        <v>413.73486937590701</v>
      </c>
    </row>
    <row r="88" spans="1:20" ht="25" x14ac:dyDescent="0.2">
      <c r="A88" s="161" t="s">
        <v>150</v>
      </c>
      <c r="B88" s="161">
        <v>332</v>
      </c>
      <c r="C88" t="str">
        <f>_xlfn.XLOOKUP(B88,'Country Code M49'!$B$2:$B$250,'Country Code M49'!$C$2:$C$250,,0)</f>
        <v>HTI</v>
      </c>
      <c r="D88" s="161" t="s">
        <v>730</v>
      </c>
      <c r="E88" s="162">
        <v>15.640228594822497</v>
      </c>
      <c r="F88" s="162">
        <v>176157.45868634529</v>
      </c>
      <c r="G88" s="160" t="s">
        <v>872</v>
      </c>
      <c r="H88" s="188">
        <f>_xlfn.XLOOKUP(D88,'[1]World Population'!$B$2:$B$267,'[1]World Population'!$BN$2:$BN$267,0)</f>
        <v>11402533</v>
      </c>
      <c r="I88" s="188">
        <f>_xlfn.XLOOKUP(C88,'[4]Access to Electricity'!$B$6:$B$271,'[4]Access to Electricity'!$BM$6:$BM$271)</f>
        <v>46.925533294677699</v>
      </c>
      <c r="J88" s="194">
        <f>_xlfn.XLOOKUP(C88,'[2]GDP 2015 Constant'!$B$6:$B$271,'[2]GDP 2015 Constant'!$BM$6:$BM$271)</f>
        <v>14956795315</v>
      </c>
      <c r="K88" s="193">
        <f t="shared" si="2"/>
        <v>1311.7081366920841</v>
      </c>
      <c r="L88" s="194">
        <f>_xlfn.XLOOKUP(C88,'[5]Tourism Receipts'!$B$6:$B$271,'[5]Tourism Receipts'!$BK$6:$BK$271)</f>
        <v>620000000</v>
      </c>
      <c r="M88" s="195">
        <f t="shared" si="3"/>
        <v>4.1452730143215176E-2</v>
      </c>
      <c r="N88">
        <v>10.7536504478567</v>
      </c>
      <c r="O88" s="188">
        <v>4124378</v>
      </c>
      <c r="P88" s="188">
        <v>103.58</v>
      </c>
      <c r="Q88">
        <v>62.096345654127198</v>
      </c>
      <c r="R88">
        <v>39.918512672508903</v>
      </c>
      <c r="S88">
        <v>619.83708702698095</v>
      </c>
      <c r="T88">
        <v>88.520940209133997</v>
      </c>
    </row>
    <row r="89" spans="1:20" ht="25" x14ac:dyDescent="0.2">
      <c r="A89" s="161" t="s">
        <v>150</v>
      </c>
      <c r="B89" s="161">
        <v>340</v>
      </c>
      <c r="C89" t="str">
        <f>_xlfn.XLOOKUP(B89,'Country Code M49'!$B$2:$B$250,'Country Code M49'!$C$2:$C$250,,0)</f>
        <v>HND</v>
      </c>
      <c r="D89" s="161" t="s">
        <v>731</v>
      </c>
      <c r="E89" s="162">
        <v>15.640228594822497</v>
      </c>
      <c r="F89" s="162">
        <v>152431.23190799955</v>
      </c>
      <c r="G89" s="160" t="s">
        <v>872</v>
      </c>
      <c r="H89" s="188">
        <f>_xlfn.XLOOKUP(D89,'[1]World Population'!$B$2:$B$267,'[1]World Population'!$BN$2:$BN$267,0)</f>
        <v>9904608</v>
      </c>
      <c r="I89" s="188">
        <f>_xlfn.XLOOKUP(C89,'[4]Access to Electricity'!$B$6:$B$271,'[4]Access to Electricity'!$BM$6:$BM$271)</f>
        <v>93.206710815429702</v>
      </c>
      <c r="J89" s="194">
        <f>_xlfn.XLOOKUP(C89,'[2]GDP 2015 Constant'!$B$6:$B$271,'[2]GDP 2015 Constant'!$BM$6:$BM$271)</f>
        <v>22176498034</v>
      </c>
      <c r="K89" s="193">
        <f t="shared" si="2"/>
        <v>2239.0081499439452</v>
      </c>
      <c r="L89" s="194">
        <f>_xlfn.XLOOKUP(C89,'[5]Tourism Receipts'!$B$6:$B$271,'[5]Tourism Receipts'!$BK$6:$BK$271)</f>
        <v>601000000</v>
      </c>
      <c r="M89" s="195">
        <f t="shared" si="3"/>
        <v>2.7100762215863574E-2</v>
      </c>
      <c r="N89">
        <v>3.34248182381838</v>
      </c>
      <c r="O89" s="188">
        <v>2735697</v>
      </c>
      <c r="P89" s="188">
        <v>93.67</v>
      </c>
      <c r="Q89">
        <v>79.494705021861407</v>
      </c>
      <c r="R89">
        <v>81.775933445836301</v>
      </c>
      <c r="S89">
        <v>3965.9582334833499</v>
      </c>
      <c r="T89">
        <v>106.83923953539301</v>
      </c>
    </row>
    <row r="90" spans="1:20" x14ac:dyDescent="0.2">
      <c r="A90" s="161" t="s">
        <v>156</v>
      </c>
      <c r="B90" s="161">
        <v>348</v>
      </c>
      <c r="C90" t="str">
        <f>_xlfn.XLOOKUP(B90,'Country Code M49'!$B$2:$B$250,'Country Code M49'!$C$2:$C$250,,0)</f>
        <v>HUN</v>
      </c>
      <c r="D90" s="161" t="s">
        <v>110</v>
      </c>
      <c r="E90" s="162">
        <v>12.811309449374059</v>
      </c>
      <c r="F90" s="162">
        <v>124073.68862435294</v>
      </c>
      <c r="G90" s="160" t="s">
        <v>877</v>
      </c>
      <c r="H90" s="188">
        <f>_xlfn.XLOOKUP(D90,'[1]World Population'!$B$2:$B$267,'[1]World Population'!$BN$2:$BN$267,0)</f>
        <v>9750149</v>
      </c>
      <c r="I90" s="188">
        <f>_xlfn.XLOOKUP(C90,'[4]Access to Electricity'!$B$6:$B$271,'[4]Access to Electricity'!$BM$6:$BM$271)</f>
        <v>100</v>
      </c>
      <c r="J90" s="194">
        <f>_xlfn.XLOOKUP(C90,'[2]GDP 2015 Constant'!$B$6:$B$271,'[2]GDP 2015 Constant'!$BM$6:$BM$271)</f>
        <v>140409000000</v>
      </c>
      <c r="K90" s="193">
        <f t="shared" si="2"/>
        <v>14400.703004641262</v>
      </c>
      <c r="L90" s="194">
        <f>_xlfn.XLOOKUP(C90,'[5]Tourism Receipts'!$B$6:$B$271,'[5]Tourism Receipts'!$BK$6:$BK$271)</f>
        <v>9618000000</v>
      </c>
      <c r="M90" s="195">
        <f t="shared" si="3"/>
        <v>6.8499882486165412E-2</v>
      </c>
      <c r="N90">
        <v>4.3756563979129304</v>
      </c>
      <c r="O90" s="188">
        <v>22362</v>
      </c>
      <c r="P90" s="188">
        <v>103.44</v>
      </c>
      <c r="Q90">
        <v>43.320661929267402</v>
      </c>
      <c r="R90">
        <v>44.302569053129801</v>
      </c>
      <c r="S90">
        <v>53832.479091958703</v>
      </c>
      <c r="T90">
        <v>3.6344639492214599</v>
      </c>
    </row>
    <row r="91" spans="1:20" x14ac:dyDescent="0.2">
      <c r="A91" s="161" t="s">
        <v>153</v>
      </c>
      <c r="B91" s="161">
        <v>352</v>
      </c>
      <c r="C91" t="str">
        <f>_xlfn.XLOOKUP(B91,'Country Code M49'!$B$2:$B$250,'Country Code M49'!$C$2:$C$250,,0)</f>
        <v>ISL</v>
      </c>
      <c r="D91" s="161" t="s">
        <v>775</v>
      </c>
      <c r="E91" s="162">
        <v>12.811309449374059</v>
      </c>
      <c r="F91" s="162">
        <v>4343.0339033378068</v>
      </c>
      <c r="G91" s="160" t="s">
        <v>877</v>
      </c>
      <c r="H91" s="188">
        <f>_xlfn.XLOOKUP(D91,'[1]World Population'!$B$2:$B$267,'[1]World Population'!$BN$2:$BN$267,0)</f>
        <v>366463</v>
      </c>
      <c r="I91" s="188">
        <f>_xlfn.XLOOKUP(C91,'[4]Access to Electricity'!$B$6:$B$271,'[4]Access to Electricity'!$BM$6:$BM$271)</f>
        <v>100</v>
      </c>
      <c r="J91" s="194">
        <f>_xlfn.XLOOKUP(C91,'[2]GDP 2015 Constant'!$B$6:$B$271,'[2]GDP 2015 Constant'!$BM$6:$BM$271)</f>
        <v>19491448632</v>
      </c>
      <c r="K91" s="193">
        <f t="shared" si="2"/>
        <v>53188.039807565838</v>
      </c>
      <c r="L91" s="194">
        <f>_xlfn.XLOOKUP(C91,'[5]Tourism Receipts'!$B$6:$B$271,'[5]Tourism Receipts'!$BK$6:$BK$271)</f>
        <v>0</v>
      </c>
      <c r="M91" s="195">
        <f t="shared" si="3"/>
        <v>0</v>
      </c>
      <c r="N91">
        <v>16.729204706558001</v>
      </c>
      <c r="O91" s="188">
        <v>898024053</v>
      </c>
      <c r="P91" s="188">
        <v>116.38</v>
      </c>
      <c r="Q91">
        <v>23.6891407335327</v>
      </c>
      <c r="R91">
        <v>18.690982707408899</v>
      </c>
      <c r="S91">
        <v>804.51634928329997</v>
      </c>
      <c r="T91">
        <v>464.14941022941701</v>
      </c>
    </row>
    <row r="92" spans="1:20" ht="25" x14ac:dyDescent="0.2">
      <c r="A92" s="161" t="s">
        <v>149</v>
      </c>
      <c r="B92" s="161">
        <v>356</v>
      </c>
      <c r="C92" t="str">
        <f>_xlfn.XLOOKUP(B92,'Country Code M49'!$B$2:$B$250,'Country Code M49'!$C$2:$C$250,,0)</f>
        <v>IND</v>
      </c>
      <c r="D92" s="161" t="s">
        <v>111</v>
      </c>
      <c r="E92" s="162">
        <v>15.640228594822497</v>
      </c>
      <c r="F92" s="162">
        <v>21371086.748034447</v>
      </c>
      <c r="G92" s="160" t="s">
        <v>872</v>
      </c>
      <c r="H92" s="188">
        <f>_xlfn.XLOOKUP(D92,'[1]World Population'!$B$2:$B$267,'[1]World Population'!$BN$2:$BN$267,0)</f>
        <v>1380004385</v>
      </c>
      <c r="I92" s="188">
        <f>_xlfn.XLOOKUP(C92,'[4]Access to Electricity'!$B$6:$B$271,'[4]Access to Electricity'!$BM$6:$BM$271)</f>
        <v>99</v>
      </c>
      <c r="J92" s="194">
        <f>_xlfn.XLOOKUP(C92,'[2]GDP 2015 Constant'!$B$6:$B$271,'[2]GDP 2015 Constant'!$BM$6:$BM$271)</f>
        <v>2508590000000</v>
      </c>
      <c r="K92" s="193">
        <f t="shared" si="2"/>
        <v>1817.8130644128353</v>
      </c>
      <c r="L92" s="194">
        <f>_xlfn.XLOOKUP(C92,'[5]Tourism Receipts'!$B$6:$B$271,'[5]Tourism Receipts'!$BK$6:$BK$271)</f>
        <v>29143000000</v>
      </c>
      <c r="M92" s="195">
        <f t="shared" si="3"/>
        <v>1.1617283015558541E-2</v>
      </c>
      <c r="N92">
        <v>12.7126026577522</v>
      </c>
      <c r="O92" s="188">
        <v>118597107</v>
      </c>
      <c r="P92" s="188">
        <v>114.52</v>
      </c>
      <c r="Q92">
        <v>22.071562457953998</v>
      </c>
      <c r="R92">
        <v>18.5915277970883</v>
      </c>
      <c r="S92">
        <v>811.90985816864804</v>
      </c>
      <c r="T92">
        <v>145.68354354869399</v>
      </c>
    </row>
    <row r="93" spans="1:20" ht="25" x14ac:dyDescent="0.2">
      <c r="A93" s="161" t="s">
        <v>157</v>
      </c>
      <c r="B93" s="161">
        <v>360</v>
      </c>
      <c r="C93" t="str">
        <f>_xlfn.XLOOKUP(B93,'Country Code M49'!$B$2:$B$250,'Country Code M49'!$C$2:$C$250,,0)</f>
        <v>IDN</v>
      </c>
      <c r="D93" s="161" t="s">
        <v>112</v>
      </c>
      <c r="E93" s="162">
        <v>15.640228594822497</v>
      </c>
      <c r="F93" s="162">
        <v>4232646.2476109955</v>
      </c>
      <c r="G93" s="160" t="s">
        <v>872</v>
      </c>
      <c r="H93" s="188">
        <f>_xlfn.XLOOKUP(D93,'[1]World Population'!$B$2:$B$267,'[1]World Population'!$BN$2:$BN$267,0)</f>
        <v>273523621</v>
      </c>
      <c r="I93" s="188">
        <f>_xlfn.XLOOKUP(C93,'[4]Access to Electricity'!$B$6:$B$271,'[4]Access to Electricity'!$BM$6:$BM$271)</f>
        <v>96.949996948242202</v>
      </c>
      <c r="J93" s="194">
        <f>_xlfn.XLOOKUP(C93,'[2]GDP 2015 Constant'!$B$6:$B$271,'[2]GDP 2015 Constant'!$BM$6:$BM$271)</f>
        <v>1027660000000</v>
      </c>
      <c r="K93" s="193">
        <f t="shared" si="2"/>
        <v>3757.1160993075623</v>
      </c>
      <c r="L93" s="194">
        <f>_xlfn.XLOOKUP(C93,'[5]Tourism Receipts'!$B$6:$B$271,'[5]Tourism Receipts'!$BK$6:$BK$271)</f>
        <v>17915000000</v>
      </c>
      <c r="M93" s="195">
        <f t="shared" si="3"/>
        <v>1.7432808516435395E-2</v>
      </c>
      <c r="N93">
        <v>13.871221407557901</v>
      </c>
      <c r="O93" s="188">
        <v>20264140</v>
      </c>
      <c r="P93" s="188">
        <v>99.41</v>
      </c>
      <c r="Q93">
        <v>28.167148640330499</v>
      </c>
      <c r="R93">
        <v>22.709737583718201</v>
      </c>
      <c r="S93">
        <v>3022.1219387882202</v>
      </c>
      <c r="T93">
        <v>51.767613559322001</v>
      </c>
    </row>
    <row r="94" spans="1:20" ht="25" x14ac:dyDescent="0.2">
      <c r="A94" s="161" t="s">
        <v>149</v>
      </c>
      <c r="B94" s="161">
        <v>364</v>
      </c>
      <c r="C94" t="str">
        <f>_xlfn.XLOOKUP(B94,'Country Code M49'!$B$2:$B$250,'Country Code M49'!$C$2:$C$250,,0)</f>
        <v>IRN</v>
      </c>
      <c r="D94" s="161" t="s">
        <v>799</v>
      </c>
      <c r="E94" s="162">
        <v>15.640228594822497</v>
      </c>
      <c r="F94" s="162">
        <v>1296792.3496882531</v>
      </c>
      <c r="G94" s="160" t="s">
        <v>872</v>
      </c>
      <c r="H94" s="188">
        <f>_xlfn.XLOOKUP(D94,'[1]World Population'!$B$2:$B$267,'[1]World Population'!$BN$2:$BN$267,0)</f>
        <v>83992953</v>
      </c>
      <c r="I94" s="188">
        <f>_xlfn.XLOOKUP(C94,'[4]Access to Electricity'!$B$6:$B$271,'[4]Access to Electricity'!$BM$6:$BM$271)</f>
        <v>100</v>
      </c>
      <c r="J94" s="194">
        <f>_xlfn.XLOOKUP(C94,'[2]GDP 2015 Constant'!$B$6:$B$271,'[2]GDP 2015 Constant'!$BM$6:$BM$271)</f>
        <v>447938000000</v>
      </c>
      <c r="K94" s="193">
        <f t="shared" si="2"/>
        <v>5333.0426422797636</v>
      </c>
      <c r="L94" s="194">
        <f>_xlfn.XLOOKUP(C94,'[5]Tourism Receipts'!$B$6:$B$271,'[5]Tourism Receipts'!$BK$6:$BK$271)</f>
        <v>5252000000</v>
      </c>
      <c r="M94" s="195">
        <f t="shared" si="3"/>
        <v>1.1724836919395095E-2</v>
      </c>
      <c r="N94">
        <v>3.7700082530619898</v>
      </c>
      <c r="O94" s="188">
        <v>11707564</v>
      </c>
      <c r="P94" s="188">
        <v>149.4</v>
      </c>
      <c r="Q94">
        <v>24.999149743576599</v>
      </c>
      <c r="R94">
        <v>38.051868198883803</v>
      </c>
      <c r="S94">
        <v>1328.23049342541</v>
      </c>
      <c r="T94">
        <v>92.651252625953603</v>
      </c>
    </row>
    <row r="95" spans="1:20" ht="25" x14ac:dyDescent="0.2">
      <c r="A95" s="161" t="s">
        <v>148</v>
      </c>
      <c r="B95" s="161">
        <v>368</v>
      </c>
      <c r="C95" t="str">
        <f>_xlfn.XLOOKUP(B95,'Country Code M49'!$B$2:$B$250,'Country Code M49'!$C$2:$C$250,,0)</f>
        <v>IRQ</v>
      </c>
      <c r="D95" s="161" t="s">
        <v>113</v>
      </c>
      <c r="E95" s="162">
        <v>15.640228594822497</v>
      </c>
      <c r="F95" s="162">
        <v>614814.25801675348</v>
      </c>
      <c r="G95" s="160" t="s">
        <v>872</v>
      </c>
      <c r="H95" s="188">
        <f>_xlfn.XLOOKUP(D95,'[1]World Population'!$B$2:$B$267,'[1]World Population'!$BN$2:$BN$267,0)</f>
        <v>40222503</v>
      </c>
      <c r="I95" s="188">
        <f>_xlfn.XLOOKUP(C95,'[4]Access to Electricity'!$B$6:$B$271,'[4]Access to Electricity'!$BM$6:$BM$271)</f>
        <v>100</v>
      </c>
      <c r="J95" s="194">
        <f>_xlfn.XLOOKUP(C95,'[2]GDP 2015 Constant'!$B$6:$B$271,'[2]GDP 2015 Constant'!$BM$6:$BM$271)</f>
        <v>178917000000</v>
      </c>
      <c r="K95" s="193">
        <f t="shared" si="2"/>
        <v>4448.1816559252911</v>
      </c>
      <c r="L95" s="194">
        <f>_xlfn.XLOOKUP(C95,'[5]Tourism Receipts'!$B$6:$B$271,'[5]Tourism Receipts'!$BK$6:$BK$271)</f>
        <v>1986000000</v>
      </c>
      <c r="M95" s="195">
        <f t="shared" si="3"/>
        <v>1.1100119049615186E-2</v>
      </c>
      <c r="N95">
        <v>0.90289814077455499</v>
      </c>
      <c r="O95" s="188">
        <v>1812143</v>
      </c>
      <c r="P95" s="188">
        <v>115.91</v>
      </c>
      <c r="Q95">
        <v>94.434845312653806</v>
      </c>
      <c r="R95">
        <v>127.927930234974</v>
      </c>
      <c r="S95">
        <v>5672.0641341079599</v>
      </c>
      <c r="T95">
        <v>72.371519814196503</v>
      </c>
    </row>
    <row r="96" spans="1:20" x14ac:dyDescent="0.2">
      <c r="A96" s="161" t="s">
        <v>153</v>
      </c>
      <c r="B96" s="161">
        <v>372</v>
      </c>
      <c r="C96" t="str">
        <f>_xlfn.XLOOKUP(B96,'Country Code M49'!$B$2:$B$250,'Country Code M49'!$C$2:$C$250,,0)</f>
        <v>IRL</v>
      </c>
      <c r="D96" s="161" t="s">
        <v>114</v>
      </c>
      <c r="E96" s="162">
        <v>12.811309449374059</v>
      </c>
      <c r="F96" s="162">
        <v>62551.218386568842</v>
      </c>
      <c r="G96" s="160" t="s">
        <v>877</v>
      </c>
      <c r="H96" s="188">
        <f>_xlfn.XLOOKUP(D96,'[1]World Population'!$B$2:$B$267,'[1]World Population'!$BN$2:$BN$267,0)</f>
        <v>4985674</v>
      </c>
      <c r="I96" s="188">
        <f>_xlfn.XLOOKUP(C96,'[4]Access to Electricity'!$B$6:$B$271,'[4]Access to Electricity'!$BM$6:$BM$271)</f>
        <v>100</v>
      </c>
      <c r="J96" s="194">
        <f>_xlfn.XLOOKUP(C96,'[2]GDP 2015 Constant'!$B$6:$B$271,'[2]GDP 2015 Constant'!$BM$6:$BM$271)</f>
        <v>392535000000</v>
      </c>
      <c r="K96" s="193">
        <f t="shared" si="2"/>
        <v>78732.584601399925</v>
      </c>
      <c r="L96" s="194">
        <f>_xlfn.XLOOKUP(C96,'[5]Tourism Receipts'!$B$6:$B$271,'[5]Tourism Receipts'!$BK$6:$BK$271)</f>
        <v>15276000000</v>
      </c>
      <c r="M96" s="195">
        <f t="shared" si="3"/>
        <v>3.8916274981848756E-2</v>
      </c>
      <c r="N96">
        <v>0.31667066547429501</v>
      </c>
      <c r="O96" s="188">
        <v>40052</v>
      </c>
      <c r="P96" s="188">
        <v>0</v>
      </c>
      <c r="Q96">
        <v>0</v>
      </c>
      <c r="R96">
        <v>0</v>
      </c>
      <c r="S96">
        <v>0</v>
      </c>
      <c r="T96">
        <v>149.17894736842101</v>
      </c>
    </row>
    <row r="97" spans="1:20" x14ac:dyDescent="0.2">
      <c r="A97" s="161" t="s">
        <v>153</v>
      </c>
      <c r="B97" s="161">
        <v>833</v>
      </c>
      <c r="C97" t="str">
        <f>_xlfn.XLOOKUP(B97,'Country Code M49'!$B$2:$B$250,'Country Code M49'!$C$2:$C$250,,0)</f>
        <v>IMN</v>
      </c>
      <c r="D97" s="161" t="s">
        <v>776</v>
      </c>
      <c r="E97" s="162">
        <v>12.811309449374059</v>
      </c>
      <c r="F97" s="162">
        <v>1083.8367794170454</v>
      </c>
      <c r="G97" s="160" t="s">
        <v>877</v>
      </c>
      <c r="H97" s="188">
        <f>_xlfn.XLOOKUP(D97,'[1]World Population'!$B$2:$B$267,'[1]World Population'!$BN$2:$BN$267,0)</f>
        <v>85032</v>
      </c>
      <c r="I97" s="188">
        <f>_xlfn.XLOOKUP(C97,'[4]Access to Electricity'!$B$6:$B$271,'[4]Access to Electricity'!$BM$6:$BM$271)</f>
        <v>100</v>
      </c>
      <c r="J97" s="194" t="e">
        <f>_xlfn.XLOOKUP(C97,'[2]GDP 2015 Constant'!$B$6:$B$271,'[2]GDP 2015 Constant'!$BM$6:$BM$271)</f>
        <v>#REF!</v>
      </c>
      <c r="K97" s="193" t="e">
        <f t="shared" si="2"/>
        <v>#REF!</v>
      </c>
      <c r="L97" s="194">
        <f>_xlfn.XLOOKUP(C97,'[5]Tourism Receipts'!$B$6:$B$271,'[5]Tourism Receipts'!$BK$6:$BK$271)</f>
        <v>0</v>
      </c>
      <c r="M97" s="195" t="e">
        <f t="shared" si="3"/>
        <v>#REF!</v>
      </c>
      <c r="N97">
        <v>1.1323306510742901</v>
      </c>
      <c r="O97" s="188">
        <v>683115</v>
      </c>
      <c r="P97" s="188">
        <v>101.87</v>
      </c>
      <c r="Q97">
        <v>29.1640430822093</v>
      </c>
      <c r="R97">
        <v>29.513438473867801</v>
      </c>
      <c r="S97">
        <v>6600.8982801222</v>
      </c>
      <c r="T97">
        <v>425.836414048059</v>
      </c>
    </row>
    <row r="98" spans="1:20" x14ac:dyDescent="0.2">
      <c r="A98" s="161" t="s">
        <v>148</v>
      </c>
      <c r="B98" s="161">
        <v>376</v>
      </c>
      <c r="C98" t="str">
        <f>_xlfn.XLOOKUP(B98,'Country Code M49'!$B$2:$B$250,'Country Code M49'!$C$2:$C$250,,0)</f>
        <v>ISR</v>
      </c>
      <c r="D98" s="161" t="s">
        <v>115</v>
      </c>
      <c r="E98" s="162">
        <v>51.411711367757945</v>
      </c>
      <c r="F98" s="162">
        <v>437996.93382647703</v>
      </c>
      <c r="G98" s="160" t="s">
        <v>881</v>
      </c>
      <c r="H98" s="188">
        <f>_xlfn.XLOOKUP(D98,'[1]World Population'!$B$2:$B$267,'[1]World Population'!$BN$2:$BN$267,0)</f>
        <v>9215100</v>
      </c>
      <c r="I98" s="188">
        <f>_xlfn.XLOOKUP(C98,'[4]Access to Electricity'!$B$6:$B$271,'[4]Access to Electricity'!$BM$6:$BM$271)</f>
        <v>100</v>
      </c>
      <c r="J98" s="194">
        <f>_xlfn.XLOOKUP(C98,'[2]GDP 2015 Constant'!$B$6:$B$271,'[2]GDP 2015 Constant'!$BM$6:$BM$271)</f>
        <v>345460000000</v>
      </c>
      <c r="K98" s="193">
        <f t="shared" si="2"/>
        <v>37488.470011177305</v>
      </c>
      <c r="L98" s="194">
        <f>_xlfn.XLOOKUP(C98,'[5]Tourism Receipts'!$B$6:$B$271,'[5]Tourism Receipts'!$BK$6:$BK$271)</f>
        <v>8048000000</v>
      </c>
      <c r="M98" s="195">
        <f t="shared" si="3"/>
        <v>2.3296474266195796E-2</v>
      </c>
      <c r="N98">
        <v>1.90731132855232</v>
      </c>
      <c r="O98" s="188">
        <v>17217178</v>
      </c>
      <c r="P98" s="188">
        <v>99.93</v>
      </c>
      <c r="Q98">
        <v>28.9499970418731</v>
      </c>
      <c r="R98">
        <v>31.602678297602999</v>
      </c>
      <c r="S98">
        <v>5002.4066798773601</v>
      </c>
      <c r="T98">
        <v>201.03520257543499</v>
      </c>
    </row>
    <row r="99" spans="1:20" x14ac:dyDescent="0.2">
      <c r="A99" s="161" t="s">
        <v>155</v>
      </c>
      <c r="B99" s="161">
        <v>380</v>
      </c>
      <c r="C99" t="str">
        <f>_xlfn.XLOOKUP(B99,'Country Code M49'!$B$2:$B$250,'Country Code M49'!$C$2:$C$250,,0)</f>
        <v>ITA</v>
      </c>
      <c r="D99" s="161" t="s">
        <v>116</v>
      </c>
      <c r="E99" s="162">
        <v>3.6259532548699025</v>
      </c>
      <c r="F99" s="162">
        <v>219551.83217769809</v>
      </c>
      <c r="G99" s="160" t="s">
        <v>880</v>
      </c>
      <c r="H99" s="188">
        <f>_xlfn.XLOOKUP(D99,'[1]World Population'!$B$2:$B$267,'[1]World Population'!$BN$2:$BN$267,0)</f>
        <v>59449527</v>
      </c>
      <c r="I99" s="188">
        <f>_xlfn.XLOOKUP(C99,'[4]Access to Electricity'!$B$6:$B$271,'[4]Access to Electricity'!$BM$6:$BM$271)</f>
        <v>100</v>
      </c>
      <c r="J99" s="194">
        <f>_xlfn.XLOOKUP(C99,'[2]GDP 2015 Constant'!$B$6:$B$271,'[2]GDP 2015 Constant'!$BM$6:$BM$271)</f>
        <v>1745330000000</v>
      </c>
      <c r="K99" s="193">
        <f t="shared" si="2"/>
        <v>29358.181436834646</v>
      </c>
      <c r="L99" s="194">
        <f>_xlfn.XLOOKUP(C99,'[5]Tourism Receipts'!$B$6:$B$271,'[5]Tourism Receipts'!$BK$6:$BK$271)</f>
        <v>51602000000</v>
      </c>
      <c r="M99" s="195">
        <f t="shared" si="3"/>
        <v>2.9565755473176993E-2</v>
      </c>
      <c r="N99">
        <v>7.0196021385184899</v>
      </c>
      <c r="O99" s="188">
        <v>1293702</v>
      </c>
      <c r="P99" s="188">
        <v>100.81</v>
      </c>
      <c r="Q99">
        <v>51.414057756044997</v>
      </c>
      <c r="R99">
        <v>38.036080747410601</v>
      </c>
      <c r="S99">
        <v>1050.73253900597</v>
      </c>
      <c r="T99">
        <v>273.42206832871699</v>
      </c>
    </row>
    <row r="100" spans="1:20" ht="25" x14ac:dyDescent="0.2">
      <c r="A100" s="161" t="s">
        <v>150</v>
      </c>
      <c r="B100" s="161">
        <v>388</v>
      </c>
      <c r="C100" t="str">
        <f>_xlfn.XLOOKUP(B100,'Country Code M49'!$B$2:$B$250,'Country Code M49'!$C$2:$C$250,,0)</f>
        <v>JAM</v>
      </c>
      <c r="D100" s="161" t="s">
        <v>732</v>
      </c>
      <c r="E100" s="162">
        <v>15.640228594822497</v>
      </c>
      <c r="F100" s="162">
        <v>46112.08596611517</v>
      </c>
      <c r="G100" s="160" t="s">
        <v>872</v>
      </c>
      <c r="H100" s="188">
        <f>_xlfn.XLOOKUP(D100,'[1]World Population'!$B$2:$B$267,'[1]World Population'!$BN$2:$BN$267,0)</f>
        <v>2961161</v>
      </c>
      <c r="I100" s="188">
        <f>_xlfn.XLOOKUP(C100,'[4]Access to Electricity'!$B$6:$B$271,'[4]Access to Electricity'!$BM$6:$BM$271)</f>
        <v>100</v>
      </c>
      <c r="J100" s="194">
        <f>_xlfn.XLOOKUP(C100,'[2]GDP 2015 Constant'!$B$6:$B$271,'[2]GDP 2015 Constant'!$BM$6:$BM$271)</f>
        <v>13440715454</v>
      </c>
      <c r="K100" s="193">
        <f t="shared" si="2"/>
        <v>4539.0019164780297</v>
      </c>
      <c r="L100" s="194">
        <f>_xlfn.XLOOKUP(C100,'[5]Tourism Receipts'!$B$6:$B$271,'[5]Tourism Receipts'!$BK$6:$BK$271)</f>
        <v>0</v>
      </c>
      <c r="M100" s="195">
        <f t="shared" si="3"/>
        <v>0</v>
      </c>
      <c r="N100">
        <v>1.0329079491315201</v>
      </c>
      <c r="O100" s="188">
        <v>10376129</v>
      </c>
      <c r="P100" s="188">
        <v>99.22</v>
      </c>
      <c r="Q100">
        <v>18.306046193576101</v>
      </c>
      <c r="R100">
        <v>17.445377832273799</v>
      </c>
      <c r="S100">
        <v>7819.7146359093604</v>
      </c>
      <c r="T100">
        <v>346.39506172839498</v>
      </c>
    </row>
    <row r="101" spans="1:20" x14ac:dyDescent="0.2">
      <c r="A101" s="161" t="s">
        <v>152</v>
      </c>
      <c r="B101" s="161">
        <v>392</v>
      </c>
      <c r="C101" t="str">
        <f>_xlfn.XLOOKUP(B101,'Country Code M49'!$B$2:$B$250,'Country Code M49'!$C$2:$C$250,,0)</f>
        <v>JPN</v>
      </c>
      <c r="D101" s="161" t="s">
        <v>117</v>
      </c>
      <c r="E101" s="162">
        <v>8.6339663272684035</v>
      </c>
      <c r="F101" s="162">
        <v>1095307.5584671679</v>
      </c>
      <c r="G101" s="160" t="s">
        <v>881</v>
      </c>
      <c r="H101" s="188">
        <f>_xlfn.XLOOKUP(D101,'[1]World Population'!$B$2:$B$267,'[1]World Population'!$BN$2:$BN$267,0)</f>
        <v>126261000</v>
      </c>
      <c r="I101" s="188">
        <f>_xlfn.XLOOKUP(C101,'[4]Access to Electricity'!$B$6:$B$271,'[4]Access to Electricity'!$BM$6:$BM$271)</f>
        <v>100</v>
      </c>
      <c r="J101" s="194">
        <f>_xlfn.XLOOKUP(C101,'[2]GDP 2015 Constant'!$B$6:$B$271,'[2]GDP 2015 Constant'!$BM$6:$BM$271)</f>
        <v>4363130000000</v>
      </c>
      <c r="K101" s="193">
        <f t="shared" si="2"/>
        <v>34556.434686878769</v>
      </c>
      <c r="L101" s="194">
        <f>_xlfn.XLOOKUP(C101,'[5]Tourism Receipts'!$B$6:$B$271,'[5]Tourism Receipts'!$BK$6:$BK$271)</f>
        <v>45276000000</v>
      </c>
      <c r="M101" s="195">
        <f t="shared" si="3"/>
        <v>1.037695415905554E-2</v>
      </c>
      <c r="N101">
        <v>4.9126437446810103</v>
      </c>
      <c r="O101" s="188">
        <v>875633</v>
      </c>
      <c r="P101" s="188">
        <v>99.04</v>
      </c>
      <c r="Q101">
        <v>53.376769088439701</v>
      </c>
      <c r="R101">
        <v>36.335030591663298</v>
      </c>
      <c r="S101">
        <v>1864.9323868107199</v>
      </c>
      <c r="T101">
        <v>114.90798927855499</v>
      </c>
    </row>
    <row r="102" spans="1:20" ht="25" x14ac:dyDescent="0.2">
      <c r="A102" s="161" t="s">
        <v>148</v>
      </c>
      <c r="B102" s="161">
        <v>400</v>
      </c>
      <c r="C102" t="str">
        <f>_xlfn.XLOOKUP(B102,'Country Code M49'!$B$2:$B$250,'Country Code M49'!$C$2:$C$250,,0)</f>
        <v>JOR</v>
      </c>
      <c r="D102" s="161" t="s">
        <v>859</v>
      </c>
      <c r="E102" s="162">
        <v>15.640228594822497</v>
      </c>
      <c r="F102" s="162">
        <v>157992.89719631843</v>
      </c>
      <c r="G102" s="160" t="s">
        <v>872</v>
      </c>
      <c r="H102" s="188">
        <f>_xlfn.XLOOKUP(D102,'[1]World Population'!$B$2:$B$267,'[1]World Population'!$BN$2:$BN$267,0)</f>
        <v>10203140</v>
      </c>
      <c r="I102" s="188">
        <f>_xlfn.XLOOKUP(C102,'[4]Access to Electricity'!$B$6:$B$271,'[4]Access to Electricity'!$BM$6:$BM$271)</f>
        <v>99.900001525878906</v>
      </c>
      <c r="J102" s="194">
        <f>_xlfn.XLOOKUP(C102,'[2]GDP 2015 Constant'!$B$6:$B$271,'[2]GDP 2015 Constant'!$BM$6:$BM$271)</f>
        <v>41108073617</v>
      </c>
      <c r="K102" s="193">
        <f t="shared" si="2"/>
        <v>4028.9630071723018</v>
      </c>
      <c r="L102" s="194">
        <f>_xlfn.XLOOKUP(C102,'[5]Tourism Receipts'!$B$6:$B$271,'[5]Tourism Receipts'!$BK$6:$BK$271)</f>
        <v>6221000000</v>
      </c>
      <c r="M102" s="195">
        <f t="shared" si="3"/>
        <v>0.15133280284453277</v>
      </c>
      <c r="N102">
        <v>4.4663359581275097</v>
      </c>
      <c r="O102" s="188">
        <v>7939086</v>
      </c>
      <c r="P102" s="188">
        <v>116.77</v>
      </c>
      <c r="Q102">
        <v>25.9027380865315</v>
      </c>
      <c r="R102">
        <v>36.4389870990994</v>
      </c>
      <c r="S102">
        <v>5600.2084648650798</v>
      </c>
      <c r="T102">
        <v>6.9473148868392798</v>
      </c>
    </row>
    <row r="103" spans="1:20" ht="25" x14ac:dyDescent="0.2">
      <c r="A103" s="161" t="s">
        <v>871</v>
      </c>
      <c r="B103" s="161">
        <v>398</v>
      </c>
      <c r="C103" t="str">
        <f>_xlfn.XLOOKUP(B103,'Country Code M49'!$B$2:$B$250,'Country Code M49'!$C$2:$C$250,,0)</f>
        <v>KAZ</v>
      </c>
      <c r="D103" s="161" t="s">
        <v>690</v>
      </c>
      <c r="E103" s="162">
        <v>15.640228594822497</v>
      </c>
      <c r="F103" s="162">
        <v>290148.13675399008</v>
      </c>
      <c r="G103" s="160" t="s">
        <v>872</v>
      </c>
      <c r="H103" s="188">
        <f>_xlfn.XLOOKUP(D103,'[1]World Population'!$B$2:$B$267,'[1]World Population'!$BN$2:$BN$267,0)</f>
        <v>18755666</v>
      </c>
      <c r="I103" s="188">
        <f>_xlfn.XLOOKUP(C103,'[4]Access to Electricity'!$B$6:$B$271,'[4]Access to Electricity'!$BM$6:$BM$271)</f>
        <v>100</v>
      </c>
      <c r="J103" s="194">
        <f>_xlfn.XLOOKUP(C103,'[2]GDP 2015 Constant'!$B$6:$B$271,'[2]GDP 2015 Constant'!$BM$6:$BM$271)</f>
        <v>205829000000</v>
      </c>
      <c r="K103" s="193">
        <f t="shared" si="2"/>
        <v>10974.230400562688</v>
      </c>
      <c r="L103" s="194">
        <f>_xlfn.XLOOKUP(C103,'[5]Tourism Receipts'!$B$6:$B$271,'[5]Tourism Receipts'!$BK$6:$BK$271)</f>
        <v>2651000000</v>
      </c>
      <c r="M103" s="195">
        <f t="shared" si="3"/>
        <v>1.2879623376686473E-2</v>
      </c>
      <c r="N103">
        <v>20.8611638110686</v>
      </c>
      <c r="O103" s="188">
        <v>38718025</v>
      </c>
      <c r="P103" s="188">
        <v>108.87</v>
      </c>
      <c r="Q103">
        <v>21.872777843383499</v>
      </c>
      <c r="R103">
        <v>11.4279966637126</v>
      </c>
      <c r="S103">
        <v>164.32526011795699</v>
      </c>
      <c r="T103">
        <v>94.478160030923803</v>
      </c>
    </row>
    <row r="104" spans="1:20" x14ac:dyDescent="0.2">
      <c r="A104" s="161" t="s">
        <v>154</v>
      </c>
      <c r="B104" s="161">
        <v>404</v>
      </c>
      <c r="C104" t="str">
        <f>_xlfn.XLOOKUP(B104,'Country Code M49'!$B$2:$B$250,'Country Code M49'!$C$2:$C$250,,0)</f>
        <v>KEN</v>
      </c>
      <c r="D104" s="161" t="s">
        <v>118</v>
      </c>
      <c r="E104" s="162">
        <v>10.963794044469571</v>
      </c>
      <c r="F104" s="162">
        <v>576410.50809394324</v>
      </c>
      <c r="G104" s="160" t="s">
        <v>881</v>
      </c>
      <c r="H104" s="188">
        <f>_xlfn.XLOOKUP(D104,'[1]World Population'!$B$2:$B$267,'[1]World Population'!$BN$2:$BN$267,0)</f>
        <v>53771300</v>
      </c>
      <c r="I104" s="188">
        <f>_xlfn.XLOOKUP(C104,'[4]Access to Electricity'!$B$6:$B$271,'[4]Access to Electricity'!$BM$6:$BM$271)</f>
        <v>71.437942504882798</v>
      </c>
      <c r="J104" s="194">
        <f>_xlfn.XLOOKUP(C104,'[2]GDP 2015 Constant'!$B$6:$B$271,'[2]GDP 2015 Constant'!$BM$6:$BM$271)</f>
        <v>84054150946</v>
      </c>
      <c r="K104" s="193">
        <f t="shared" si="2"/>
        <v>1563.1787021329221</v>
      </c>
      <c r="L104" s="194">
        <f>_xlfn.XLOOKUP(C104,'[5]Tourism Receipts'!$B$6:$B$271,'[5]Tourism Receipts'!$BK$6:$BK$271)</f>
        <v>1784000000</v>
      </c>
      <c r="M104" s="195">
        <f t="shared" si="3"/>
        <v>2.1224412832938116E-2</v>
      </c>
      <c r="N104">
        <v>31.166940146898</v>
      </c>
      <c r="O104" s="188">
        <v>53041</v>
      </c>
      <c r="P104" s="188">
        <v>94.42</v>
      </c>
      <c r="Q104">
        <v>88.991566242123099</v>
      </c>
      <c r="R104">
        <v>0</v>
      </c>
      <c r="S104">
        <v>0</v>
      </c>
      <c r="T104">
        <v>147.464197530864</v>
      </c>
    </row>
    <row r="105" spans="1:20" ht="25" x14ac:dyDescent="0.2">
      <c r="A105" s="161" t="s">
        <v>875</v>
      </c>
      <c r="B105" s="161">
        <v>296</v>
      </c>
      <c r="C105" t="str">
        <f>_xlfn.XLOOKUP(B105,'Country Code M49'!$B$2:$B$250,'Country Code M49'!$C$2:$C$250,,0)</f>
        <v>KIR</v>
      </c>
      <c r="D105" s="161" t="s">
        <v>758</v>
      </c>
      <c r="E105" s="162">
        <v>15.640228594822497</v>
      </c>
      <c r="F105" s="162">
        <v>1839.2908827511255</v>
      </c>
      <c r="G105" s="160" t="s">
        <v>872</v>
      </c>
      <c r="H105" s="188">
        <f>_xlfn.XLOOKUP(D105,'[1]World Population'!$B$2:$B$267,'[1]World Population'!$BN$2:$BN$267,0)</f>
        <v>119446</v>
      </c>
      <c r="I105" s="188">
        <f>_xlfn.XLOOKUP(C105,'[4]Access to Electricity'!$B$6:$B$271,'[4]Access to Electricity'!$BM$6:$BM$271)</f>
        <v>91.963027954101605</v>
      </c>
      <c r="J105" s="194">
        <f>_xlfn.XLOOKUP(C105,'[2]GDP 2015 Constant'!$B$6:$B$271,'[2]GDP 2015 Constant'!$BM$6:$BM$271)</f>
        <v>176050030.09999999</v>
      </c>
      <c r="K105" s="193">
        <f t="shared" si="2"/>
        <v>1473.8880339232792</v>
      </c>
      <c r="L105" s="194">
        <f>_xlfn.XLOOKUP(C105,'[5]Tourism Receipts'!$B$6:$B$271,'[5]Tourism Receipts'!$BK$6:$BK$271)</f>
        <v>0</v>
      </c>
      <c r="M105" s="195">
        <f t="shared" si="3"/>
        <v>0</v>
      </c>
      <c r="N105">
        <v>0.38457981162383698</v>
      </c>
      <c r="O105" s="188">
        <v>0</v>
      </c>
      <c r="P105" s="188">
        <v>118.39</v>
      </c>
      <c r="Q105">
        <v>45.619963447481801</v>
      </c>
      <c r="R105">
        <v>53.293432793340202</v>
      </c>
      <c r="S105">
        <v>15590.612578533501</v>
      </c>
      <c r="T105">
        <v>239.65</v>
      </c>
    </row>
    <row r="106" spans="1:20" x14ac:dyDescent="0.2">
      <c r="A106" s="161" t="s">
        <v>148</v>
      </c>
      <c r="B106" s="161">
        <v>414</v>
      </c>
      <c r="C106" t="str">
        <f>_xlfn.XLOOKUP(B106,'Country Code M49'!$B$2:$B$250,'Country Code M49'!$C$2:$C$250,,0)</f>
        <v>KWT</v>
      </c>
      <c r="D106" s="161" t="s">
        <v>860</v>
      </c>
      <c r="E106" s="162">
        <v>12.811309449374059</v>
      </c>
      <c r="F106" s="162">
        <v>53898.459984461602</v>
      </c>
      <c r="G106" s="160" t="s">
        <v>877</v>
      </c>
      <c r="H106" s="188">
        <f>_xlfn.XLOOKUP(D106,'[1]World Population'!$B$2:$B$267,'[1]World Population'!$BN$2:$BN$267,0)</f>
        <v>4270563</v>
      </c>
      <c r="I106" s="188">
        <f>_xlfn.XLOOKUP(C106,'[4]Access to Electricity'!$B$6:$B$271,'[4]Access to Electricity'!$BM$6:$BM$271)</f>
        <v>100</v>
      </c>
      <c r="J106" s="194">
        <f>_xlfn.XLOOKUP(C106,'[2]GDP 2015 Constant'!$B$6:$B$271,'[2]GDP 2015 Constant'!$BM$6:$BM$271)</f>
        <v>104327000000</v>
      </c>
      <c r="K106" s="193">
        <f t="shared" si="2"/>
        <v>24429.331682965454</v>
      </c>
      <c r="L106" s="194">
        <f>_xlfn.XLOOKUP(C106,'[5]Tourism Receipts'!$B$6:$B$271,'[5]Tourism Receipts'!$BK$6:$BK$271)</f>
        <v>919000000</v>
      </c>
      <c r="M106" s="195">
        <f t="shared" si="3"/>
        <v>8.8088414312689906E-3</v>
      </c>
      <c r="N106">
        <v>11.665108228408601</v>
      </c>
      <c r="O106" s="188">
        <v>4154812</v>
      </c>
      <c r="P106" s="188">
        <v>110.21</v>
      </c>
      <c r="Q106">
        <v>67.273829896646504</v>
      </c>
      <c r="R106">
        <v>35.2341542041409</v>
      </c>
      <c r="S106">
        <v>1941.22183189101</v>
      </c>
      <c r="T106">
        <v>34.306047966631901</v>
      </c>
    </row>
    <row r="107" spans="1:20" ht="25" x14ac:dyDescent="0.2">
      <c r="A107" s="161" t="s">
        <v>871</v>
      </c>
      <c r="B107" s="161">
        <v>417</v>
      </c>
      <c r="C107" t="str">
        <f>_xlfn.XLOOKUP(B107,'Country Code M49'!$B$2:$B$250,'Country Code M49'!$C$2:$C$250,,0)</f>
        <v>KGZ</v>
      </c>
      <c r="D107" s="161" t="s">
        <v>691</v>
      </c>
      <c r="E107" s="162">
        <v>15.640228594822497</v>
      </c>
      <c r="F107" s="162">
        <v>100346.14264152166</v>
      </c>
      <c r="G107" s="160" t="s">
        <v>872</v>
      </c>
      <c r="H107" s="188">
        <f>_xlfn.XLOOKUP(D107,'[1]World Population'!$B$2:$B$267,'[1]World Population'!$BN$2:$BN$267,0)</f>
        <v>6579900</v>
      </c>
      <c r="I107" s="188">
        <f>_xlfn.XLOOKUP(C107,'[4]Access to Electricity'!$B$6:$B$271,'[4]Access to Electricity'!$BM$6:$BM$271)</f>
        <v>99.981048583984403</v>
      </c>
      <c r="J107" s="194">
        <f>_xlfn.XLOOKUP(C107,'[2]GDP 2015 Constant'!$B$6:$B$271,'[2]GDP 2015 Constant'!$BM$6:$BM$271)</f>
        <v>7255421236</v>
      </c>
      <c r="K107" s="193">
        <f t="shared" si="2"/>
        <v>1102.6643620723719</v>
      </c>
      <c r="L107" s="194">
        <f>_xlfn.XLOOKUP(C107,'[5]Tourism Receipts'!$B$6:$B$271,'[5]Tourism Receipts'!$BK$6:$BK$271)</f>
        <v>518000000</v>
      </c>
      <c r="M107" s="195">
        <f t="shared" si="3"/>
        <v>7.1394889855572269E-2</v>
      </c>
      <c r="N107">
        <v>16.050339057034101</v>
      </c>
      <c r="O107" s="188">
        <v>4635257</v>
      </c>
      <c r="P107" s="188">
        <v>103.85</v>
      </c>
      <c r="Q107">
        <v>0</v>
      </c>
      <c r="R107">
        <v>0</v>
      </c>
      <c r="S107">
        <v>0</v>
      </c>
      <c r="T107">
        <v>31.5232062391681</v>
      </c>
    </row>
    <row r="108" spans="1:20" ht="25" x14ac:dyDescent="0.2">
      <c r="A108" s="161" t="s">
        <v>157</v>
      </c>
      <c r="B108" s="161">
        <v>418</v>
      </c>
      <c r="C108" t="str">
        <f>_xlfn.XLOOKUP(B108,'Country Code M49'!$B$2:$B$250,'Country Code M49'!$C$2:$C$250,,0)</f>
        <v>LAO</v>
      </c>
      <c r="D108" s="161" t="s">
        <v>791</v>
      </c>
      <c r="E108" s="162">
        <v>15.640228594822497</v>
      </c>
      <c r="F108" s="162">
        <v>112132.61891057988</v>
      </c>
      <c r="G108" s="160" t="s">
        <v>872</v>
      </c>
      <c r="H108" s="188">
        <f>_xlfn.XLOOKUP(D108,'[1]World Population'!$B$2:$B$267,'[1]World Population'!$BN$2:$BN$267,0)</f>
        <v>7275556</v>
      </c>
      <c r="I108" s="188">
        <f>_xlfn.XLOOKUP(C108,'[4]Access to Electricity'!$B$6:$B$271,'[4]Access to Electricity'!$BM$6:$BM$271)</f>
        <v>100</v>
      </c>
      <c r="J108" s="194">
        <f>_xlfn.XLOOKUP(C108,'[2]GDP 2015 Constant'!$B$6:$B$271,'[2]GDP 2015 Constant'!$BM$6:$BM$271)</f>
        <v>18584865506</v>
      </c>
      <c r="K108" s="193">
        <f t="shared" si="2"/>
        <v>2554.4254632910529</v>
      </c>
      <c r="L108" s="194">
        <f>_xlfn.XLOOKUP(C108,'[5]Tourism Receipts'!$B$6:$B$271,'[5]Tourism Receipts'!$BK$6:$BK$271)</f>
        <v>833000000</v>
      </c>
      <c r="M108" s="195">
        <f t="shared" si="3"/>
        <v>4.4821416637697564E-2</v>
      </c>
      <c r="N108">
        <v>3.9951679796622299</v>
      </c>
      <c r="O108" s="188">
        <v>602157</v>
      </c>
      <c r="P108" s="188">
        <v>110.98</v>
      </c>
      <c r="Q108">
        <v>62.1773858393124</v>
      </c>
      <c r="R108">
        <v>59.836973152085399</v>
      </c>
      <c r="S108">
        <v>3507.4045206547198</v>
      </c>
      <c r="T108">
        <v>30.5391129680219</v>
      </c>
    </row>
    <row r="109" spans="1:20" x14ac:dyDescent="0.2">
      <c r="A109" s="161" t="s">
        <v>153</v>
      </c>
      <c r="B109" s="161">
        <v>428</v>
      </c>
      <c r="C109" t="str">
        <f>_xlfn.XLOOKUP(B109,'Country Code M49'!$B$2:$B$250,'Country Code M49'!$C$2:$C$250,,0)</f>
        <v>LVA</v>
      </c>
      <c r="D109" s="161" t="s">
        <v>777</v>
      </c>
      <c r="E109" s="162">
        <v>12.811309449374059</v>
      </c>
      <c r="F109" s="162">
        <v>24427.323727121522</v>
      </c>
      <c r="G109" s="160" t="s">
        <v>877</v>
      </c>
      <c r="H109" s="188">
        <f>_xlfn.XLOOKUP(D109,'[1]World Population'!$B$2:$B$267,'[1]World Population'!$BN$2:$BN$267,0)</f>
        <v>1900449</v>
      </c>
      <c r="I109" s="188">
        <f>_xlfn.XLOOKUP(C109,'[4]Access to Electricity'!$B$6:$B$271,'[4]Access to Electricity'!$BM$6:$BM$271)</f>
        <v>100</v>
      </c>
      <c r="J109" s="194">
        <f>_xlfn.XLOOKUP(C109,'[2]GDP 2015 Constant'!$B$6:$B$271,'[2]GDP 2015 Constant'!$BM$6:$BM$271)</f>
        <v>29570216090</v>
      </c>
      <c r="K109" s="193">
        <f t="shared" si="2"/>
        <v>15559.594648422557</v>
      </c>
      <c r="L109" s="194">
        <f>_xlfn.XLOOKUP(C109,'[5]Tourism Receipts'!$B$6:$B$271,'[5]Tourism Receipts'!$BK$6:$BK$271)</f>
        <v>0</v>
      </c>
      <c r="M109" s="195">
        <f t="shared" si="3"/>
        <v>0</v>
      </c>
      <c r="N109">
        <v>3.1690998514984998</v>
      </c>
      <c r="O109" s="188">
        <v>755918</v>
      </c>
      <c r="P109" s="188">
        <v>100.2</v>
      </c>
      <c r="Q109">
        <v>47.502786145557799</v>
      </c>
      <c r="R109">
        <v>20.6977589568566</v>
      </c>
      <c r="S109">
        <v>2588.8645443588798</v>
      </c>
      <c r="T109">
        <v>667.19863147605099</v>
      </c>
    </row>
    <row r="110" spans="1:20" ht="25" x14ac:dyDescent="0.2">
      <c r="A110" s="161" t="s">
        <v>148</v>
      </c>
      <c r="B110" s="161">
        <v>422</v>
      </c>
      <c r="C110" t="str">
        <f>_xlfn.XLOOKUP(B110,'Country Code M49'!$B$2:$B$250,'Country Code M49'!$C$2:$C$250,,0)</f>
        <v>LBN</v>
      </c>
      <c r="D110" s="161" t="s">
        <v>119</v>
      </c>
      <c r="E110" s="162">
        <v>15.640228594822497</v>
      </c>
      <c r="F110" s="162">
        <v>107224.7151775246</v>
      </c>
      <c r="G110" s="160" t="s">
        <v>872</v>
      </c>
      <c r="H110" s="188">
        <f>_xlfn.XLOOKUP(D110,'[1]World Population'!$B$2:$B$267,'[1]World Population'!$BN$2:$BN$267,0)</f>
        <v>6825442</v>
      </c>
      <c r="I110" s="188">
        <f>_xlfn.XLOOKUP(C110,'[4]Access to Electricity'!$B$6:$B$271,'[4]Access to Electricity'!$BM$6:$BM$271)</f>
        <v>100</v>
      </c>
      <c r="J110" s="194">
        <f>_xlfn.XLOOKUP(C110,'[2]GDP 2015 Constant'!$B$6:$B$271,'[2]GDP 2015 Constant'!$BM$6:$BM$271)</f>
        <v>34621752540</v>
      </c>
      <c r="K110" s="193">
        <f t="shared" si="2"/>
        <v>5072.4557530486672</v>
      </c>
      <c r="L110" s="194">
        <f>_xlfn.XLOOKUP(C110,'[5]Tourism Receipts'!$B$6:$B$271,'[5]Tourism Receipts'!$BK$6:$BK$271)</f>
        <v>8694000000</v>
      </c>
      <c r="M110" s="195">
        <f t="shared" si="3"/>
        <v>0.25111380453532639</v>
      </c>
      <c r="N110">
        <v>4.3386561443384801</v>
      </c>
      <c r="O110" s="188">
        <v>1520399</v>
      </c>
      <c r="P110" s="188">
        <v>98.58</v>
      </c>
      <c r="Q110">
        <v>94.440733195572705</v>
      </c>
      <c r="R110">
        <v>45.878177980757698</v>
      </c>
      <c r="S110">
        <v>0</v>
      </c>
      <c r="T110">
        <v>70.561660079051407</v>
      </c>
    </row>
    <row r="111" spans="1:20" ht="25" x14ac:dyDescent="0.2">
      <c r="A111" s="161" t="s">
        <v>154</v>
      </c>
      <c r="B111" s="161">
        <v>426</v>
      </c>
      <c r="C111" t="str">
        <f>_xlfn.XLOOKUP(B111,'Country Code M49'!$B$2:$B$250,'Country Code M49'!$C$2:$C$250,,0)</f>
        <v>LSO</v>
      </c>
      <c r="D111" s="161" t="s">
        <v>833</v>
      </c>
      <c r="E111" s="162">
        <v>15.640228594822497</v>
      </c>
      <c r="F111" s="162">
        <v>33240.17783257625</v>
      </c>
      <c r="G111" s="160" t="s">
        <v>872</v>
      </c>
      <c r="H111" s="188">
        <f>_xlfn.XLOOKUP(D111,'[1]World Population'!$B$2:$B$267,'[1]World Population'!$BN$2:$BN$267,0)</f>
        <v>2142252</v>
      </c>
      <c r="I111" s="188">
        <f>_xlfn.XLOOKUP(C111,'[4]Access to Electricity'!$B$6:$B$271,'[4]Access to Electricity'!$BM$6:$BM$271)</f>
        <v>47.352737426757798</v>
      </c>
      <c r="J111" s="194">
        <f>_xlfn.XLOOKUP(C111,'[2]GDP 2015 Constant'!$B$6:$B$271,'[2]GDP 2015 Constant'!$BM$6:$BM$271)</f>
        <v>2213872052</v>
      </c>
      <c r="K111" s="193">
        <f t="shared" si="2"/>
        <v>1033.4321321674574</v>
      </c>
      <c r="L111" s="194">
        <f>_xlfn.XLOOKUP(C111,'[5]Tourism Receipts'!$B$6:$B$271,'[5]Tourism Receipts'!$BK$6:$BK$271)</f>
        <v>0</v>
      </c>
      <c r="M111" s="195">
        <f t="shared" si="3"/>
        <v>0</v>
      </c>
      <c r="N111">
        <v>36.437151322457403</v>
      </c>
      <c r="O111" s="188">
        <v>2423184</v>
      </c>
      <c r="P111" s="188">
        <v>100.62</v>
      </c>
      <c r="Q111">
        <v>0</v>
      </c>
      <c r="R111">
        <v>0</v>
      </c>
      <c r="S111">
        <v>0</v>
      </c>
      <c r="T111">
        <v>52.509105066445201</v>
      </c>
    </row>
    <row r="112" spans="1:20" ht="25" x14ac:dyDescent="0.2">
      <c r="A112" s="161" t="s">
        <v>154</v>
      </c>
      <c r="B112" s="161">
        <v>430</v>
      </c>
      <c r="C112" t="str">
        <f>_xlfn.XLOOKUP(B112,'Country Code M49'!$B$2:$B$250,'Country Code M49'!$C$2:$C$250,,0)</f>
        <v>LBR</v>
      </c>
      <c r="D112" s="161" t="s">
        <v>834</v>
      </c>
      <c r="E112" s="162">
        <v>15.640228594822497</v>
      </c>
      <c r="F112" s="162">
        <v>77222.064664076592</v>
      </c>
      <c r="G112" s="160" t="s">
        <v>872</v>
      </c>
      <c r="H112" s="188">
        <f>_xlfn.XLOOKUP(D112,'[1]World Population'!$B$2:$B$267,'[1]World Population'!$BN$2:$BN$267,0)</f>
        <v>5057677</v>
      </c>
      <c r="I112" s="188">
        <f>_xlfn.XLOOKUP(C112,'[4]Access to Electricity'!$B$6:$B$271,'[4]Access to Electricity'!$BM$6:$BM$271)</f>
        <v>27.534709930419901</v>
      </c>
      <c r="J112" s="194">
        <f>_xlfn.XLOOKUP(C112,'[2]GDP 2015 Constant'!$B$6:$B$271,'[2]GDP 2015 Constant'!$BM$6:$BM$271)</f>
        <v>3115556272</v>
      </c>
      <c r="K112" s="193">
        <f t="shared" si="2"/>
        <v>616.00538587181427</v>
      </c>
      <c r="L112" s="194">
        <f>_xlfn.XLOOKUP(C112,'[5]Tourism Receipts'!$B$6:$B$271,'[5]Tourism Receipts'!$BK$6:$BK$271)</f>
        <v>0</v>
      </c>
      <c r="M112" s="195">
        <f t="shared" si="3"/>
        <v>0</v>
      </c>
      <c r="N112">
        <v>4.0887897516922997</v>
      </c>
      <c r="O112" s="188">
        <v>1326777</v>
      </c>
      <c r="P112" s="188">
        <v>104.59</v>
      </c>
      <c r="Q112">
        <v>24.167629179766902</v>
      </c>
      <c r="R112">
        <v>42.835117286532302</v>
      </c>
      <c r="S112">
        <v>1811.05460057695</v>
      </c>
      <c r="T112">
        <v>3.9051610079907202</v>
      </c>
    </row>
    <row r="113" spans="1:20" ht="25" x14ac:dyDescent="0.2">
      <c r="A113" s="161" t="s">
        <v>876</v>
      </c>
      <c r="B113" s="161">
        <v>434</v>
      </c>
      <c r="C113" t="str">
        <f>_xlfn.XLOOKUP(B113,'Country Code M49'!$B$2:$B$250,'Country Code M49'!$C$2:$C$250,,0)</f>
        <v>LBY</v>
      </c>
      <c r="D113" s="161" t="s">
        <v>766</v>
      </c>
      <c r="E113" s="162">
        <v>15.640228594822497</v>
      </c>
      <c r="F113" s="162">
        <v>106001.64930140949</v>
      </c>
      <c r="G113" s="160" t="s">
        <v>872</v>
      </c>
      <c r="H113" s="188">
        <f>_xlfn.XLOOKUP(D113,'[1]World Population'!$B$2:$B$267,'[1]World Population'!$BN$2:$BN$267,0)</f>
        <v>6871287</v>
      </c>
      <c r="I113" s="188">
        <f>_xlfn.XLOOKUP(C113,'[4]Access to Electricity'!$B$6:$B$271,'[4]Access to Electricity'!$BM$6:$BM$271)</f>
        <v>69.707351684570298</v>
      </c>
      <c r="J113" s="194">
        <f>_xlfn.XLOOKUP(C113,'[2]GDP 2015 Constant'!$B$6:$B$271,'[2]GDP 2015 Constant'!$BM$6:$BM$271)</f>
        <v>46364963765</v>
      </c>
      <c r="K113" s="193">
        <f t="shared" si="2"/>
        <v>6747.638945222343</v>
      </c>
      <c r="L113" s="194">
        <f>_xlfn.XLOOKUP(C113,'[5]Tourism Receipts'!$B$6:$B$271,'[5]Tourism Receipts'!$BK$6:$BK$271)</f>
        <v>0</v>
      </c>
      <c r="M113" s="195">
        <f t="shared" si="3"/>
        <v>0</v>
      </c>
      <c r="N113">
        <v>0.13933681936312101</v>
      </c>
      <c r="O113" s="188">
        <v>32639</v>
      </c>
      <c r="P113" s="188">
        <v>0</v>
      </c>
      <c r="Q113">
        <v>0</v>
      </c>
      <c r="R113">
        <v>0</v>
      </c>
      <c r="S113">
        <v>0</v>
      </c>
      <c r="T113">
        <v>238.35624999999999</v>
      </c>
    </row>
    <row r="114" spans="1:20" x14ac:dyDescent="0.2">
      <c r="A114" s="161" t="s">
        <v>147</v>
      </c>
      <c r="B114" s="161">
        <v>438</v>
      </c>
      <c r="C114" t="str">
        <f>_xlfn.XLOOKUP(B114,'Country Code M49'!$B$2:$B$250,'Country Code M49'!$C$2:$C$250,,0)</f>
        <v>LIE</v>
      </c>
      <c r="D114" s="161" t="s">
        <v>868</v>
      </c>
      <c r="E114" s="162">
        <v>12.811309449374059</v>
      </c>
      <c r="F114" s="162">
        <v>486.82975907621426</v>
      </c>
      <c r="G114" s="160" t="s">
        <v>877</v>
      </c>
      <c r="H114" s="188">
        <f>_xlfn.XLOOKUP(D114,'[1]World Population'!$B$2:$B$267,'[1]World Population'!$BN$2:$BN$267,0)</f>
        <v>38137</v>
      </c>
      <c r="I114" s="188">
        <f>_xlfn.XLOOKUP(C114,'[4]Access to Electricity'!$B$6:$B$271,'[4]Access to Electricity'!$BM$6:$BM$271)</f>
        <v>100</v>
      </c>
      <c r="J114" s="194" t="e">
        <f>_xlfn.XLOOKUP(C114,'[2]GDP 2015 Constant'!$B$6:$B$271,'[2]GDP 2015 Constant'!$BM$6:$BM$271)</f>
        <v>#REF!</v>
      </c>
      <c r="K114" s="193" t="e">
        <f t="shared" si="2"/>
        <v>#REF!</v>
      </c>
      <c r="L114" s="194">
        <f>_xlfn.XLOOKUP(C114,'[5]Tourism Receipts'!$B$6:$B$271,'[5]Tourism Receipts'!$BK$6:$BK$271)</f>
        <v>0</v>
      </c>
      <c r="M114" s="195" t="e">
        <f t="shared" si="3"/>
        <v>#REF!</v>
      </c>
      <c r="N114">
        <v>3.1064859566756899</v>
      </c>
      <c r="O114" s="188">
        <v>893078</v>
      </c>
      <c r="P114" s="188">
        <v>107.56</v>
      </c>
      <c r="Q114">
        <v>73.385992684621797</v>
      </c>
      <c r="R114">
        <v>77.314777955815302</v>
      </c>
      <c r="S114">
        <v>3821.1451704373999</v>
      </c>
      <c r="T114">
        <v>44.632465665921401</v>
      </c>
    </row>
    <row r="115" spans="1:20" x14ac:dyDescent="0.2">
      <c r="A115" s="161" t="s">
        <v>153</v>
      </c>
      <c r="B115" s="161">
        <v>440</v>
      </c>
      <c r="C115" t="str">
        <f>_xlfn.XLOOKUP(B115,'Country Code M49'!$B$2:$B$250,'Country Code M49'!$C$2:$C$250,,0)</f>
        <v>LTU</v>
      </c>
      <c r="D115" s="161" t="s">
        <v>778</v>
      </c>
      <c r="E115" s="162">
        <v>12.811309449374059</v>
      </c>
      <c r="F115" s="162">
        <v>35354.089556492654</v>
      </c>
      <c r="G115" s="160" t="s">
        <v>877</v>
      </c>
      <c r="H115" s="188">
        <f>_xlfn.XLOOKUP(D115,'[1]World Population'!$B$2:$B$267,'[1]World Population'!$BN$2:$BN$267,0)</f>
        <v>2794885</v>
      </c>
      <c r="I115" s="188">
        <f>_xlfn.XLOOKUP(C115,'[4]Access to Electricity'!$B$6:$B$271,'[4]Access to Electricity'!$BM$6:$BM$271)</f>
        <v>100</v>
      </c>
      <c r="J115" s="194">
        <f>_xlfn.XLOOKUP(C115,'[2]GDP 2015 Constant'!$B$6:$B$271,'[2]GDP 2015 Constant'!$BM$6:$BM$271)</f>
        <v>48110631393</v>
      </c>
      <c r="K115" s="193">
        <f t="shared" si="2"/>
        <v>17213.814304703057</v>
      </c>
      <c r="L115" s="194">
        <f>_xlfn.XLOOKUP(C115,'[5]Tourism Receipts'!$B$6:$B$271,'[5]Tourism Receipts'!$BK$6:$BK$271)</f>
        <v>0</v>
      </c>
      <c r="M115" s="195">
        <f t="shared" si="3"/>
        <v>0</v>
      </c>
      <c r="N115">
        <v>0.21874304173027401</v>
      </c>
      <c r="O115" s="188">
        <v>53882</v>
      </c>
      <c r="P115" s="188">
        <v>113.78</v>
      </c>
      <c r="Q115">
        <v>163.71243456542999</v>
      </c>
      <c r="R115">
        <v>205.48207753851599</v>
      </c>
      <c r="S115">
        <v>13914.6784488756</v>
      </c>
      <c r="T115">
        <v>244.87426489438599</v>
      </c>
    </row>
    <row r="116" spans="1:20" x14ac:dyDescent="0.2">
      <c r="A116" s="161" t="s">
        <v>147</v>
      </c>
      <c r="B116" s="161">
        <v>442</v>
      </c>
      <c r="C116" t="str">
        <f>_xlfn.XLOOKUP(B116,'Country Code M49'!$B$2:$B$250,'Country Code M49'!$C$2:$C$250,,0)</f>
        <v>LUX</v>
      </c>
      <c r="D116" s="161" t="s">
        <v>120</v>
      </c>
      <c r="E116" s="162">
        <v>7.2</v>
      </c>
      <c r="F116" s="162">
        <v>4433.04</v>
      </c>
      <c r="G116" s="160" t="s">
        <v>881</v>
      </c>
      <c r="H116" s="188">
        <f>_xlfn.XLOOKUP(D116,'[1]World Population'!$B$2:$B$267,'[1]World Population'!$BN$2:$BN$267,0)</f>
        <v>630419</v>
      </c>
      <c r="I116" s="188">
        <f>_xlfn.XLOOKUP(C116,'[4]Access to Electricity'!$B$6:$B$271,'[4]Access to Electricity'!$BM$6:$BM$271)</f>
        <v>100</v>
      </c>
      <c r="J116" s="194">
        <f>_xlfn.XLOOKUP(C116,'[2]GDP 2015 Constant'!$B$6:$B$271,'[2]GDP 2015 Constant'!$BM$6:$BM$271)</f>
        <v>66117875823</v>
      </c>
      <c r="K116" s="193">
        <f t="shared" si="2"/>
        <v>104879.25621372453</v>
      </c>
      <c r="L116" s="194">
        <f>_xlfn.XLOOKUP(C116,'[5]Tourism Receipts'!$B$6:$B$271,'[5]Tourism Receipts'!$BK$6:$BK$271)</f>
        <v>5642000000</v>
      </c>
      <c r="M116" s="195">
        <f t="shared" si="3"/>
        <v>8.5332444966983556E-2</v>
      </c>
      <c r="N116">
        <v>22.815124858235201</v>
      </c>
      <c r="O116" s="188">
        <v>17020562</v>
      </c>
      <c r="P116" s="188">
        <v>102.41</v>
      </c>
      <c r="Q116">
        <v>36.693806456154199</v>
      </c>
      <c r="R116">
        <v>28.249657179942801</v>
      </c>
      <c r="S116">
        <v>0</v>
      </c>
      <c r="T116">
        <v>47.595426263320697</v>
      </c>
    </row>
    <row r="117" spans="1:20" ht="25" x14ac:dyDescent="0.2">
      <c r="A117" s="161" t="s">
        <v>154</v>
      </c>
      <c r="B117" s="161">
        <v>450</v>
      </c>
      <c r="C117" t="str">
        <f>_xlfn.XLOOKUP(B117,'Country Code M49'!$B$2:$B$250,'Country Code M49'!$C$2:$C$250,,0)</f>
        <v>MDG</v>
      </c>
      <c r="D117" s="161" t="s">
        <v>835</v>
      </c>
      <c r="E117" s="162">
        <v>15.640228594822497</v>
      </c>
      <c r="F117" s="162">
        <v>421806.01704234636</v>
      </c>
      <c r="G117" s="160" t="s">
        <v>872</v>
      </c>
      <c r="H117" s="188">
        <f>_xlfn.XLOOKUP(D117,'[1]World Population'!$B$2:$B$267,'[1]World Population'!$BN$2:$BN$267,0)</f>
        <v>27691019</v>
      </c>
      <c r="I117" s="188">
        <f>_xlfn.XLOOKUP(C117,'[4]Access to Electricity'!$B$6:$B$271,'[4]Access to Electricity'!$BM$6:$BM$271)</f>
        <v>33.735076904296903</v>
      </c>
      <c r="J117" s="194">
        <f>_xlfn.XLOOKUP(C117,'[2]GDP 2015 Constant'!$B$6:$B$271,'[2]GDP 2015 Constant'!$BM$6:$BM$271)</f>
        <v>12244127641</v>
      </c>
      <c r="K117" s="193">
        <f t="shared" si="2"/>
        <v>442.16963055783538</v>
      </c>
      <c r="L117" s="194">
        <f>_xlfn.XLOOKUP(C117,'[5]Tourism Receipts'!$B$6:$B$271,'[5]Tourism Receipts'!$BK$6:$BK$271)</f>
        <v>879000000</v>
      </c>
      <c r="M117" s="195">
        <f t="shared" si="3"/>
        <v>7.1789516229529476E-2</v>
      </c>
      <c r="N117">
        <v>23.002540313068899</v>
      </c>
      <c r="O117" s="188">
        <v>15796178</v>
      </c>
      <c r="P117" s="188">
        <v>132.97</v>
      </c>
      <c r="Q117">
        <v>0</v>
      </c>
      <c r="R117">
        <v>0</v>
      </c>
      <c r="S117">
        <v>0</v>
      </c>
      <c r="T117">
        <v>202.905759439966</v>
      </c>
    </row>
    <row r="118" spans="1:20" ht="25" x14ac:dyDescent="0.2">
      <c r="A118" s="161" t="s">
        <v>154</v>
      </c>
      <c r="B118" s="161">
        <v>454</v>
      </c>
      <c r="C118" t="str">
        <f>_xlfn.XLOOKUP(B118,'Country Code M49'!$B$2:$B$250,'Country Code M49'!$C$2:$C$250,,0)</f>
        <v>MWI</v>
      </c>
      <c r="D118" s="161" t="s">
        <v>836</v>
      </c>
      <c r="E118" s="162">
        <v>15.640228594822497</v>
      </c>
      <c r="F118" s="162">
        <v>291357.12642436987</v>
      </c>
      <c r="G118" s="160" t="s">
        <v>872</v>
      </c>
      <c r="H118" s="188">
        <f>_xlfn.XLOOKUP(D118,'[1]World Population'!$B$2:$B$267,'[1]World Population'!$BN$2:$BN$267,0)</f>
        <v>19129955</v>
      </c>
      <c r="I118" s="188">
        <f>_xlfn.XLOOKUP(C118,'[4]Access to Electricity'!$B$6:$B$271,'[4]Access to Electricity'!$BM$6:$BM$271)</f>
        <v>14.866768836975099</v>
      </c>
      <c r="J118" s="194">
        <f>_xlfn.XLOOKUP(C118,'[2]GDP 2015 Constant'!$B$6:$B$271,'[2]GDP 2015 Constant'!$BM$6:$BM$271)</f>
        <v>7537262760</v>
      </c>
      <c r="K118" s="193">
        <f t="shared" si="2"/>
        <v>394.00316205657566</v>
      </c>
      <c r="L118" s="194">
        <f>_xlfn.XLOOKUP(C118,'[5]Tourism Receipts'!$B$6:$B$271,'[5]Tourism Receipts'!$BK$6:$BK$271)</f>
        <v>55000000</v>
      </c>
      <c r="M118" s="195">
        <f t="shared" si="3"/>
        <v>7.2970787607250674E-3</v>
      </c>
      <c r="N118">
        <v>7.2397623575184404</v>
      </c>
      <c r="O118" s="188">
        <v>7392394</v>
      </c>
      <c r="P118" s="188">
        <v>97.57</v>
      </c>
      <c r="Q118">
        <v>61.8476540824403</v>
      </c>
      <c r="R118">
        <v>65.259663184729305</v>
      </c>
      <c r="S118">
        <v>4651.9514135620202</v>
      </c>
      <c r="T118">
        <v>98.511635976259299</v>
      </c>
    </row>
    <row r="119" spans="1:20" x14ac:dyDescent="0.2">
      <c r="A119" s="161" t="s">
        <v>157</v>
      </c>
      <c r="B119" s="161">
        <v>458</v>
      </c>
      <c r="C119" t="str">
        <f>_xlfn.XLOOKUP(B119,'Country Code M49'!$B$2:$B$250,'Country Code M49'!$C$2:$C$250,,0)</f>
        <v>MYS</v>
      </c>
      <c r="D119" s="161" t="s">
        <v>121</v>
      </c>
      <c r="E119" s="162">
        <v>78.81736997673103</v>
      </c>
      <c r="F119" s="162">
        <v>2518199.2072825609</v>
      </c>
      <c r="G119" s="160" t="s">
        <v>881</v>
      </c>
      <c r="H119" s="188">
        <f>_xlfn.XLOOKUP(D119,'[1]World Population'!$B$2:$B$267,'[1]World Population'!$BN$2:$BN$267,0)</f>
        <v>32365998</v>
      </c>
      <c r="I119" s="188">
        <f>_xlfn.XLOOKUP(C119,'[4]Access to Electricity'!$B$6:$B$271,'[4]Access to Electricity'!$BM$6:$BM$271)</f>
        <v>100</v>
      </c>
      <c r="J119" s="194">
        <f>_xlfn.XLOOKUP(C119,'[2]GDP 2015 Constant'!$B$6:$B$271,'[2]GDP 2015 Constant'!$BM$6:$BM$271)</f>
        <v>344099000000</v>
      </c>
      <c r="K119" s="193">
        <f t="shared" si="2"/>
        <v>10631.496671290655</v>
      </c>
      <c r="L119" s="194">
        <f>_xlfn.XLOOKUP(C119,'[5]Tourism Receipts'!$B$6:$B$271,'[5]Tourism Receipts'!$BK$6:$BK$271)</f>
        <v>21775000000</v>
      </c>
      <c r="M119" s="195">
        <f t="shared" si="3"/>
        <v>6.3281206861978676E-2</v>
      </c>
      <c r="N119">
        <v>4.60699986258878</v>
      </c>
      <c r="O119" s="188">
        <v>320709</v>
      </c>
      <c r="P119" s="188">
        <v>105.49</v>
      </c>
      <c r="Q119">
        <v>83.719369050368897</v>
      </c>
      <c r="R119">
        <v>69.446830850487899</v>
      </c>
      <c r="S119">
        <v>0</v>
      </c>
      <c r="T119">
        <v>1801.80666666667</v>
      </c>
    </row>
    <row r="120" spans="1:20" ht="25" x14ac:dyDescent="0.2">
      <c r="A120" s="161" t="s">
        <v>149</v>
      </c>
      <c r="B120" s="161">
        <v>462</v>
      </c>
      <c r="C120" t="str">
        <f>_xlfn.XLOOKUP(B120,'Country Code M49'!$B$2:$B$250,'Country Code M49'!$C$2:$C$250,,0)</f>
        <v>MDV</v>
      </c>
      <c r="D120" s="161" t="s">
        <v>800</v>
      </c>
      <c r="E120" s="162">
        <v>15.640228594822497</v>
      </c>
      <c r="F120" s="162">
        <v>8304.9613838507466</v>
      </c>
      <c r="G120" s="160" t="s">
        <v>872</v>
      </c>
      <c r="H120" s="188">
        <f>_xlfn.XLOOKUP(D120,'[1]World Population'!$B$2:$B$267,'[1]World Population'!$BN$2:$BN$267,0)</f>
        <v>540542</v>
      </c>
      <c r="I120" s="188">
        <f>_xlfn.XLOOKUP(C120,'[4]Access to Electricity'!$B$6:$B$271,'[4]Access to Electricity'!$BM$6:$BM$271)</f>
        <v>100</v>
      </c>
      <c r="J120" s="194">
        <f>_xlfn.XLOOKUP(C120,'[2]GDP 2015 Constant'!$B$6:$B$271,'[2]GDP 2015 Constant'!$BM$6:$BM$271)</f>
        <v>3600460153</v>
      </c>
      <c r="K120" s="193">
        <f t="shared" si="2"/>
        <v>6660.833298800093</v>
      </c>
      <c r="L120" s="194">
        <f>_xlfn.XLOOKUP(C120,'[5]Tourism Receipts'!$B$6:$B$271,'[5]Tourism Receipts'!$BK$6:$BK$271)</f>
        <v>3054000000</v>
      </c>
      <c r="M120" s="195">
        <f t="shared" si="3"/>
        <v>0.848224912989337</v>
      </c>
      <c r="N120">
        <v>37.307797318090799</v>
      </c>
      <c r="O120" s="188">
        <v>11358895</v>
      </c>
      <c r="P120" s="188">
        <v>134.57</v>
      </c>
      <c r="Q120">
        <v>35.622408402120698</v>
      </c>
      <c r="R120">
        <v>25.705291132007002</v>
      </c>
      <c r="S120">
        <v>0</v>
      </c>
      <c r="T120">
        <v>16.5964595677722</v>
      </c>
    </row>
    <row r="121" spans="1:20" ht="25" x14ac:dyDescent="0.2">
      <c r="A121" s="161" t="s">
        <v>154</v>
      </c>
      <c r="B121" s="161">
        <v>466</v>
      </c>
      <c r="C121" t="str">
        <f>_xlfn.XLOOKUP(B121,'Country Code M49'!$B$2:$B$250,'Country Code M49'!$C$2:$C$250,,0)</f>
        <v>MLI</v>
      </c>
      <c r="D121" s="161" t="s">
        <v>837</v>
      </c>
      <c r="E121" s="162">
        <v>15.640228594822497</v>
      </c>
      <c r="F121" s="162">
        <v>307455.61371702061</v>
      </c>
      <c r="G121" s="160" t="s">
        <v>872</v>
      </c>
      <c r="H121" s="188">
        <f>_xlfn.XLOOKUP(D121,'[1]World Population'!$B$2:$B$267,'[1]World Population'!$BN$2:$BN$267,0)</f>
        <v>20250834</v>
      </c>
      <c r="I121" s="188">
        <f>_xlfn.XLOOKUP(C121,'[4]Access to Electricity'!$B$6:$B$271,'[4]Access to Electricity'!$BM$6:$BM$271)</f>
        <v>50.561416625976598</v>
      </c>
      <c r="J121" s="194">
        <f>_xlfn.XLOOKUP(C121,'[2]GDP 2015 Constant'!$B$6:$B$271,'[2]GDP 2015 Constant'!$BM$6:$BM$271)</f>
        <v>15830713977</v>
      </c>
      <c r="K121" s="193">
        <f t="shared" si="2"/>
        <v>781.73145743034581</v>
      </c>
      <c r="L121" s="194">
        <f>_xlfn.XLOOKUP(C121,'[5]Tourism Receipts'!$B$6:$B$271,'[5]Tourism Receipts'!$BK$6:$BK$271)</f>
        <v>231000000</v>
      </c>
      <c r="M121" s="195">
        <f t="shared" si="3"/>
        <v>1.4591887664423311E-2</v>
      </c>
      <c r="N121">
        <v>0.47568325233029801</v>
      </c>
      <c r="O121" s="188">
        <v>27086</v>
      </c>
      <c r="P121" s="188">
        <v>74.27</v>
      </c>
      <c r="Q121">
        <v>127.757221921013</v>
      </c>
      <c r="R121">
        <v>146.079187783961</v>
      </c>
      <c r="S121">
        <v>4924.54401944044</v>
      </c>
      <c r="T121">
        <v>1610.4124999999999</v>
      </c>
    </row>
    <row r="122" spans="1:20" x14ac:dyDescent="0.2">
      <c r="A122" s="161" t="s">
        <v>155</v>
      </c>
      <c r="B122" s="161">
        <v>470</v>
      </c>
      <c r="C122" t="str">
        <f>_xlfn.XLOOKUP(B122,'Country Code M49'!$B$2:$B$250,'Country Code M49'!$C$2:$C$250,,0)</f>
        <v>MLT</v>
      </c>
      <c r="D122" s="161" t="s">
        <v>122</v>
      </c>
      <c r="E122" s="162">
        <v>12.811309449374059</v>
      </c>
      <c r="F122" s="162">
        <v>5642.1006815043365</v>
      </c>
      <c r="G122" s="160" t="s">
        <v>877</v>
      </c>
      <c r="H122" s="188">
        <f>_xlfn.XLOOKUP(D122,'[1]World Population'!$B$2:$B$267,'[1]World Population'!$BN$2:$BN$267,0)</f>
        <v>515332</v>
      </c>
      <c r="I122" s="188">
        <f>_xlfn.XLOOKUP(C122,'[4]Access to Electricity'!$B$6:$B$271,'[4]Access to Electricity'!$BM$6:$BM$271)</f>
        <v>100</v>
      </c>
      <c r="J122" s="194">
        <f>_xlfn.XLOOKUP(C122,'[2]GDP 2015 Constant'!$B$6:$B$271,'[2]GDP 2015 Constant'!$BM$6:$BM$271)</f>
        <v>13103388907</v>
      </c>
      <c r="K122" s="193">
        <f t="shared" si="2"/>
        <v>25427.081778348715</v>
      </c>
      <c r="L122" s="194">
        <f>_xlfn.XLOOKUP(C122,'[5]Tourism Receipts'!$B$6:$B$271,'[5]Tourism Receipts'!$BK$6:$BK$271)</f>
        <v>0</v>
      </c>
      <c r="M122" s="195">
        <f t="shared" si="3"/>
        <v>0</v>
      </c>
      <c r="N122">
        <v>20.150779538482499</v>
      </c>
      <c r="O122" s="188">
        <v>13145</v>
      </c>
      <c r="P122" s="188">
        <v>96.09</v>
      </c>
      <c r="Q122">
        <v>85.884626892412001</v>
      </c>
      <c r="R122">
        <v>37.872741501581501</v>
      </c>
      <c r="S122">
        <v>0</v>
      </c>
      <c r="T122">
        <v>328.85555555555601</v>
      </c>
    </row>
    <row r="123" spans="1:20" ht="25" x14ac:dyDescent="0.2">
      <c r="A123" s="161" t="s">
        <v>875</v>
      </c>
      <c r="B123" s="161">
        <v>584</v>
      </c>
      <c r="C123" t="str">
        <f>_xlfn.XLOOKUP(B123,'Country Code M49'!$B$2:$B$250,'Country Code M49'!$C$2:$C$250,,0)</f>
        <v>MHL</v>
      </c>
      <c r="D123" s="161" t="s">
        <v>759</v>
      </c>
      <c r="E123" s="162">
        <v>15.640228594822497</v>
      </c>
      <c r="F123" s="162">
        <v>919.64544137556277</v>
      </c>
      <c r="G123" s="160" t="s">
        <v>872</v>
      </c>
      <c r="H123" s="188">
        <f>_xlfn.XLOOKUP(D123,'[1]World Population'!$B$2:$B$267,'[1]World Population'!$BN$2:$BN$267,0)</f>
        <v>59194</v>
      </c>
      <c r="I123" s="188">
        <f>_xlfn.XLOOKUP(C123,'[4]Access to Electricity'!$B$6:$B$271,'[4]Access to Electricity'!$BM$6:$BM$271)</f>
        <v>99.160606384277301</v>
      </c>
      <c r="J123" s="194">
        <f>_xlfn.XLOOKUP(C123,'[2]GDP 2015 Constant'!$B$6:$B$271,'[2]GDP 2015 Constant'!$BM$6:$BM$271)</f>
        <v>207699800</v>
      </c>
      <c r="K123" s="193">
        <f t="shared" si="2"/>
        <v>3508.7981890056426</v>
      </c>
      <c r="L123" s="194">
        <f>_xlfn.XLOOKUP(C123,'[5]Tourism Receipts'!$B$6:$B$271,'[5]Tourism Receipts'!$BK$6:$BK$271)</f>
        <v>20100000.379999999</v>
      </c>
      <c r="M123" s="195">
        <f t="shared" si="3"/>
        <v>9.6774288564553265E-2</v>
      </c>
      <c r="N123">
        <v>21.6769475143352</v>
      </c>
      <c r="O123" s="188">
        <v>2077143</v>
      </c>
      <c r="P123" s="188">
        <v>110.49</v>
      </c>
      <c r="Q123">
        <v>47.925066808759802</v>
      </c>
      <c r="R123">
        <v>39.184759906082697</v>
      </c>
      <c r="S123">
        <v>0</v>
      </c>
      <c r="T123">
        <v>4.5111671679441203</v>
      </c>
    </row>
    <row r="124" spans="1:20" ht="25" x14ac:dyDescent="0.2">
      <c r="A124" s="161" t="s">
        <v>154</v>
      </c>
      <c r="B124" s="161">
        <v>478</v>
      </c>
      <c r="C124" t="str">
        <f>_xlfn.XLOOKUP(B124,'Country Code M49'!$B$2:$B$250,'Country Code M49'!$C$2:$C$250,,0)</f>
        <v>MRT</v>
      </c>
      <c r="D124" s="161" t="s">
        <v>838</v>
      </c>
      <c r="E124" s="162">
        <v>15.640228594822497</v>
      </c>
      <c r="F124" s="162">
        <v>70782.982551588182</v>
      </c>
      <c r="G124" s="160" t="s">
        <v>872</v>
      </c>
      <c r="H124" s="188">
        <f>_xlfn.XLOOKUP(D124,'[1]World Population'!$B$2:$B$267,'[1]World Population'!$BN$2:$BN$267,0)</f>
        <v>4649660</v>
      </c>
      <c r="I124" s="188">
        <f>_xlfn.XLOOKUP(C124,'[4]Access to Electricity'!$B$6:$B$271,'[4]Access to Electricity'!$BM$6:$BM$271)</f>
        <v>47.348419189453097</v>
      </c>
      <c r="J124" s="194">
        <f>_xlfn.XLOOKUP(C124,'[2]GDP 2015 Constant'!$B$6:$B$271,'[2]GDP 2015 Constant'!$BM$6:$BM$271)</f>
        <v>7206781562</v>
      </c>
      <c r="K124" s="193">
        <f t="shared" si="2"/>
        <v>1549.958827527174</v>
      </c>
      <c r="L124" s="194">
        <f>_xlfn.XLOOKUP(C124,'[5]Tourism Receipts'!$B$6:$B$271,'[5]Tourism Receipts'!$BK$6:$BK$271)</f>
        <v>6000000</v>
      </c>
      <c r="M124" s="195">
        <f t="shared" si="3"/>
        <v>8.3254916891568745E-4</v>
      </c>
      <c r="N124">
        <v>2.8979195350162801</v>
      </c>
      <c r="O124" s="188">
        <v>749824</v>
      </c>
      <c r="P124" s="188">
        <v>80.78</v>
      </c>
      <c r="Q124">
        <v>54.020729092208697</v>
      </c>
      <c r="R124">
        <v>38.470338421768801</v>
      </c>
      <c r="S124">
        <v>2182.5091559114098</v>
      </c>
      <c r="T124">
        <v>623.51724137931001</v>
      </c>
    </row>
    <row r="125" spans="1:20" x14ac:dyDescent="0.2">
      <c r="A125" s="161" t="s">
        <v>154</v>
      </c>
      <c r="B125" s="161">
        <v>480</v>
      </c>
      <c r="C125" t="str">
        <f>_xlfn.XLOOKUP(B125,'Country Code M49'!$B$2:$B$250,'Country Code M49'!$C$2:$C$250,,0)</f>
        <v>MUS</v>
      </c>
      <c r="D125" s="161" t="s">
        <v>839</v>
      </c>
      <c r="E125" s="162">
        <v>12.811309449374059</v>
      </c>
      <c r="F125" s="162">
        <v>16266.519607870243</v>
      </c>
      <c r="G125" s="160" t="s">
        <v>877</v>
      </c>
      <c r="H125" s="188">
        <f>_xlfn.XLOOKUP(D125,'[1]World Population'!$B$2:$B$267,'[1]World Population'!$BN$2:$BN$267,0)</f>
        <v>1265740</v>
      </c>
      <c r="I125" s="188">
        <f>_xlfn.XLOOKUP(C125,'[4]Access to Electricity'!$B$6:$B$271,'[4]Access to Electricity'!$BM$6:$BM$271)</f>
        <v>99.661651611328097</v>
      </c>
      <c r="J125" s="194">
        <f>_xlfn.XLOOKUP(C125,'[2]GDP 2015 Constant'!$B$6:$B$271,'[2]GDP 2015 Constant'!$BM$6:$BM$271)</f>
        <v>11465336643</v>
      </c>
      <c r="K125" s="193">
        <f t="shared" si="2"/>
        <v>9058.208354796403</v>
      </c>
      <c r="L125" s="194">
        <f>_xlfn.XLOOKUP(C125,'[5]Tourism Receipts'!$B$6:$B$271,'[5]Tourism Receipts'!$BK$6:$BK$271)</f>
        <v>2161000000</v>
      </c>
      <c r="M125" s="195">
        <f t="shared" si="3"/>
        <v>0.18848116433801951</v>
      </c>
      <c r="N125">
        <v>3.3943129765772801</v>
      </c>
      <c r="O125" s="188">
        <v>24844052</v>
      </c>
      <c r="P125" s="188">
        <v>112.83</v>
      </c>
      <c r="Q125">
        <v>41.301832499876298</v>
      </c>
      <c r="R125">
        <v>38.809281330790803</v>
      </c>
      <c r="S125">
        <v>2157.3237875172699</v>
      </c>
      <c r="T125">
        <v>66.325138506648798</v>
      </c>
    </row>
    <row r="126" spans="1:20" ht="25" x14ac:dyDescent="0.2">
      <c r="A126" s="161" t="s">
        <v>150</v>
      </c>
      <c r="B126" s="161">
        <v>484</v>
      </c>
      <c r="C126" t="str">
        <f>_xlfn.XLOOKUP(B126,'Country Code M49'!$B$2:$B$250,'Country Code M49'!$C$2:$C$250,,0)</f>
        <v>MEX</v>
      </c>
      <c r="D126" s="161" t="s">
        <v>123</v>
      </c>
      <c r="E126" s="162">
        <v>15.640228594822497</v>
      </c>
      <c r="F126" s="162">
        <v>1995309.9830987775</v>
      </c>
      <c r="G126" s="160" t="s">
        <v>872</v>
      </c>
      <c r="H126" s="188">
        <f>_xlfn.XLOOKUP(D126,'[1]World Population'!$B$2:$B$267,'[1]World Population'!$BN$2:$BN$267,0)</f>
        <v>128932753</v>
      </c>
      <c r="I126" s="188">
        <f>_xlfn.XLOOKUP(C126,'[4]Access to Electricity'!$B$6:$B$271,'[4]Access to Electricity'!$BM$6:$BM$271)</f>
        <v>99.400001525878906</v>
      </c>
      <c r="J126" s="194">
        <f>_xlfn.XLOOKUP(C126,'[2]GDP 2015 Constant'!$B$6:$B$271,'[2]GDP 2015 Constant'!$BM$6:$BM$271)</f>
        <v>1150420000000</v>
      </c>
      <c r="K126" s="193">
        <f t="shared" si="2"/>
        <v>8922.6358177584243</v>
      </c>
      <c r="L126" s="194">
        <f>_xlfn.XLOOKUP(C126,'[5]Tourism Receipts'!$B$6:$B$271,'[5]Tourism Receipts'!$BK$6:$BK$271)</f>
        <v>23802000000</v>
      </c>
      <c r="M126" s="195">
        <f t="shared" si="3"/>
        <v>2.0689835016776483E-2</v>
      </c>
      <c r="N126">
        <v>22.512933644046399</v>
      </c>
      <c r="O126" s="188">
        <v>88643</v>
      </c>
      <c r="P126" s="188">
        <v>99.73</v>
      </c>
      <c r="Q126">
        <v>65.376731355006797</v>
      </c>
      <c r="R126">
        <v>31.443993517837001</v>
      </c>
      <c r="S126">
        <v>0</v>
      </c>
      <c r="T126">
        <v>164.31571428571399</v>
      </c>
    </row>
    <row r="127" spans="1:20" ht="25" x14ac:dyDescent="0.2">
      <c r="A127" s="161" t="s">
        <v>875</v>
      </c>
      <c r="B127" s="161">
        <v>583</v>
      </c>
      <c r="C127" t="str">
        <f>_xlfn.XLOOKUP(B127,'Country Code M49'!$B$2:$B$250,'Country Code M49'!$C$2:$C$250,,0)</f>
        <v>FSM</v>
      </c>
      <c r="D127" s="161" t="s">
        <v>760</v>
      </c>
      <c r="E127" s="162">
        <v>15.640228594822497</v>
      </c>
      <c r="F127" s="162">
        <v>1779.8580140908002</v>
      </c>
      <c r="G127" s="160" t="s">
        <v>872</v>
      </c>
      <c r="H127" s="188">
        <f>_xlfn.XLOOKUP(D127,'[1]World Population'!$B$2:$B$267,'[1]World Population'!$BN$2:$BN$267,0)</f>
        <v>115021</v>
      </c>
      <c r="I127" s="188">
        <f>_xlfn.XLOOKUP(C127,'[4]Access to Electricity'!$B$6:$B$271,'[4]Access to Electricity'!$BM$6:$BM$271)</f>
        <v>82.925918579101605</v>
      </c>
      <c r="J127" s="194">
        <f>_xlfn.XLOOKUP(C127,'[2]GDP 2015 Constant'!$B$6:$B$271,'[2]GDP 2015 Constant'!$BM$6:$BM$271)</f>
        <v>326589289.5</v>
      </c>
      <c r="K127" s="193">
        <f t="shared" si="2"/>
        <v>2839.3883682110222</v>
      </c>
      <c r="L127" s="194">
        <f>_xlfn.XLOOKUP(C127,'[5]Tourism Receipts'!$B$6:$B$271,'[5]Tourism Receipts'!$BK$6:$BK$271)</f>
        <v>0</v>
      </c>
      <c r="M127" s="195">
        <f t="shared" si="3"/>
        <v>0</v>
      </c>
      <c r="N127">
        <v>0</v>
      </c>
      <c r="O127" s="188">
        <v>0</v>
      </c>
      <c r="P127" s="188">
        <v>0</v>
      </c>
      <c r="Q127">
        <v>0</v>
      </c>
      <c r="R127">
        <v>0</v>
      </c>
      <c r="S127">
        <v>0</v>
      </c>
      <c r="T127">
        <v>19360.631475086298</v>
      </c>
    </row>
    <row r="128" spans="1:20" x14ac:dyDescent="0.2">
      <c r="A128" s="161" t="s">
        <v>147</v>
      </c>
      <c r="B128" s="161">
        <v>492</v>
      </c>
      <c r="C128" t="str">
        <f>_xlfn.XLOOKUP(B128,'Country Code M49'!$B$2:$B$250,'Country Code M49'!$C$2:$C$250,,0)</f>
        <v>MCO</v>
      </c>
      <c r="D128" s="161" t="s">
        <v>869</v>
      </c>
      <c r="E128" s="162">
        <v>12.811309449374059</v>
      </c>
      <c r="F128" s="162">
        <v>499.64106852558831</v>
      </c>
      <c r="G128" s="160" t="s">
        <v>877</v>
      </c>
      <c r="H128" s="188">
        <f>_xlfn.XLOOKUP(D128,'[1]World Population'!$B$2:$B$267,'[1]World Population'!$BN$2:$BN$267,0)</f>
        <v>39244</v>
      </c>
      <c r="I128" s="188">
        <f>_xlfn.XLOOKUP(C128,'[4]Access to Electricity'!$B$6:$B$271,'[4]Access to Electricity'!$BM$6:$BM$271)</f>
        <v>100</v>
      </c>
      <c r="J128" s="194">
        <f>_xlfn.XLOOKUP(C128,'[2]GDP 2015 Constant'!$B$6:$B$271,'[2]GDP 2015 Constant'!$BM$6:$BM$271)</f>
        <v>6248493129</v>
      </c>
      <c r="K128" s="193">
        <f t="shared" si="2"/>
        <v>159221.61678218326</v>
      </c>
      <c r="L128" s="194">
        <f>_xlfn.XLOOKUP(C128,'[5]Tourism Receipts'!$B$6:$B$271,'[5]Tourism Receipts'!$BK$6:$BK$271)</f>
        <v>0</v>
      </c>
      <c r="M128" s="195">
        <f t="shared" si="3"/>
        <v>0</v>
      </c>
      <c r="N128">
        <v>11.558382861257201</v>
      </c>
      <c r="O128" s="188">
        <v>1027515</v>
      </c>
      <c r="P128" s="188">
        <v>173.71</v>
      </c>
      <c r="Q128">
        <v>68.191090964265399</v>
      </c>
      <c r="R128">
        <v>59.217233181074697</v>
      </c>
      <c r="S128">
        <v>2006.3868336943699</v>
      </c>
      <c r="T128">
        <v>2.1048331819068098</v>
      </c>
    </row>
    <row r="129" spans="1:20" ht="25" x14ac:dyDescent="0.2">
      <c r="A129" s="161" t="s">
        <v>152</v>
      </c>
      <c r="B129" s="161">
        <v>496</v>
      </c>
      <c r="C129" t="str">
        <f>_xlfn.XLOOKUP(B129,'Country Code M49'!$B$2:$B$250,'Country Code M49'!$C$2:$C$250,,0)</f>
        <v>MNG</v>
      </c>
      <c r="D129" s="161" t="s">
        <v>698</v>
      </c>
      <c r="E129" s="162">
        <v>15.640228594822497</v>
      </c>
      <c r="F129" s="162">
        <v>50442.865264021515</v>
      </c>
      <c r="G129" s="160" t="s">
        <v>872</v>
      </c>
      <c r="H129" s="188">
        <f>_xlfn.XLOOKUP(D129,'[1]World Population'!$B$2:$B$267,'[1]World Population'!$BN$2:$BN$267,0)</f>
        <v>3278292</v>
      </c>
      <c r="I129" s="188">
        <f>_xlfn.XLOOKUP(C129,'[4]Access to Electricity'!$B$6:$B$271,'[4]Access to Electricity'!$BM$6:$BM$271)</f>
        <v>98.099998474121094</v>
      </c>
      <c r="J129" s="194">
        <f>_xlfn.XLOOKUP(C129,'[2]GDP 2015 Constant'!$B$6:$B$271,'[2]GDP 2015 Constant'!$BM$6:$BM$271)</f>
        <v>13528524725</v>
      </c>
      <c r="K129" s="193">
        <f t="shared" si="2"/>
        <v>4126.6991241170708</v>
      </c>
      <c r="L129" s="194">
        <f>_xlfn.XLOOKUP(C129,'[5]Tourism Receipts'!$B$6:$B$271,'[5]Tourism Receipts'!$BK$6:$BK$271)</f>
        <v>526000000</v>
      </c>
      <c r="M129" s="195">
        <f t="shared" si="3"/>
        <v>3.8880810043387788E-2</v>
      </c>
      <c r="N129">
        <v>6.3938419259579096</v>
      </c>
      <c r="O129" s="188">
        <v>201999</v>
      </c>
      <c r="P129" s="188">
        <v>102.58</v>
      </c>
      <c r="Q129">
        <v>66.734296491841306</v>
      </c>
      <c r="R129">
        <v>43.846641436784303</v>
      </c>
      <c r="S129">
        <v>4612.3413904568897</v>
      </c>
      <c r="T129">
        <v>46.193754646840098</v>
      </c>
    </row>
    <row r="130" spans="1:20" ht="25" x14ac:dyDescent="0.2">
      <c r="A130" s="161" t="s">
        <v>155</v>
      </c>
      <c r="B130" s="161">
        <v>499</v>
      </c>
      <c r="C130" t="str">
        <f>_xlfn.XLOOKUP(B130,'Country Code M49'!$B$2:$B$250,'Country Code M49'!$C$2:$C$250,,0)</f>
        <v>MNE</v>
      </c>
      <c r="D130" s="161" t="s">
        <v>808</v>
      </c>
      <c r="E130" s="162">
        <v>15.640228594822497</v>
      </c>
      <c r="F130" s="162">
        <v>9822.0635575485285</v>
      </c>
      <c r="G130" s="160" t="s">
        <v>872</v>
      </c>
      <c r="H130" s="188">
        <f>_xlfn.XLOOKUP(D130,'[1]World Population'!$B$2:$B$267,'[1]World Population'!$BN$2:$BN$267,0)</f>
        <v>621306</v>
      </c>
      <c r="I130" s="188">
        <f>_xlfn.XLOOKUP(C130,'[4]Access to Electricity'!$B$6:$B$271,'[4]Access to Electricity'!$BM$6:$BM$271)</f>
        <v>100</v>
      </c>
      <c r="J130" s="194">
        <f>_xlfn.XLOOKUP(C130,'[2]GDP 2015 Constant'!$B$6:$B$271,'[2]GDP 2015 Constant'!$BM$6:$BM$271)</f>
        <v>4048140209</v>
      </c>
      <c r="K130" s="193">
        <f t="shared" ref="K130:K193" si="4">J130/H130</f>
        <v>6515.5337450467241</v>
      </c>
      <c r="L130" s="194">
        <f>_xlfn.XLOOKUP(C130,'[5]Tourism Receipts'!$B$6:$B$271,'[5]Tourism Receipts'!$BK$6:$BK$271)</f>
        <v>1224000000</v>
      </c>
      <c r="M130" s="195">
        <f t="shared" si="3"/>
        <v>0.30236106873935603</v>
      </c>
      <c r="N130">
        <v>12.145929150264701</v>
      </c>
      <c r="O130" s="188">
        <v>13460542</v>
      </c>
      <c r="P130" s="188">
        <v>100.61</v>
      </c>
      <c r="Q130">
        <v>49.198304318682702</v>
      </c>
      <c r="R130">
        <v>39.3169362407899</v>
      </c>
      <c r="S130">
        <v>904.44186388081198</v>
      </c>
      <c r="T130">
        <v>82.703468518933406</v>
      </c>
    </row>
    <row r="131" spans="1:20" ht="25" x14ac:dyDescent="0.2">
      <c r="A131" s="161" t="s">
        <v>876</v>
      </c>
      <c r="B131" s="161">
        <v>504</v>
      </c>
      <c r="C131" t="str">
        <f>_xlfn.XLOOKUP(B131,'Country Code M49'!$B$2:$B$250,'Country Code M49'!$C$2:$C$250,,0)</f>
        <v>MAR</v>
      </c>
      <c r="D131" s="161" t="s">
        <v>767</v>
      </c>
      <c r="E131" s="162">
        <v>15.640228594822497</v>
      </c>
      <c r="F131" s="162">
        <v>570427.28926464717</v>
      </c>
      <c r="G131" s="160" t="s">
        <v>872</v>
      </c>
      <c r="H131" s="188">
        <f>_xlfn.XLOOKUP(D131,'[1]World Population'!$B$2:$B$267,'[1]World Population'!$BN$2:$BN$267,0)</f>
        <v>36910558</v>
      </c>
      <c r="I131" s="188">
        <f>_xlfn.XLOOKUP(C131,'[4]Access to Electricity'!$B$6:$B$271,'[4]Access to Electricity'!$BM$6:$BM$271)</f>
        <v>100</v>
      </c>
      <c r="J131" s="194">
        <f>_xlfn.XLOOKUP(C131,'[2]GDP 2015 Constant'!$B$6:$B$271,'[2]GDP 2015 Constant'!$BM$6:$BM$271)</f>
        <v>105726000000</v>
      </c>
      <c r="K131" s="193">
        <f t="shared" si="4"/>
        <v>2864.3836812220502</v>
      </c>
      <c r="L131" s="194">
        <f>_xlfn.XLOOKUP(C131,'[5]Tourism Receipts'!$B$6:$B$271,'[5]Tourism Receipts'!$BK$6:$BK$271)</f>
        <v>9520000000</v>
      </c>
      <c r="M131" s="195">
        <f t="shared" ref="M131:M194" si="5">L131/J131</f>
        <v>9.0044076196961961E-2</v>
      </c>
      <c r="N131">
        <v>24.211433334701699</v>
      </c>
      <c r="O131" s="188">
        <v>19667795</v>
      </c>
      <c r="P131" s="188">
        <v>130.86000000000001</v>
      </c>
      <c r="Q131">
        <v>82.334153994728993</v>
      </c>
      <c r="R131">
        <v>32.268361516192101</v>
      </c>
      <c r="S131">
        <v>478.92064396394898</v>
      </c>
      <c r="T131">
        <v>39.745968870012</v>
      </c>
    </row>
    <row r="132" spans="1:20" ht="25" x14ac:dyDescent="0.2">
      <c r="A132" s="161" t="s">
        <v>154</v>
      </c>
      <c r="B132" s="161">
        <v>508</v>
      </c>
      <c r="C132" t="str">
        <f>_xlfn.XLOOKUP(B132,'Country Code M49'!$B$2:$B$250,'Country Code M49'!$C$2:$C$250,,0)</f>
        <v>MOZ</v>
      </c>
      <c r="D132" s="161" t="s">
        <v>841</v>
      </c>
      <c r="E132" s="162">
        <v>15.640228594822497</v>
      </c>
      <c r="F132" s="162">
        <v>474931.18151037995</v>
      </c>
      <c r="G132" s="160" t="s">
        <v>872</v>
      </c>
      <c r="H132" s="188">
        <f>_xlfn.XLOOKUP(D132,'[1]World Population'!$B$2:$B$267,'[1]World Population'!$BN$2:$BN$267,0)</f>
        <v>31255435</v>
      </c>
      <c r="I132" s="188">
        <f>_xlfn.XLOOKUP(C132,'[4]Access to Electricity'!$B$6:$B$271,'[4]Access to Electricity'!$BM$6:$BM$271)</f>
        <v>30.603832244873001</v>
      </c>
      <c r="J132" s="194">
        <f>_xlfn.XLOOKUP(C132,'[2]GDP 2015 Constant'!$B$6:$B$271,'[2]GDP 2015 Constant'!$BM$6:$BM$271)</f>
        <v>17959233845</v>
      </c>
      <c r="K132" s="193">
        <f t="shared" si="4"/>
        <v>574.59554938205144</v>
      </c>
      <c r="L132" s="194">
        <f>_xlfn.XLOOKUP(C132,'[5]Tourism Receipts'!$B$6:$B$271,'[5]Tourism Receipts'!$BK$6:$BK$271)</f>
        <v>331000000</v>
      </c>
      <c r="M132" s="195">
        <f t="shared" si="5"/>
        <v>1.8430630329598005E-2</v>
      </c>
      <c r="N132">
        <v>21.354050769455799</v>
      </c>
      <c r="O132" s="188">
        <v>37466040</v>
      </c>
      <c r="P132" s="188">
        <v>103.02</v>
      </c>
      <c r="Q132">
        <v>34.0891936609382</v>
      </c>
      <c r="R132">
        <v>30.389750715507098</v>
      </c>
      <c r="S132">
        <v>215.29885838048099</v>
      </c>
      <c r="T132">
        <v>83.364937870593096</v>
      </c>
    </row>
    <row r="133" spans="1:20" ht="25" x14ac:dyDescent="0.2">
      <c r="A133" s="161" t="s">
        <v>157</v>
      </c>
      <c r="B133" s="161">
        <v>104</v>
      </c>
      <c r="C133" t="str">
        <f>_xlfn.XLOOKUP(B133,'Country Code M49'!$B$2:$B$250,'Country Code M49'!$C$2:$C$250,,0)</f>
        <v>MMR</v>
      </c>
      <c r="D133" s="161" t="s">
        <v>792</v>
      </c>
      <c r="E133" s="162">
        <v>15.640228594822497</v>
      </c>
      <c r="F133" s="162">
        <v>845282.41049861978</v>
      </c>
      <c r="G133" s="160" t="s">
        <v>872</v>
      </c>
      <c r="H133" s="188">
        <f>_xlfn.XLOOKUP(D133,'[1]World Population'!$B$2:$B$267,'[1]World Population'!$BN$2:$BN$267,0)</f>
        <v>54409794</v>
      </c>
      <c r="I133" s="188">
        <f>_xlfn.XLOOKUP(C133,'[4]Access to Electricity'!$B$6:$B$271,'[4]Access to Electricity'!$BM$6:$BM$271)</f>
        <v>70.397193908691406</v>
      </c>
      <c r="J133" s="194">
        <f>_xlfn.XLOOKUP(C133,'[2]GDP 2015 Constant'!$B$6:$B$271,'[2]GDP 2015 Constant'!$BM$6:$BM$271)</f>
        <v>86343026585</v>
      </c>
      <c r="K133" s="193">
        <f t="shared" si="4"/>
        <v>1586.9022879410277</v>
      </c>
      <c r="L133" s="194">
        <f>_xlfn.XLOOKUP(C133,'[5]Tourism Receipts'!$B$6:$B$271,'[5]Tourism Receipts'!$BK$6:$BK$271)</f>
        <v>1670000000</v>
      </c>
      <c r="M133" s="195">
        <f t="shared" si="5"/>
        <v>1.9341457741882329E-2</v>
      </c>
      <c r="N133">
        <v>7.0832565980882602</v>
      </c>
      <c r="O133" s="188">
        <v>1218801</v>
      </c>
      <c r="P133" s="188">
        <v>103.21</v>
      </c>
      <c r="Q133">
        <v>45.831301572099001</v>
      </c>
      <c r="R133">
        <v>36.361647216527999</v>
      </c>
      <c r="S133">
        <v>1652.57193328483</v>
      </c>
      <c r="T133">
        <v>3.08629523011333</v>
      </c>
    </row>
    <row r="134" spans="1:20" ht="25" x14ac:dyDescent="0.2">
      <c r="A134" s="161" t="s">
        <v>154</v>
      </c>
      <c r="B134" s="161">
        <v>516</v>
      </c>
      <c r="C134" t="str">
        <f>_xlfn.XLOOKUP(B134,'Country Code M49'!$B$2:$B$250,'Country Code M49'!$C$2:$C$250,,0)</f>
        <v>NAM</v>
      </c>
      <c r="D134" s="161" t="s">
        <v>842</v>
      </c>
      <c r="E134" s="162">
        <v>15.640228594822497</v>
      </c>
      <c r="F134" s="162">
        <v>39014.55022978472</v>
      </c>
      <c r="G134" s="160" t="s">
        <v>872</v>
      </c>
      <c r="H134" s="188">
        <f>_xlfn.XLOOKUP(D134,'[1]World Population'!$B$2:$B$267,'[1]World Population'!$BN$2:$BN$267,0)</f>
        <v>2540916</v>
      </c>
      <c r="I134" s="188">
        <f>_xlfn.XLOOKUP(C134,'[4]Access to Electricity'!$B$6:$B$271,'[4]Access to Electricity'!$BM$6:$BM$271)</f>
        <v>56.258693695068402</v>
      </c>
      <c r="J134" s="194">
        <f>_xlfn.XLOOKUP(C134,'[2]GDP 2015 Constant'!$B$6:$B$271,'[2]GDP 2015 Constant'!$BM$6:$BM$271)</f>
        <v>10352990575</v>
      </c>
      <c r="K134" s="193">
        <f t="shared" si="4"/>
        <v>4074.5111507031324</v>
      </c>
      <c r="L134" s="194">
        <f>_xlfn.XLOOKUP(C134,'[5]Tourism Receipts'!$B$6:$B$271,'[5]Tourism Receipts'!$BK$6:$BK$271)</f>
        <v>488000000</v>
      </c>
      <c r="M134" s="195">
        <f t="shared" si="5"/>
        <v>4.7136138728688062E-2</v>
      </c>
      <c r="N134">
        <v>0</v>
      </c>
      <c r="O134" s="188">
        <v>0</v>
      </c>
      <c r="P134" s="188">
        <v>101.25</v>
      </c>
      <c r="Q134">
        <v>90.75</v>
      </c>
      <c r="R134">
        <v>63.674698795180703</v>
      </c>
      <c r="S134">
        <v>0</v>
      </c>
      <c r="T134">
        <v>541.70000000000005</v>
      </c>
    </row>
    <row r="135" spans="1:20" x14ac:dyDescent="0.2">
      <c r="A135" s="161" t="s">
        <v>875</v>
      </c>
      <c r="B135" s="161">
        <v>520</v>
      </c>
      <c r="C135" t="str">
        <f>_xlfn.XLOOKUP(B135,'Country Code M49'!$B$2:$B$250,'Country Code M49'!$C$2:$C$250,,0)</f>
        <v>NRU</v>
      </c>
      <c r="D135" s="161" t="s">
        <v>761</v>
      </c>
      <c r="E135" s="162">
        <v>12.811309449374059</v>
      </c>
      <c r="F135" s="162">
        <v>138.36214205323984</v>
      </c>
      <c r="G135" s="160" t="s">
        <v>877</v>
      </c>
      <c r="H135" s="188">
        <f>_xlfn.XLOOKUP(D135,'[1]World Population'!$B$2:$B$267,'[1]World Population'!$BN$2:$BN$267,0)</f>
        <v>10834</v>
      </c>
      <c r="I135" s="188">
        <f>_xlfn.XLOOKUP(C135,'[4]Access to Electricity'!$B$6:$B$271,'[4]Access to Electricity'!$BM$6:$BM$271)</f>
        <v>100</v>
      </c>
      <c r="J135" s="194">
        <f>_xlfn.XLOOKUP(C135,'[2]GDP 2015 Constant'!$B$6:$B$271,'[2]GDP 2015 Constant'!$BM$6:$BM$271)</f>
        <v>90650121.430000007</v>
      </c>
      <c r="K135" s="193">
        <f t="shared" si="4"/>
        <v>8367.1886127007583</v>
      </c>
      <c r="L135" s="194">
        <f>_xlfn.XLOOKUP(C135,'[5]Tourism Receipts'!$B$6:$B$271,'[5]Tourism Receipts'!$BK$6:$BK$271)</f>
        <v>1600000</v>
      </c>
      <c r="M135" s="195">
        <f t="shared" si="5"/>
        <v>1.765027972119728E-2</v>
      </c>
      <c r="N135">
        <v>21.583372760108801</v>
      </c>
      <c r="O135" s="188">
        <v>23141618</v>
      </c>
      <c r="P135" s="188">
        <v>114.67</v>
      </c>
      <c r="Q135">
        <v>40.6317459237858</v>
      </c>
      <c r="R135">
        <v>7.7799364744805901</v>
      </c>
      <c r="S135">
        <v>146.47300366141599</v>
      </c>
      <c r="T135">
        <v>203.25642134635501</v>
      </c>
    </row>
    <row r="136" spans="1:20" ht="25" x14ac:dyDescent="0.2">
      <c r="A136" s="161" t="s">
        <v>149</v>
      </c>
      <c r="B136" s="161">
        <v>524</v>
      </c>
      <c r="C136" t="str">
        <f>_xlfn.XLOOKUP(B136,'Country Code M49'!$B$2:$B$250,'Country Code M49'!$C$2:$C$250,,0)</f>
        <v>NPL</v>
      </c>
      <c r="D136" s="161" t="s">
        <v>801</v>
      </c>
      <c r="E136" s="162">
        <v>15.640228594822497</v>
      </c>
      <c r="F136" s="162">
        <v>447446.60780069837</v>
      </c>
      <c r="G136" s="160" t="s">
        <v>872</v>
      </c>
      <c r="H136" s="188">
        <f>_xlfn.XLOOKUP(D136,'[1]World Population'!$B$2:$B$267,'[1]World Population'!$BN$2:$BN$267,0)</f>
        <v>29136808</v>
      </c>
      <c r="I136" s="188">
        <f>_xlfn.XLOOKUP(C136,'[4]Access to Electricity'!$B$6:$B$271,'[4]Access to Electricity'!$BM$6:$BM$271)</f>
        <v>89.900001525878906</v>
      </c>
      <c r="J136" s="194">
        <f>_xlfn.XLOOKUP(C136,'[2]GDP 2015 Constant'!$B$6:$B$271,'[2]GDP 2015 Constant'!$BM$6:$BM$271)</f>
        <v>29880062111</v>
      </c>
      <c r="K136" s="193">
        <f t="shared" si="4"/>
        <v>1025.5091124257674</v>
      </c>
      <c r="L136" s="194">
        <f>_xlfn.XLOOKUP(C136,'[5]Tourism Receipts'!$B$6:$B$271,'[5]Tourism Receipts'!$BK$6:$BK$271)</f>
        <v>740000000</v>
      </c>
      <c r="M136" s="195">
        <f t="shared" si="5"/>
        <v>2.4765678105052449E-2</v>
      </c>
      <c r="N136">
        <v>1.63580569580164</v>
      </c>
      <c r="O136" s="188">
        <v>1354158</v>
      </c>
      <c r="P136" s="188">
        <v>102.13</v>
      </c>
      <c r="Q136">
        <v>74.139746533210499</v>
      </c>
      <c r="R136">
        <v>82.537712700862798</v>
      </c>
      <c r="S136">
        <v>6712.7747582450002</v>
      </c>
      <c r="T136">
        <v>518.01306801306805</v>
      </c>
    </row>
    <row r="137" spans="1:20" x14ac:dyDescent="0.2">
      <c r="A137" s="161" t="s">
        <v>147</v>
      </c>
      <c r="B137" s="161">
        <v>528</v>
      </c>
      <c r="C137" t="str">
        <f>_xlfn.XLOOKUP(B137,'Country Code M49'!$B$2:$B$250,'Country Code M49'!$C$2:$C$250,,0)</f>
        <v>NLD</v>
      </c>
      <c r="D137" s="161" t="s">
        <v>124</v>
      </c>
      <c r="E137" s="162">
        <v>11</v>
      </c>
      <c r="F137" s="162">
        <v>188068.1</v>
      </c>
      <c r="G137" s="160" t="s">
        <v>881</v>
      </c>
      <c r="H137" s="188">
        <f>_xlfn.XLOOKUP(D137,'[1]World Population'!$B$2:$B$267,'[1]World Population'!$BN$2:$BN$267,0)</f>
        <v>17441500</v>
      </c>
      <c r="I137" s="188">
        <f>_xlfn.XLOOKUP(C137,'[4]Access to Electricity'!$B$6:$B$271,'[4]Access to Electricity'!$BM$6:$BM$271)</f>
        <v>100</v>
      </c>
      <c r="J137" s="194">
        <f>_xlfn.XLOOKUP(C137,'[2]GDP 2015 Constant'!$B$6:$B$271,'[2]GDP 2015 Constant'!$BM$6:$BM$271)</f>
        <v>808332000000</v>
      </c>
      <c r="K137" s="193">
        <f t="shared" si="4"/>
        <v>46345.325803399937</v>
      </c>
      <c r="L137" s="194">
        <f>_xlfn.XLOOKUP(C137,'[5]Tourism Receipts'!$B$6:$B$271,'[5]Tourism Receipts'!$BK$6:$BK$271)</f>
        <v>23919099609</v>
      </c>
      <c r="M137" s="195">
        <f t="shared" si="5"/>
        <v>2.9590687500927835E-2</v>
      </c>
      <c r="N137">
        <v>1.79324055666004</v>
      </c>
      <c r="O137" s="188">
        <v>77460</v>
      </c>
      <c r="P137" s="188">
        <v>100.36</v>
      </c>
      <c r="Q137">
        <v>0</v>
      </c>
      <c r="R137">
        <v>0</v>
      </c>
      <c r="S137">
        <v>0</v>
      </c>
      <c r="T137">
        <v>14.8774617067834</v>
      </c>
    </row>
    <row r="138" spans="1:20" x14ac:dyDescent="0.2">
      <c r="A138" s="161" t="s">
        <v>874</v>
      </c>
      <c r="B138" s="161">
        <v>540</v>
      </c>
      <c r="C138" t="str">
        <f>_xlfn.XLOOKUP(B138,'Country Code M49'!$B$2:$B$250,'Country Code M49'!$C$2:$C$250,,0)</f>
        <v>NCL</v>
      </c>
      <c r="D138" s="161" t="s">
        <v>753</v>
      </c>
      <c r="E138" s="162">
        <v>12.811309449374059</v>
      </c>
      <c r="F138" s="162">
        <v>3623.038312282984</v>
      </c>
      <c r="G138" s="160" t="s">
        <v>877</v>
      </c>
      <c r="H138" s="188">
        <f>_xlfn.XLOOKUP(D138,'[1]World Population'!$B$2:$B$267,'[1]World Population'!$BN$2:$BN$267,0)</f>
        <v>271960</v>
      </c>
      <c r="I138" s="188">
        <f>_xlfn.XLOOKUP(C138,'[4]Access to Electricity'!$B$6:$B$271,'[4]Access to Electricity'!$BM$6:$BM$271)</f>
        <v>100</v>
      </c>
      <c r="J138" s="194" t="e">
        <f>_xlfn.XLOOKUP(C138,'[2]GDP 2015 Constant'!$B$6:$B$271,'[2]GDP 2015 Constant'!$BM$6:$BM$271)</f>
        <v>#REF!</v>
      </c>
      <c r="K138" s="193" t="e">
        <f t="shared" si="4"/>
        <v>#REF!</v>
      </c>
      <c r="L138" s="194">
        <f>_xlfn.XLOOKUP(C138,'[5]Tourism Receipts'!$B$6:$B$271,'[5]Tourism Receipts'!$BK$6:$BK$271)</f>
        <v>0</v>
      </c>
      <c r="M138" s="195" t="e">
        <f t="shared" si="5"/>
        <v>#REF!</v>
      </c>
      <c r="N138">
        <v>5.6533535823093102</v>
      </c>
      <c r="O138" s="188">
        <v>677048</v>
      </c>
      <c r="P138" s="188">
        <v>102.91</v>
      </c>
      <c r="Q138">
        <v>27.9162463641795</v>
      </c>
      <c r="R138">
        <v>27.318831856330998</v>
      </c>
      <c r="S138">
        <v>9012.73109708845</v>
      </c>
      <c r="T138">
        <v>19.331586343093701</v>
      </c>
    </row>
    <row r="139" spans="1:20" x14ac:dyDescent="0.2">
      <c r="A139" s="161" t="s">
        <v>146</v>
      </c>
      <c r="B139" s="161">
        <v>554</v>
      </c>
      <c r="C139" t="str">
        <f>_xlfn.XLOOKUP(B139,'Country Code M49'!$B$2:$B$250,'Country Code M49'!$C$2:$C$250,,0)</f>
        <v>NZL</v>
      </c>
      <c r="D139" s="161" t="s">
        <v>125</v>
      </c>
      <c r="E139" s="162">
        <v>3.12</v>
      </c>
      <c r="F139" s="162">
        <v>14923.272000000001</v>
      </c>
      <c r="G139" s="160" t="s">
        <v>880</v>
      </c>
      <c r="H139" s="188">
        <f>_xlfn.XLOOKUP(D139,'[1]World Population'!$B$2:$B$267,'[1]World Population'!$BN$2:$BN$267,0)</f>
        <v>5090200</v>
      </c>
      <c r="I139" s="188">
        <f>_xlfn.XLOOKUP(C139,'[4]Access to Electricity'!$B$6:$B$271,'[4]Access to Electricity'!$BM$6:$BM$271)</f>
        <v>100</v>
      </c>
      <c r="J139" s="194">
        <f>_xlfn.XLOOKUP(C139,'[2]GDP 2015 Constant'!$B$6:$B$271,'[2]GDP 2015 Constant'!$BM$6:$BM$271)</f>
        <v>199618000000</v>
      </c>
      <c r="K139" s="193">
        <f t="shared" si="4"/>
        <v>39216.140819614164</v>
      </c>
      <c r="L139" s="194">
        <f>_xlfn.XLOOKUP(C139,'[5]Tourism Receipts'!$B$6:$B$271,'[5]Tourism Receipts'!$BK$6:$BK$271)</f>
        <v>10961000000</v>
      </c>
      <c r="M139" s="195">
        <f t="shared" si="5"/>
        <v>5.4909877866725444E-2</v>
      </c>
      <c r="N139">
        <v>15.2482371495271</v>
      </c>
      <c r="O139" s="188">
        <v>2715272</v>
      </c>
      <c r="P139" s="188">
        <v>131.55000000000001</v>
      </c>
      <c r="Q139">
        <v>51.707349119682299</v>
      </c>
      <c r="R139">
        <v>45.092780342359703</v>
      </c>
      <c r="S139">
        <v>568.31371828895703</v>
      </c>
      <c r="T139">
        <v>55.048645504404199</v>
      </c>
    </row>
    <row r="140" spans="1:20" ht="25" x14ac:dyDescent="0.2">
      <c r="A140" s="161" t="s">
        <v>150</v>
      </c>
      <c r="B140" s="161">
        <v>558</v>
      </c>
      <c r="C140" t="str">
        <f>_xlfn.XLOOKUP(B140,'Country Code M49'!$B$2:$B$250,'Country Code M49'!$C$2:$C$250,,0)</f>
        <v>NIC</v>
      </c>
      <c r="D140" s="161" t="s">
        <v>735</v>
      </c>
      <c r="E140" s="162">
        <v>15.640228594822497</v>
      </c>
      <c r="F140" s="162">
        <v>102373.11626741065</v>
      </c>
      <c r="G140" s="160" t="s">
        <v>872</v>
      </c>
      <c r="H140" s="188">
        <f>_xlfn.XLOOKUP(D140,'[1]World Population'!$B$2:$B$267,'[1]World Population'!$BN$2:$BN$267,0)</f>
        <v>6624554</v>
      </c>
      <c r="I140" s="188">
        <f>_xlfn.XLOOKUP(C140,'[4]Access to Electricity'!$B$6:$B$271,'[4]Access to Electricity'!$BM$6:$BM$271)</f>
        <v>88.907379150390597</v>
      </c>
      <c r="J140" s="194">
        <f>_xlfn.XLOOKUP(C140,'[2]GDP 2015 Constant'!$B$6:$B$271,'[2]GDP 2015 Constant'!$BM$6:$BM$271)</f>
        <v>12745084493</v>
      </c>
      <c r="K140" s="193">
        <f t="shared" si="4"/>
        <v>1923.9158580336125</v>
      </c>
      <c r="L140" s="194">
        <f>_xlfn.XLOOKUP(C140,'[5]Tourism Receipts'!$B$6:$B$271,'[5]Tourism Receipts'!$BK$6:$BK$271)</f>
        <v>0</v>
      </c>
      <c r="M140" s="195">
        <f t="shared" si="5"/>
        <v>0</v>
      </c>
      <c r="N140">
        <v>36.9148824391823</v>
      </c>
      <c r="O140" s="188">
        <v>20182041</v>
      </c>
      <c r="P140" s="188">
        <v>129.1</v>
      </c>
      <c r="Q140">
        <v>26.298843362383799</v>
      </c>
      <c r="R140">
        <v>11.421733448618401</v>
      </c>
      <c r="S140">
        <v>51.194941918948601</v>
      </c>
      <c r="T140">
        <v>19.109999210547102</v>
      </c>
    </row>
    <row r="141" spans="1:20" ht="25" x14ac:dyDescent="0.2">
      <c r="A141" s="161" t="s">
        <v>154</v>
      </c>
      <c r="B141" s="161">
        <v>562</v>
      </c>
      <c r="C141" t="str">
        <f>_xlfn.XLOOKUP(B141,'Country Code M49'!$B$2:$B$250,'Country Code M49'!$C$2:$C$250,,0)</f>
        <v>NER</v>
      </c>
      <c r="D141" s="161" t="s">
        <v>843</v>
      </c>
      <c r="E141" s="162">
        <v>15.640228594822497</v>
      </c>
      <c r="F141" s="162">
        <v>364584.67670532881</v>
      </c>
      <c r="G141" s="160" t="s">
        <v>872</v>
      </c>
      <c r="H141" s="188">
        <f>_xlfn.XLOOKUP(D141,'[1]World Population'!$B$2:$B$267,'[1]World Population'!$BN$2:$BN$267,0)</f>
        <v>24206636</v>
      </c>
      <c r="I141" s="188">
        <f>_xlfn.XLOOKUP(C141,'[4]Access to Electricity'!$B$6:$B$271,'[4]Access to Electricity'!$BM$6:$BM$271)</f>
        <v>19.251909255981399</v>
      </c>
      <c r="J141" s="194">
        <f>_xlfn.XLOOKUP(C141,'[2]GDP 2015 Constant'!$B$6:$B$271,'[2]GDP 2015 Constant'!$BM$6:$BM$271)</f>
        <v>12649312791</v>
      </c>
      <c r="K141" s="193">
        <f t="shared" si="4"/>
        <v>522.55558314670407</v>
      </c>
      <c r="L141" s="194">
        <f>_xlfn.XLOOKUP(C141,'[5]Tourism Receipts'!$B$6:$B$271,'[5]Tourism Receipts'!$BK$6:$BK$271)</f>
        <v>114000000</v>
      </c>
      <c r="M141" s="195">
        <f t="shared" si="5"/>
        <v>9.0123473016740577E-3</v>
      </c>
      <c r="N141">
        <v>21.906295930281001</v>
      </c>
      <c r="O141" s="188">
        <v>99033580</v>
      </c>
      <c r="P141" s="188">
        <v>106.31</v>
      </c>
      <c r="Q141">
        <v>17.510944310365399</v>
      </c>
      <c r="R141">
        <v>14.220926791244301</v>
      </c>
      <c r="S141">
        <v>144.52543846407599</v>
      </c>
      <c r="T141">
        <v>226.335504024068</v>
      </c>
    </row>
    <row r="142" spans="1:20" ht="25" x14ac:dyDescent="0.2">
      <c r="A142" s="161" t="s">
        <v>154</v>
      </c>
      <c r="B142" s="161">
        <v>566</v>
      </c>
      <c r="C142" t="str">
        <f>_xlfn.XLOOKUP(B142,'Country Code M49'!$B$2:$B$250,'Country Code M49'!$C$2:$C$250,,0)</f>
        <v>NGA</v>
      </c>
      <c r="D142" s="161" t="s">
        <v>126</v>
      </c>
      <c r="E142" s="162">
        <v>15.640228594822497</v>
      </c>
      <c r="F142" s="162">
        <v>3143116.6432384704</v>
      </c>
      <c r="G142" s="160" t="s">
        <v>872</v>
      </c>
      <c r="H142" s="188">
        <f>_xlfn.XLOOKUP(D142,'[1]World Population'!$B$2:$B$267,'[1]World Population'!$BN$2:$BN$267,0)</f>
        <v>206139587</v>
      </c>
      <c r="I142" s="188">
        <f>_xlfn.XLOOKUP(C142,'[4]Access to Electricity'!$B$6:$B$271,'[4]Access to Electricity'!$BM$6:$BM$271)</f>
        <v>55.400001525878899</v>
      </c>
      <c r="J142" s="194">
        <f>_xlfn.XLOOKUP(C142,'[2]GDP 2015 Constant'!$B$6:$B$271,'[2]GDP 2015 Constant'!$BM$6:$BM$271)</f>
        <v>493918000000</v>
      </c>
      <c r="K142" s="193">
        <f t="shared" si="4"/>
        <v>2396.0366234749467</v>
      </c>
      <c r="L142" s="194">
        <f>_xlfn.XLOOKUP(C142,'[5]Tourism Receipts'!$B$6:$B$271,'[5]Tourism Receipts'!$BK$6:$BK$271)</f>
        <v>1977000000</v>
      </c>
      <c r="M142" s="195">
        <f t="shared" si="5"/>
        <v>4.0026887054126397E-3</v>
      </c>
      <c r="N142">
        <v>8.13229139447626</v>
      </c>
      <c r="O142" s="188">
        <v>860473</v>
      </c>
      <c r="P142" s="188">
        <v>102.17</v>
      </c>
      <c r="Q142">
        <v>72.8400703306813</v>
      </c>
      <c r="R142">
        <v>62.4080567878813</v>
      </c>
      <c r="S142">
        <v>3513.9549720407199</v>
      </c>
      <c r="T142">
        <v>82.178072957969903</v>
      </c>
    </row>
    <row r="143" spans="1:20" ht="25" x14ac:dyDescent="0.2">
      <c r="A143" s="161" t="s">
        <v>155</v>
      </c>
      <c r="B143" s="161">
        <v>807</v>
      </c>
      <c r="C143" t="str">
        <f>_xlfn.XLOOKUP(B143,'Country Code M49'!$B$2:$B$250,'Country Code M49'!$C$2:$C$250,,0)</f>
        <v>MKD</v>
      </c>
      <c r="D143" s="161" t="s">
        <v>809</v>
      </c>
      <c r="E143" s="162">
        <v>15.640228594822497</v>
      </c>
      <c r="F143" s="162">
        <v>32586.416277312674</v>
      </c>
      <c r="G143" s="160" t="s">
        <v>872</v>
      </c>
      <c r="H143" s="188">
        <f>_xlfn.XLOOKUP(D143,'[1]World Population'!$B$2:$B$267,'[1]World Population'!$BN$2:$BN$267,0)</f>
        <v>2072531</v>
      </c>
      <c r="I143" s="188">
        <f>_xlfn.XLOOKUP(C143,'[4]Access to Electricity'!$B$6:$B$271,'[4]Access to Electricity'!$BM$6:$BM$271)</f>
        <v>100</v>
      </c>
      <c r="J143" s="194">
        <f>_xlfn.XLOOKUP(C143,'[2]GDP 2015 Constant'!$B$6:$B$271,'[2]GDP 2015 Constant'!$BM$6:$BM$271)</f>
        <v>10501957283</v>
      </c>
      <c r="K143" s="193">
        <f t="shared" si="4"/>
        <v>5067.2136064551023</v>
      </c>
      <c r="L143" s="194">
        <f>_xlfn.XLOOKUP(C143,'[5]Tourism Receipts'!$B$6:$B$271,'[5]Tourism Receipts'!$BK$6:$BK$271)</f>
        <v>387000000</v>
      </c>
      <c r="M143" s="195">
        <f t="shared" si="5"/>
        <v>3.6850273674837231E-2</v>
      </c>
      <c r="N143">
        <v>0</v>
      </c>
      <c r="O143" s="188">
        <v>4721</v>
      </c>
      <c r="P143" s="188">
        <v>0</v>
      </c>
      <c r="Q143">
        <v>58.141321044546899</v>
      </c>
      <c r="R143">
        <v>42.047377326565098</v>
      </c>
      <c r="S143">
        <v>0</v>
      </c>
      <c r="T143">
        <v>125.123913043478</v>
      </c>
    </row>
    <row r="144" spans="1:20" x14ac:dyDescent="0.2">
      <c r="A144" s="161" t="s">
        <v>875</v>
      </c>
      <c r="B144" s="161">
        <v>580</v>
      </c>
      <c r="C144" t="str">
        <f>_xlfn.XLOOKUP(B144,'Country Code M49'!$B$2:$B$250,'Country Code M49'!$C$2:$C$250,,0)</f>
        <v>MNP</v>
      </c>
      <c r="D144" s="161" t="s">
        <v>762</v>
      </c>
      <c r="E144" s="162">
        <v>12.811309449374059</v>
      </c>
      <c r="F144" s="162">
        <v>732.80690050419616</v>
      </c>
      <c r="G144" s="160" t="s">
        <v>877</v>
      </c>
      <c r="H144" s="188">
        <f>_xlfn.XLOOKUP(D144,'[1]World Population'!$B$2:$B$267,'[1]World Population'!$BN$2:$BN$267,0)</f>
        <v>57557</v>
      </c>
      <c r="I144" s="188">
        <f>_xlfn.XLOOKUP(C144,'[4]Access to Electricity'!$B$6:$B$271,'[4]Access to Electricity'!$BM$6:$BM$271)</f>
        <v>100</v>
      </c>
      <c r="J144" s="194" t="e">
        <f>_xlfn.XLOOKUP(C144,'[2]GDP 2015 Constant'!$B$6:$B$271,'[2]GDP 2015 Constant'!$BM$6:$BM$271)</f>
        <v>#REF!</v>
      </c>
      <c r="K144" s="193" t="e">
        <f t="shared" si="4"/>
        <v>#REF!</v>
      </c>
      <c r="L144" s="194">
        <f>_xlfn.XLOOKUP(C144,'[5]Tourism Receipts'!$B$6:$B$271,'[5]Tourism Receipts'!$BK$6:$BK$271)</f>
        <v>0</v>
      </c>
      <c r="M144" s="195" t="e">
        <f t="shared" si="5"/>
        <v>#REF!</v>
      </c>
      <c r="N144">
        <v>1.8441222129803301</v>
      </c>
      <c r="O144" s="188">
        <v>915909</v>
      </c>
      <c r="P144" s="188">
        <v>100.31</v>
      </c>
      <c r="Q144">
        <v>32.237935788851701</v>
      </c>
      <c r="R144">
        <v>36.263106555270099</v>
      </c>
      <c r="S144">
        <v>22999.934595128299</v>
      </c>
      <c r="T144">
        <v>14.7672152298338</v>
      </c>
    </row>
    <row r="145" spans="1:20" x14ac:dyDescent="0.2">
      <c r="A145" s="161" t="s">
        <v>153</v>
      </c>
      <c r="B145" s="161">
        <v>578</v>
      </c>
      <c r="C145" t="str">
        <f>_xlfn.XLOOKUP(B145,'Country Code M49'!$B$2:$B$250,'Country Code M49'!$C$2:$C$250,,0)</f>
        <v>NOR</v>
      </c>
      <c r="D145" s="161" t="s">
        <v>127</v>
      </c>
      <c r="E145" s="162">
        <v>13.773764857815706</v>
      </c>
      <c r="F145" s="162">
        <v>74087.703793704903</v>
      </c>
      <c r="G145" s="160" t="s">
        <v>881</v>
      </c>
      <c r="H145" s="188">
        <f>_xlfn.XLOOKUP(D145,'[1]World Population'!$B$2:$B$267,'[1]World Population'!$BN$2:$BN$267,0)</f>
        <v>5379475</v>
      </c>
      <c r="I145" s="188">
        <f>_xlfn.XLOOKUP(C145,'[4]Access to Electricity'!$B$6:$B$271,'[4]Access to Electricity'!$BM$6:$BM$271)</f>
        <v>100</v>
      </c>
      <c r="J145" s="194">
        <f>_xlfn.XLOOKUP(C145,'[2]GDP 2015 Constant'!$B$6:$B$271,'[2]GDP 2015 Constant'!$BM$6:$BM$271)</f>
        <v>403553000000</v>
      </c>
      <c r="K145" s="193">
        <f t="shared" si="4"/>
        <v>75017.171750031368</v>
      </c>
      <c r="L145" s="194">
        <f>_xlfn.XLOOKUP(C145,'[5]Tourism Receipts'!$B$6:$B$271,'[5]Tourism Receipts'!$BK$6:$BK$271)</f>
        <v>7280000000</v>
      </c>
      <c r="M145" s="195">
        <f t="shared" si="5"/>
        <v>1.8039761815672292E-2</v>
      </c>
      <c r="N145">
        <v>1.99471933938581</v>
      </c>
      <c r="O145" s="188">
        <v>700833</v>
      </c>
      <c r="P145" s="188">
        <v>152.75</v>
      </c>
      <c r="Q145">
        <v>38.657912687585302</v>
      </c>
      <c r="R145">
        <v>49.492016987897003</v>
      </c>
      <c r="S145">
        <v>6445.5814196021902</v>
      </c>
      <c r="T145">
        <v>16.499586429725401</v>
      </c>
    </row>
    <row r="146" spans="1:20" x14ac:dyDescent="0.2">
      <c r="A146" s="161" t="s">
        <v>148</v>
      </c>
      <c r="B146" s="161">
        <v>512</v>
      </c>
      <c r="C146" t="str">
        <f>_xlfn.XLOOKUP(B146,'Country Code M49'!$B$2:$B$250,'Country Code M49'!$C$2:$C$250,,0)</f>
        <v>OMN</v>
      </c>
      <c r="D146" s="161" t="s">
        <v>861</v>
      </c>
      <c r="E146" s="162">
        <v>12.811309449374059</v>
      </c>
      <c r="F146" s="162">
        <v>63736.264510635941</v>
      </c>
      <c r="G146" s="160" t="s">
        <v>877</v>
      </c>
      <c r="H146" s="188">
        <f>_xlfn.XLOOKUP(D146,'[1]World Population'!$B$2:$B$267,'[1]World Population'!$BN$2:$BN$267,0)</f>
        <v>5106622</v>
      </c>
      <c r="I146" s="188">
        <f>_xlfn.XLOOKUP(C146,'[4]Access to Electricity'!$B$6:$B$271,'[4]Access to Electricity'!$BM$6:$BM$271)</f>
        <v>100</v>
      </c>
      <c r="J146" s="194">
        <f>_xlfn.XLOOKUP(C146,'[2]GDP 2015 Constant'!$B$6:$B$271,'[2]GDP 2015 Constant'!$BM$6:$BM$271)</f>
        <v>80394695533</v>
      </c>
      <c r="K146" s="193">
        <f t="shared" si="4"/>
        <v>15743.224294455316</v>
      </c>
      <c r="L146" s="194">
        <f>_xlfn.XLOOKUP(C146,'[5]Tourism Receipts'!$B$6:$B$271,'[5]Tourism Receipts'!$BK$6:$BK$271)</f>
        <v>2874000000</v>
      </c>
      <c r="M146" s="195">
        <f t="shared" si="5"/>
        <v>3.5748627206633243E-2</v>
      </c>
      <c r="N146">
        <v>20.677871322288699</v>
      </c>
      <c r="O146" s="188">
        <v>138797696</v>
      </c>
      <c r="P146" s="188">
        <v>118.48</v>
      </c>
      <c r="Q146">
        <v>19.044256657534198</v>
      </c>
      <c r="R146">
        <v>9.3908633787795104</v>
      </c>
      <c r="S146">
        <v>447.505156703301</v>
      </c>
      <c r="T146">
        <v>286.54567636986297</v>
      </c>
    </row>
    <row r="147" spans="1:20" ht="25" x14ac:dyDescent="0.2">
      <c r="A147" s="161" t="s">
        <v>149</v>
      </c>
      <c r="B147" s="161">
        <v>586</v>
      </c>
      <c r="C147" t="str">
        <f>_xlfn.XLOOKUP(B147,'Country Code M49'!$B$2:$B$250,'Country Code M49'!$C$2:$C$250,,0)</f>
        <v>PAK</v>
      </c>
      <c r="D147" s="161" t="s">
        <v>128</v>
      </c>
      <c r="E147" s="162">
        <v>15.640228594822497</v>
      </c>
      <c r="F147" s="162">
        <v>3387130.7977063125</v>
      </c>
      <c r="G147" s="160" t="s">
        <v>872</v>
      </c>
      <c r="H147" s="188">
        <f>_xlfn.XLOOKUP(D147,'[1]World Population'!$B$2:$B$267,'[1]World Population'!$BN$2:$BN$267,0)</f>
        <v>220892331</v>
      </c>
      <c r="I147" s="188">
        <f>_xlfn.XLOOKUP(C147,'[4]Access to Electricity'!$B$6:$B$271,'[4]Access to Electricity'!$BM$6:$BM$271)</f>
        <v>75.379692077636705</v>
      </c>
      <c r="J147" s="194">
        <f>_xlfn.XLOOKUP(C147,'[2]GDP 2015 Constant'!$B$6:$B$271,'[2]GDP 2015 Constant'!$BM$6:$BM$271)</f>
        <v>320099000000</v>
      </c>
      <c r="K147" s="193">
        <f t="shared" si="4"/>
        <v>1449.1177604531686</v>
      </c>
      <c r="L147" s="194">
        <f>_xlfn.XLOOKUP(C147,'[5]Tourism Receipts'!$B$6:$B$271,'[5]Tourism Receipts'!$BK$6:$BK$271)</f>
        <v>845000000</v>
      </c>
      <c r="M147" s="195">
        <f t="shared" si="5"/>
        <v>2.6398083093043092E-3</v>
      </c>
      <c r="N147">
        <v>3.4646243617797201</v>
      </c>
      <c r="O147" s="188">
        <v>3440</v>
      </c>
      <c r="P147" s="188">
        <v>0</v>
      </c>
      <c r="Q147">
        <v>0</v>
      </c>
      <c r="R147">
        <v>0</v>
      </c>
      <c r="S147">
        <v>0</v>
      </c>
      <c r="T147">
        <v>39.330434782608698</v>
      </c>
    </row>
    <row r="148" spans="1:20" x14ac:dyDescent="0.2">
      <c r="A148" s="161" t="s">
        <v>875</v>
      </c>
      <c r="B148" s="161">
        <v>585</v>
      </c>
      <c r="C148" t="str">
        <f>_xlfn.XLOOKUP(B148,'Country Code M49'!$B$2:$B$250,'Country Code M49'!$C$2:$C$250,,0)</f>
        <v>PLW</v>
      </c>
      <c r="D148" s="161" t="s">
        <v>763</v>
      </c>
      <c r="E148" s="162">
        <v>12.811309449374059</v>
      </c>
      <c r="F148" s="162">
        <v>230.60357008873308</v>
      </c>
      <c r="G148" s="160" t="s">
        <v>877</v>
      </c>
      <c r="H148" s="188">
        <f>_xlfn.XLOOKUP(D148,'[1]World Population'!$B$2:$B$267,'[1]World Population'!$BN$2:$BN$267,0)</f>
        <v>18092</v>
      </c>
      <c r="I148" s="188">
        <f>_xlfn.XLOOKUP(C148,'[4]Access to Electricity'!$B$6:$B$271,'[4]Access to Electricity'!$BM$6:$BM$271)</f>
        <v>100</v>
      </c>
      <c r="J148" s="194">
        <f>_xlfn.XLOOKUP(C148,'[2]GDP 2015 Constant'!$B$6:$B$271,'[2]GDP 2015 Constant'!$BM$6:$BM$271)</f>
        <v>239735252.90000001</v>
      </c>
      <c r="K148" s="193">
        <f t="shared" si="4"/>
        <v>13250.898347335838</v>
      </c>
      <c r="L148" s="194">
        <f>_xlfn.XLOOKUP(C148,'[5]Tourism Receipts'!$B$6:$B$271,'[5]Tourism Receipts'!$BK$6:$BK$271)</f>
        <v>0</v>
      </c>
      <c r="M148" s="195">
        <f t="shared" si="5"/>
        <v>0</v>
      </c>
      <c r="N148">
        <v>2.1869214401522901</v>
      </c>
      <c r="O148" s="188">
        <v>1362863</v>
      </c>
      <c r="P148" s="188">
        <v>106.5</v>
      </c>
      <c r="Q148">
        <v>47.199542052817598</v>
      </c>
      <c r="R148">
        <v>41.207993340876101</v>
      </c>
      <c r="S148">
        <v>2064.1779135270199</v>
      </c>
      <c r="T148">
        <v>58.166190347802598</v>
      </c>
    </row>
    <row r="149" spans="1:20" x14ac:dyDescent="0.2">
      <c r="A149" s="161" t="s">
        <v>150</v>
      </c>
      <c r="B149" s="161">
        <v>591</v>
      </c>
      <c r="C149" t="str">
        <f>_xlfn.XLOOKUP(B149,'Country Code M49'!$B$2:$B$250,'Country Code M49'!$C$2:$C$250,,0)</f>
        <v>PAN</v>
      </c>
      <c r="D149" s="161" t="s">
        <v>736</v>
      </c>
      <c r="E149" s="162">
        <v>12.811309449374059</v>
      </c>
      <c r="F149" s="162">
        <v>54401.94444582201</v>
      </c>
      <c r="G149" s="160" t="s">
        <v>877</v>
      </c>
      <c r="H149" s="188">
        <f>_xlfn.XLOOKUP(D149,'[1]World Population'!$B$2:$B$267,'[1]World Population'!$BN$2:$BN$267,0)</f>
        <v>4314768</v>
      </c>
      <c r="I149" s="188">
        <f>_xlfn.XLOOKUP(C149,'[4]Access to Electricity'!$B$6:$B$271,'[4]Access to Electricity'!$BM$6:$BM$271)</f>
        <v>96.704635620117202</v>
      </c>
      <c r="J149" s="194">
        <f>_xlfn.XLOOKUP(C149,'[2]GDP 2015 Constant'!$B$6:$B$271,'[2]GDP 2015 Constant'!$BM$6:$BM$271)</f>
        <v>52520697170</v>
      </c>
      <c r="K149" s="193">
        <f t="shared" si="4"/>
        <v>12172.31081022201</v>
      </c>
      <c r="L149" s="194">
        <f>_xlfn.XLOOKUP(C149,'[5]Tourism Receipts'!$B$6:$B$271,'[5]Tourism Receipts'!$BK$6:$BK$271)</f>
        <v>7139000000</v>
      </c>
      <c r="M149" s="195">
        <f t="shared" si="5"/>
        <v>0.13592736548969159</v>
      </c>
      <c r="N149">
        <v>16.976143352460401</v>
      </c>
      <c r="O149" s="188">
        <v>7753046</v>
      </c>
      <c r="P149" s="188">
        <v>101.7</v>
      </c>
      <c r="Q149">
        <v>0</v>
      </c>
      <c r="R149">
        <v>0</v>
      </c>
      <c r="S149">
        <v>0</v>
      </c>
      <c r="T149">
        <v>19.756717307777201</v>
      </c>
    </row>
    <row r="150" spans="1:20" ht="25" x14ac:dyDescent="0.2">
      <c r="A150" s="161" t="s">
        <v>874</v>
      </c>
      <c r="B150" s="161">
        <v>598</v>
      </c>
      <c r="C150" t="str">
        <f>_xlfn.XLOOKUP(B150,'Country Code M49'!$B$2:$B$250,'Country Code M49'!$C$2:$C$250,,0)</f>
        <v>PNG</v>
      </c>
      <c r="D150" s="161" t="s">
        <v>754</v>
      </c>
      <c r="E150" s="162">
        <v>15.640228594822497</v>
      </c>
      <c r="F150" s="162">
        <v>137260.21017102172</v>
      </c>
      <c r="G150" s="160" t="s">
        <v>872</v>
      </c>
      <c r="H150" s="188">
        <f>_xlfn.XLOOKUP(D150,'[1]World Population'!$B$2:$B$267,'[1]World Population'!$BN$2:$BN$267,0)</f>
        <v>8947027</v>
      </c>
      <c r="I150" s="188">
        <f>_xlfn.XLOOKUP(C150,'[4]Access to Electricity'!$B$6:$B$271,'[4]Access to Electricity'!$BM$6:$BM$271)</f>
        <v>60.400001525878899</v>
      </c>
      <c r="J150" s="194">
        <f>_xlfn.XLOOKUP(C150,'[2]GDP 2015 Constant'!$B$6:$B$271,'[2]GDP 2015 Constant'!$BM$6:$BM$271)</f>
        <v>23854664089</v>
      </c>
      <c r="K150" s="193">
        <f t="shared" si="4"/>
        <v>2666.2112553141956</v>
      </c>
      <c r="L150" s="194">
        <f>_xlfn.XLOOKUP(C150,'[5]Tourism Receipts'!$B$6:$B$271,'[5]Tourism Receipts'!$BK$6:$BK$271)</f>
        <v>4230000.0190000003</v>
      </c>
      <c r="M150" s="195">
        <f t="shared" si="5"/>
        <v>1.7732381404400333E-4</v>
      </c>
      <c r="N150">
        <v>9.9950112421457806</v>
      </c>
      <c r="O150" s="188">
        <v>2697309</v>
      </c>
      <c r="P150" s="188">
        <v>116.8</v>
      </c>
      <c r="Q150">
        <v>35.583355709444703</v>
      </c>
      <c r="R150">
        <v>36.182440719826303</v>
      </c>
      <c r="S150">
        <v>1552.3846871380399</v>
      </c>
      <c r="T150">
        <v>17.952504404731901</v>
      </c>
    </row>
    <row r="151" spans="1:20" ht="25" x14ac:dyDescent="0.2">
      <c r="A151" s="161" t="s">
        <v>150</v>
      </c>
      <c r="B151" s="161">
        <v>600</v>
      </c>
      <c r="C151" t="str">
        <f>_xlfn.XLOOKUP(B151,'Country Code M49'!$B$2:$B$250,'Country Code M49'!$C$2:$C$250,,0)</f>
        <v>PRY</v>
      </c>
      <c r="D151" s="161" t="s">
        <v>737</v>
      </c>
      <c r="E151" s="162">
        <v>15.640228594822497</v>
      </c>
      <c r="F151" s="162">
        <v>110179.15435908658</v>
      </c>
      <c r="G151" s="160" t="s">
        <v>872</v>
      </c>
      <c r="H151" s="188">
        <f>_xlfn.XLOOKUP(D151,'[1]World Population'!$B$2:$B$267,'[1]World Population'!$BN$2:$BN$267,0)</f>
        <v>7132530</v>
      </c>
      <c r="I151" s="188">
        <f>_xlfn.XLOOKUP(C151,'[4]Access to Electricity'!$B$6:$B$271,'[4]Access to Electricity'!$BM$6:$BM$271)</f>
        <v>100</v>
      </c>
      <c r="J151" s="194">
        <f>_xlfn.XLOOKUP(C151,'[2]GDP 2015 Constant'!$B$6:$B$271,'[2]GDP 2015 Constant'!$BM$6:$BM$271)</f>
        <v>40343452708</v>
      </c>
      <c r="K151" s="193">
        <f t="shared" si="4"/>
        <v>5656.261201565223</v>
      </c>
      <c r="L151" s="194">
        <f>_xlfn.XLOOKUP(C151,'[5]Tourism Receipts'!$B$6:$B$271,'[5]Tourism Receipts'!$BK$6:$BK$271)</f>
        <v>393000000</v>
      </c>
      <c r="M151" s="195">
        <f t="shared" si="5"/>
        <v>9.7413576087420281E-3</v>
      </c>
      <c r="N151">
        <v>6.8530310347723802</v>
      </c>
      <c r="O151" s="188">
        <v>7155880</v>
      </c>
      <c r="P151" s="188">
        <v>118.54</v>
      </c>
      <c r="Q151">
        <v>23.4392854994888</v>
      </c>
      <c r="R151">
        <v>24.039087434906801</v>
      </c>
      <c r="S151">
        <v>1345.8790074114099</v>
      </c>
      <c r="T151">
        <v>25.7592546875</v>
      </c>
    </row>
    <row r="152" spans="1:20" ht="25" x14ac:dyDescent="0.2">
      <c r="A152" s="161" t="s">
        <v>150</v>
      </c>
      <c r="B152" s="161">
        <v>604</v>
      </c>
      <c r="C152" t="str">
        <f>_xlfn.XLOOKUP(B152,'Country Code M49'!$B$2:$B$250,'Country Code M49'!$C$2:$C$250,,0)</f>
        <v>PER</v>
      </c>
      <c r="D152" s="161" t="s">
        <v>738</v>
      </c>
      <c r="E152" s="162">
        <v>15.640228594822497</v>
      </c>
      <c r="F152" s="162">
        <v>508471.65173197683</v>
      </c>
      <c r="G152" s="160" t="s">
        <v>872</v>
      </c>
      <c r="H152" s="188">
        <f>_xlfn.XLOOKUP(D152,'[1]World Population'!$B$2:$B$267,'[1]World Population'!$BN$2:$BN$267,0)</f>
        <v>32971846</v>
      </c>
      <c r="I152" s="188">
        <f>_xlfn.XLOOKUP(C152,'[4]Access to Electricity'!$B$6:$B$271,'[4]Access to Electricity'!$BM$6:$BM$271)</f>
        <v>99.311813354492202</v>
      </c>
      <c r="J152" s="194">
        <f>_xlfn.XLOOKUP(C152,'[2]GDP 2015 Constant'!$B$6:$B$271,'[2]GDP 2015 Constant'!$BM$6:$BM$271)</f>
        <v>191470000000</v>
      </c>
      <c r="K152" s="193">
        <f t="shared" si="4"/>
        <v>5807.0755274060175</v>
      </c>
      <c r="L152" s="194">
        <f>_xlfn.XLOOKUP(C152,'[5]Tourism Receipts'!$B$6:$B$271,'[5]Tourism Receipts'!$BK$6:$BK$271)</f>
        <v>4505000000</v>
      </c>
      <c r="M152" s="195">
        <f t="shared" si="5"/>
        <v>2.352849010288818E-2</v>
      </c>
      <c r="N152">
        <v>8.8203237473052507</v>
      </c>
      <c r="O152" s="188">
        <v>57630884</v>
      </c>
      <c r="P152" s="188">
        <v>100.66</v>
      </c>
      <c r="Q152">
        <v>41.949792925699803</v>
      </c>
      <c r="R152">
        <v>28.3829200126393</v>
      </c>
      <c r="S152">
        <v>696.34678698765504</v>
      </c>
      <c r="T152">
        <v>367.51210718717499</v>
      </c>
    </row>
    <row r="153" spans="1:20" ht="25" x14ac:dyDescent="0.2">
      <c r="A153" s="161" t="s">
        <v>157</v>
      </c>
      <c r="B153" s="161">
        <v>608</v>
      </c>
      <c r="C153" t="str">
        <f>_xlfn.XLOOKUP(B153,'Country Code M49'!$B$2:$B$250,'Country Code M49'!$C$2:$C$250,,0)</f>
        <v>PHL</v>
      </c>
      <c r="D153" s="161" t="s">
        <v>793</v>
      </c>
      <c r="E153" s="162">
        <v>15.640228594822497</v>
      </c>
      <c r="F153" s="162">
        <v>1690968.3388949858</v>
      </c>
      <c r="G153" s="160" t="s">
        <v>872</v>
      </c>
      <c r="H153" s="188">
        <f>_xlfn.XLOOKUP(D153,'[1]World Population'!$B$2:$B$267,'[1]World Population'!$BN$2:$BN$267,0)</f>
        <v>109581085</v>
      </c>
      <c r="I153" s="188">
        <f>_xlfn.XLOOKUP(C153,'[4]Access to Electricity'!$B$6:$B$271,'[4]Access to Electricity'!$BM$6:$BM$271)</f>
        <v>96.842384338378906</v>
      </c>
      <c r="J153" s="194">
        <f>_xlfn.XLOOKUP(C153,'[2]GDP 2015 Constant'!$B$6:$B$271,'[2]GDP 2015 Constant'!$BM$6:$BM$271)</f>
        <v>358511000000</v>
      </c>
      <c r="K153" s="193">
        <f t="shared" si="4"/>
        <v>3271.6503947738793</v>
      </c>
      <c r="L153" s="194">
        <f>_xlfn.XLOOKUP(C153,'[5]Tourism Receipts'!$B$6:$B$271,'[5]Tourism Receipts'!$BK$6:$BK$271)</f>
        <v>9715000000</v>
      </c>
      <c r="M153" s="195">
        <f t="shared" si="5"/>
        <v>2.7098192245147291E-2</v>
      </c>
      <c r="N153">
        <v>2.31672000554684</v>
      </c>
      <c r="O153" s="188">
        <v>15143331</v>
      </c>
      <c r="P153" s="188">
        <v>110.87</v>
      </c>
      <c r="Q153">
        <v>52.1788028120883</v>
      </c>
      <c r="R153">
        <v>55.395846588106799</v>
      </c>
      <c r="S153">
        <v>3971.7997613105499</v>
      </c>
      <c r="T153">
        <v>123.800574919152</v>
      </c>
    </row>
    <row r="154" spans="1:20" x14ac:dyDescent="0.2">
      <c r="A154" s="161" t="s">
        <v>156</v>
      </c>
      <c r="B154" s="161">
        <v>616</v>
      </c>
      <c r="C154" t="str">
        <f>_xlfn.XLOOKUP(B154,'Country Code M49'!$B$2:$B$250,'Country Code M49'!$C$2:$C$250,,0)</f>
        <v>POL</v>
      </c>
      <c r="D154" s="161" t="s">
        <v>129</v>
      </c>
      <c r="E154" s="162">
        <v>12.811309449374059</v>
      </c>
      <c r="F154" s="162">
        <v>485392.33015599445</v>
      </c>
      <c r="G154" s="160" t="s">
        <v>877</v>
      </c>
      <c r="H154" s="188">
        <f>_xlfn.XLOOKUP(D154,'[1]World Population'!$B$2:$B$267,'[1]World Population'!$BN$2:$BN$267,0)</f>
        <v>37899070</v>
      </c>
      <c r="I154" s="188">
        <f>_xlfn.XLOOKUP(C154,'[4]Access to Electricity'!$B$6:$B$271,'[4]Access to Electricity'!$BM$6:$BM$271)</f>
        <v>100</v>
      </c>
      <c r="J154" s="194">
        <f>_xlfn.XLOOKUP(C154,'[2]GDP 2015 Constant'!$B$6:$B$271,'[2]GDP 2015 Constant'!$BM$6:$BM$271)</f>
        <v>555630000000</v>
      </c>
      <c r="K154" s="193">
        <f t="shared" si="4"/>
        <v>14660.781913645902</v>
      </c>
      <c r="L154" s="194">
        <f>_xlfn.XLOOKUP(C154,'[5]Tourism Receipts'!$B$6:$B$271,'[5]Tourism Receipts'!$BK$6:$BK$271)</f>
        <v>15569000000</v>
      </c>
      <c r="M154" s="195">
        <f t="shared" si="5"/>
        <v>2.8020445260335116E-2</v>
      </c>
      <c r="N154">
        <v>2.0885485418003298</v>
      </c>
      <c r="O154" s="188">
        <v>3469087</v>
      </c>
      <c r="P154" s="188">
        <v>107.09</v>
      </c>
      <c r="Q154">
        <v>42.9830419043532</v>
      </c>
      <c r="R154">
        <v>43.508421845832302</v>
      </c>
      <c r="S154">
        <v>4662.6007998029399</v>
      </c>
      <c r="T154">
        <v>112.406676011074</v>
      </c>
    </row>
    <row r="155" spans="1:20" x14ac:dyDescent="0.2">
      <c r="A155" s="161" t="s">
        <v>155</v>
      </c>
      <c r="B155" s="161">
        <v>620</v>
      </c>
      <c r="C155" t="str">
        <f>_xlfn.XLOOKUP(B155,'Country Code M49'!$B$2:$B$250,'Country Code M49'!$C$2:$C$250,,0)</f>
        <v>PRT</v>
      </c>
      <c r="D155" s="161" t="s">
        <v>810</v>
      </c>
      <c r="E155" s="162">
        <v>12.811309449374059</v>
      </c>
      <c r="F155" s="162">
        <v>131011.01269118901</v>
      </c>
      <c r="G155" s="160" t="s">
        <v>877</v>
      </c>
      <c r="H155" s="188">
        <f>_xlfn.XLOOKUP(D155,'[1]World Population'!$B$2:$B$267,'[1]World Population'!$BN$2:$BN$267,0)</f>
        <v>10297081</v>
      </c>
      <c r="I155" s="188">
        <f>_xlfn.XLOOKUP(C155,'[4]Access to Electricity'!$B$6:$B$271,'[4]Access to Electricity'!$BM$6:$BM$271)</f>
        <v>100</v>
      </c>
      <c r="J155" s="194">
        <f>_xlfn.XLOOKUP(C155,'[2]GDP 2015 Constant'!$B$6:$B$271,'[2]GDP 2015 Constant'!$BM$6:$BM$271)</f>
        <v>203590000000</v>
      </c>
      <c r="K155" s="193">
        <f t="shared" si="4"/>
        <v>19771.622656945205</v>
      </c>
      <c r="L155" s="194">
        <f>_xlfn.XLOOKUP(C155,'[5]Tourism Receipts'!$B$6:$B$271,'[5]Tourism Receipts'!$BK$6:$BK$271)</f>
        <v>24366000000</v>
      </c>
      <c r="M155" s="195">
        <f t="shared" si="5"/>
        <v>0.11968171324721254</v>
      </c>
      <c r="N155">
        <v>0.68589119150242195</v>
      </c>
      <c r="O155" s="188">
        <v>210642</v>
      </c>
      <c r="P155" s="188">
        <v>93.22</v>
      </c>
      <c r="Q155">
        <v>46.036660886797101</v>
      </c>
      <c r="R155">
        <v>0</v>
      </c>
      <c r="S155">
        <v>0</v>
      </c>
      <c r="T155">
        <v>369.95918827508501</v>
      </c>
    </row>
    <row r="156" spans="1:20" x14ac:dyDescent="0.2">
      <c r="A156" s="161" t="s">
        <v>150</v>
      </c>
      <c r="B156" s="161">
        <v>630</v>
      </c>
      <c r="C156" t="str">
        <f>_xlfn.XLOOKUP(B156,'Country Code M49'!$B$2:$B$250,'Country Code M49'!$C$2:$C$250,,0)</f>
        <v>PRI</v>
      </c>
      <c r="D156" s="161" t="s">
        <v>739</v>
      </c>
      <c r="E156" s="162">
        <v>12.811309449374059</v>
      </c>
      <c r="F156" s="162">
        <v>37580.695138793861</v>
      </c>
      <c r="G156" s="160" t="s">
        <v>877</v>
      </c>
      <c r="H156" s="188">
        <f>_xlfn.XLOOKUP(D156,'[1]World Population'!$B$2:$B$267,'[1]World Population'!$BN$2:$BN$267,0)</f>
        <v>3281538</v>
      </c>
      <c r="I156" s="188">
        <f>_xlfn.XLOOKUP(C156,'[4]Access to Electricity'!$B$6:$B$271,'[4]Access to Electricity'!$BM$6:$BM$271)</f>
        <v>100</v>
      </c>
      <c r="J156" s="194">
        <f>_xlfn.XLOOKUP(C156,'[2]GDP 2015 Constant'!$B$6:$B$271,'[2]GDP 2015 Constant'!$BM$6:$BM$271)</f>
        <v>92660076633</v>
      </c>
      <c r="K156" s="193">
        <f t="shared" si="4"/>
        <v>28236.783067269069</v>
      </c>
      <c r="L156" s="194">
        <f>_xlfn.XLOOKUP(C156,'[5]Tourism Receipts'!$B$6:$B$271,'[5]Tourism Receipts'!$BK$6:$BK$271)</f>
        <v>3303000000</v>
      </c>
      <c r="M156" s="195">
        <f t="shared" si="5"/>
        <v>3.564641990403522E-2</v>
      </c>
      <c r="N156">
        <v>0.230041116366306</v>
      </c>
      <c r="O156" s="188">
        <v>22040</v>
      </c>
      <c r="P156" s="188">
        <v>146.28</v>
      </c>
      <c r="Q156">
        <v>35.896585807658198</v>
      </c>
      <c r="R156">
        <v>52.347267875762697</v>
      </c>
      <c r="S156">
        <v>14781.624282999101</v>
      </c>
      <c r="T156">
        <v>250.74499564838999</v>
      </c>
    </row>
    <row r="157" spans="1:20" x14ac:dyDescent="0.2">
      <c r="A157" s="161" t="s">
        <v>148</v>
      </c>
      <c r="B157" s="161">
        <v>634</v>
      </c>
      <c r="C157" t="str">
        <f>_xlfn.XLOOKUP(B157,'Country Code M49'!$B$2:$B$250,'Country Code M49'!$C$2:$C$250,,0)</f>
        <v>QAT</v>
      </c>
      <c r="D157" s="161" t="s">
        <v>862</v>
      </c>
      <c r="E157" s="162">
        <v>12.811309449374059</v>
      </c>
      <c r="F157" s="162">
        <v>36282.909491572274</v>
      </c>
      <c r="G157" s="160" t="s">
        <v>877</v>
      </c>
      <c r="H157" s="188">
        <f>_xlfn.XLOOKUP(D157,'[1]World Population'!$B$2:$B$267,'[1]World Population'!$BN$2:$BN$267,0)</f>
        <v>2881060</v>
      </c>
      <c r="I157" s="188">
        <f>_xlfn.XLOOKUP(C157,'[4]Access to Electricity'!$B$6:$B$271,'[4]Access to Electricity'!$BM$6:$BM$271)</f>
        <v>100</v>
      </c>
      <c r="J157" s="194">
        <f>_xlfn.XLOOKUP(C157,'[2]GDP 2015 Constant'!$B$6:$B$271,'[2]GDP 2015 Constant'!$BM$6:$BM$271)</f>
        <v>161417000000</v>
      </c>
      <c r="K157" s="193">
        <f t="shared" si="4"/>
        <v>56026.948414819548</v>
      </c>
      <c r="L157" s="194">
        <f>_xlfn.XLOOKUP(C157,'[5]Tourism Receipts'!$B$6:$B$271,'[5]Tourism Receipts'!$BK$6:$BK$271)</f>
        <v>15239000000</v>
      </c>
      <c r="M157" s="195">
        <f t="shared" si="5"/>
        <v>9.4407652229938605E-2</v>
      </c>
      <c r="N157">
        <v>19.434988706687999</v>
      </c>
      <c r="O157" s="188">
        <v>48687370</v>
      </c>
      <c r="P157" s="188">
        <v>110.46</v>
      </c>
      <c r="Q157">
        <v>37.365984369307803</v>
      </c>
      <c r="R157">
        <v>25.756238701931</v>
      </c>
      <c r="S157">
        <v>108.51670408267501</v>
      </c>
      <c r="T157">
        <v>39.5057030061093</v>
      </c>
    </row>
    <row r="158" spans="1:20" x14ac:dyDescent="0.2">
      <c r="A158" s="161" t="s">
        <v>152</v>
      </c>
      <c r="B158" s="161">
        <v>410</v>
      </c>
      <c r="C158" t="str">
        <f>_xlfn.XLOOKUP(B158,'Country Code M49'!$B$2:$B$250,'Country Code M49'!$C$2:$C$250,,0)</f>
        <v>KOR</v>
      </c>
      <c r="D158" s="161" t="s">
        <v>699</v>
      </c>
      <c r="E158" s="162">
        <v>12.811309449374059</v>
      </c>
      <c r="F158" s="162">
        <v>656263.16993702098</v>
      </c>
      <c r="G158" s="160" t="s">
        <v>877</v>
      </c>
      <c r="H158" s="188">
        <f>_xlfn.XLOOKUP(D158,'[1]World Population'!$B$2:$B$267,'[1]World Population'!$BN$2:$BN$267,0)</f>
        <v>51836239</v>
      </c>
      <c r="I158" s="188">
        <f>_xlfn.XLOOKUP(C158,'[4]Access to Electricity'!$B$6:$B$271,'[4]Access to Electricity'!$BM$6:$BM$271)</f>
        <v>100</v>
      </c>
      <c r="J158" s="194">
        <f>_xlfn.XLOOKUP(C158,'[2]GDP 2015 Constant'!$B$6:$B$271,'[2]GDP 2015 Constant'!$BM$6:$BM$271)</f>
        <v>1623900000000</v>
      </c>
      <c r="K158" s="193">
        <f t="shared" si="4"/>
        <v>31327.504296752701</v>
      </c>
      <c r="L158" s="194">
        <f>_xlfn.XLOOKUP(C158,'[5]Tourism Receipts'!$B$6:$B$271,'[5]Tourism Receipts'!$BK$6:$BK$271)</f>
        <v>23104000000</v>
      </c>
      <c r="M158" s="195">
        <f t="shared" si="5"/>
        <v>1.4227477061395407E-2</v>
      </c>
      <c r="N158">
        <v>1.6679309789913499</v>
      </c>
      <c r="O158" s="188">
        <v>9634283</v>
      </c>
      <c r="P158" s="188">
        <v>98.38</v>
      </c>
      <c r="Q158">
        <v>37.275574670346899</v>
      </c>
      <c r="R158">
        <v>39.2758610673609</v>
      </c>
      <c r="S158">
        <v>10496.5136719641</v>
      </c>
      <c r="T158">
        <v>531.10900614754098</v>
      </c>
    </row>
    <row r="159" spans="1:20" ht="25" x14ac:dyDescent="0.2">
      <c r="A159" s="161" t="s">
        <v>156</v>
      </c>
      <c r="B159" s="161">
        <v>498</v>
      </c>
      <c r="C159" t="str">
        <f>_xlfn.XLOOKUP(B159,'Country Code M49'!$B$2:$B$250,'Country Code M49'!$C$2:$C$250,,0)</f>
        <v>MDA</v>
      </c>
      <c r="D159" s="161" t="s">
        <v>703</v>
      </c>
      <c r="E159" s="162">
        <v>15.640228594822497</v>
      </c>
      <c r="F159" s="162">
        <v>63238.13627744581</v>
      </c>
      <c r="G159" s="160" t="s">
        <v>872</v>
      </c>
      <c r="H159" s="188">
        <f>_xlfn.XLOOKUP(D159,'[1]World Population'!$B$2:$B$267,'[1]World Population'!$BN$2:$BN$267,0)</f>
        <v>2620495</v>
      </c>
      <c r="I159" s="188">
        <f>_xlfn.XLOOKUP(C159,'[4]Access to Electricity'!$B$6:$B$271,'[4]Access to Electricity'!$BM$6:$BM$271)</f>
        <v>100</v>
      </c>
      <c r="J159" s="194">
        <f>_xlfn.XLOOKUP(C159,'[2]GDP 2015 Constant'!$B$6:$B$271,'[2]GDP 2015 Constant'!$BM$6:$BM$271)</f>
        <v>8479779802</v>
      </c>
      <c r="K159" s="193">
        <f t="shared" si="4"/>
        <v>3235.9458048956399</v>
      </c>
      <c r="L159" s="194">
        <f>_xlfn.XLOOKUP(C159,'[5]Tourism Receipts'!$B$6:$B$271,'[5]Tourism Receipts'!$BK$6:$BK$271)</f>
        <v>500000000</v>
      </c>
      <c r="M159" s="195">
        <f t="shared" si="5"/>
        <v>5.8963795248795539E-2</v>
      </c>
      <c r="N159">
        <v>10.1711187074227</v>
      </c>
      <c r="O159" s="188">
        <v>1497639</v>
      </c>
      <c r="P159" s="188">
        <v>81.83</v>
      </c>
      <c r="Q159">
        <v>55.727520326822201</v>
      </c>
      <c r="R159">
        <v>30.564727992866601</v>
      </c>
      <c r="S159">
        <v>1725.6164791123399</v>
      </c>
      <c r="T159">
        <v>91.237779232354796</v>
      </c>
    </row>
    <row r="160" spans="1:20" x14ac:dyDescent="0.2">
      <c r="A160" s="161" t="s">
        <v>156</v>
      </c>
      <c r="B160" s="161">
        <v>642</v>
      </c>
      <c r="C160" t="str">
        <f>_xlfn.XLOOKUP(B160,'Country Code M49'!$B$2:$B$250,'Country Code M49'!$C$2:$C$250,,0)</f>
        <v>ROU</v>
      </c>
      <c r="D160" s="161" t="s">
        <v>704</v>
      </c>
      <c r="E160" s="162">
        <v>12.811309449374059</v>
      </c>
      <c r="F160" s="162">
        <v>248085.88296334891</v>
      </c>
      <c r="G160" s="160" t="s">
        <v>877</v>
      </c>
      <c r="H160" s="188">
        <f>_xlfn.XLOOKUP(D160,'[1]World Population'!$B$2:$B$267,'[1]World Population'!$BN$2:$BN$267,0)</f>
        <v>19257520</v>
      </c>
      <c r="I160" s="188">
        <f>_xlfn.XLOOKUP(C160,'[4]Access to Electricity'!$B$6:$B$271,'[4]Access to Electricity'!$BM$6:$BM$271)</f>
        <v>100</v>
      </c>
      <c r="J160" s="194">
        <f>_xlfn.XLOOKUP(C160,'[2]GDP 2015 Constant'!$B$6:$B$271,'[2]GDP 2015 Constant'!$BM$6:$BM$271)</f>
        <v>209236000000</v>
      </c>
      <c r="K160" s="193">
        <f t="shared" si="4"/>
        <v>10865.15813043424</v>
      </c>
      <c r="L160" s="194">
        <f>_xlfn.XLOOKUP(C160,'[5]Tourism Receipts'!$B$6:$B$271,'[5]Tourism Receipts'!$BK$6:$BK$271)</f>
        <v>3879000000</v>
      </c>
      <c r="M160" s="195">
        <f t="shared" si="5"/>
        <v>1.8538874763425032E-2</v>
      </c>
      <c r="N160">
        <v>4.123626546923</v>
      </c>
      <c r="O160" s="188">
        <v>8821100</v>
      </c>
      <c r="P160" s="188">
        <v>90.99</v>
      </c>
      <c r="Q160">
        <v>45.274960243388698</v>
      </c>
      <c r="R160">
        <v>40.383222162751601</v>
      </c>
      <c r="S160">
        <v>2584.4117872644301</v>
      </c>
      <c r="T160">
        <v>83.699235048678702</v>
      </c>
    </row>
    <row r="161" spans="1:20" x14ac:dyDescent="0.2">
      <c r="A161" s="161" t="s">
        <v>156</v>
      </c>
      <c r="B161" s="161">
        <v>643</v>
      </c>
      <c r="C161" t="str">
        <f>_xlfn.XLOOKUP(B161,'Country Code M49'!$B$2:$B$250,'Country Code M49'!$C$2:$C$250,,0)</f>
        <v>RUS</v>
      </c>
      <c r="D161" s="161" t="s">
        <v>130</v>
      </c>
      <c r="E161" s="162">
        <v>13.71790467223564</v>
      </c>
      <c r="F161" s="162">
        <v>2001062.3057197591</v>
      </c>
      <c r="G161" s="160" t="s">
        <v>881</v>
      </c>
      <c r="H161" s="188">
        <f>_xlfn.XLOOKUP(D161,'[1]World Population'!$B$2:$B$267,'[1]World Population'!$BN$2:$BN$267,0)</f>
        <v>144073139</v>
      </c>
      <c r="I161" s="188">
        <f>_xlfn.XLOOKUP(C161,'[4]Access to Electricity'!$B$6:$B$271,'[4]Access to Electricity'!$BM$6:$BM$271)</f>
        <v>100</v>
      </c>
      <c r="J161" s="194">
        <f>_xlfn.XLOOKUP(C161,'[2]GDP 2015 Constant'!$B$6:$B$271,'[2]GDP 2015 Constant'!$BM$6:$BM$271)</f>
        <v>1422330000000</v>
      </c>
      <c r="K161" s="193">
        <f t="shared" si="4"/>
        <v>9872.2774409739213</v>
      </c>
      <c r="L161" s="194">
        <f>_xlfn.XLOOKUP(C161,'[5]Tourism Receipts'!$B$6:$B$271,'[5]Tourism Receipts'!$BK$6:$BK$271)</f>
        <v>18735000000</v>
      </c>
      <c r="M161" s="195">
        <f t="shared" si="5"/>
        <v>1.3172048680685916E-2</v>
      </c>
      <c r="N161">
        <v>3.53030291392166</v>
      </c>
      <c r="O161" s="188">
        <v>36372705</v>
      </c>
      <c r="P161" s="188">
        <v>111.93</v>
      </c>
      <c r="Q161">
        <v>20.7876435683221</v>
      </c>
      <c r="R161">
        <v>28.433430679975899</v>
      </c>
      <c r="S161">
        <v>6602.6574793835398</v>
      </c>
      <c r="T161">
        <v>8.7973549890791105</v>
      </c>
    </row>
    <row r="162" spans="1:20" ht="25" x14ac:dyDescent="0.2">
      <c r="A162" s="161" t="s">
        <v>154</v>
      </c>
      <c r="B162" s="161">
        <v>646</v>
      </c>
      <c r="C162" t="str">
        <f>_xlfn.XLOOKUP(B162,'Country Code M49'!$B$2:$B$250,'Country Code M49'!$C$2:$C$250,,0)</f>
        <v>RWA</v>
      </c>
      <c r="D162" s="161" t="s">
        <v>131</v>
      </c>
      <c r="E162" s="162">
        <v>15.640228594822497</v>
      </c>
      <c r="F162" s="162">
        <v>197489.16646682366</v>
      </c>
      <c r="G162" s="160" t="s">
        <v>872</v>
      </c>
      <c r="H162" s="188">
        <f>_xlfn.XLOOKUP(D162,'[1]World Population'!$B$2:$B$267,'[1]World Population'!$BN$2:$BN$267,0)</f>
        <v>12952209</v>
      </c>
      <c r="I162" s="188">
        <f>_xlfn.XLOOKUP(C162,'[4]Access to Electricity'!$B$6:$B$271,'[4]Access to Electricity'!$BM$6:$BM$271)</f>
        <v>46.599998474121101</v>
      </c>
      <c r="J162" s="194">
        <f>_xlfn.XLOOKUP(C162,'[2]GDP 2015 Constant'!$B$6:$B$271,'[2]GDP 2015 Constant'!$BM$6:$BM$271)</f>
        <v>10807279944</v>
      </c>
      <c r="K162" s="193">
        <f t="shared" si="4"/>
        <v>834.39666114096826</v>
      </c>
      <c r="L162" s="194">
        <f>_xlfn.XLOOKUP(C162,'[5]Tourism Receipts'!$B$6:$B$271,'[5]Tourism Receipts'!$BK$6:$BK$271)</f>
        <v>547000000</v>
      </c>
      <c r="M162" s="195">
        <f t="shared" si="5"/>
        <v>5.0614030804641476E-2</v>
      </c>
      <c r="N162">
        <v>23.545797022278801</v>
      </c>
      <c r="O162" s="188">
        <v>10694380</v>
      </c>
      <c r="P162" s="188">
        <v>111.81</v>
      </c>
      <c r="Q162">
        <v>34.659802997503803</v>
      </c>
      <c r="R162">
        <v>21.810639675807298</v>
      </c>
      <c r="S162">
        <v>0</v>
      </c>
      <c r="T162">
        <v>525.01860559383897</v>
      </c>
    </row>
    <row r="163" spans="1:20" x14ac:dyDescent="0.2">
      <c r="A163" s="161" t="s">
        <v>150</v>
      </c>
      <c r="B163" s="161">
        <v>659</v>
      </c>
      <c r="C163" t="str">
        <f>_xlfn.XLOOKUP(B163,'Country Code M49'!$B$2:$B$250,'Country Code M49'!$C$2:$C$250,,0)</f>
        <v>KNA</v>
      </c>
      <c r="D163" s="161" t="s">
        <v>741</v>
      </c>
      <c r="E163" s="162">
        <v>12.811309449374059</v>
      </c>
      <c r="F163" s="162">
        <v>676.4371389269503</v>
      </c>
      <c r="G163" s="160" t="s">
        <v>877</v>
      </c>
      <c r="H163" s="188">
        <f>_xlfn.XLOOKUP(D163,'[1]World Population'!$B$2:$B$267,'[1]World Population'!$BN$2:$BN$267,0)</f>
        <v>53192</v>
      </c>
      <c r="I163" s="188">
        <f>_xlfn.XLOOKUP(C163,'[4]Access to Electricity'!$B$6:$B$271,'[4]Access to Electricity'!$BM$6:$BM$271)</f>
        <v>100</v>
      </c>
      <c r="J163" s="194">
        <f>_xlfn.XLOOKUP(C163,'[2]GDP 2015 Constant'!$B$6:$B$271,'[2]GDP 2015 Constant'!$BM$6:$BM$271)</f>
        <v>925775566.39999998</v>
      </c>
      <c r="K163" s="193">
        <f t="shared" si="4"/>
        <v>17404.413565949766</v>
      </c>
      <c r="L163" s="194">
        <f>_xlfn.XLOOKUP(C163,'[5]Tourism Receipts'!$B$6:$B$271,'[5]Tourism Receipts'!$BK$6:$BK$271)</f>
        <v>367000000</v>
      </c>
      <c r="M163" s="195">
        <f t="shared" si="5"/>
        <v>0.39642437467552505</v>
      </c>
      <c r="N163">
        <v>0.97005879045909804</v>
      </c>
      <c r="O163" s="188">
        <v>36786</v>
      </c>
      <c r="P163" s="188">
        <v>91.08</v>
      </c>
      <c r="Q163">
        <v>0</v>
      </c>
      <c r="R163">
        <v>0</v>
      </c>
      <c r="S163">
        <v>0</v>
      </c>
      <c r="T163">
        <v>204.58461538461501</v>
      </c>
    </row>
    <row r="164" spans="1:20" ht="25" x14ac:dyDescent="0.2">
      <c r="A164" s="161" t="s">
        <v>150</v>
      </c>
      <c r="B164" s="161">
        <v>662</v>
      </c>
      <c r="C164" t="str">
        <f>_xlfn.XLOOKUP(B164,'Country Code M49'!$B$2:$B$250,'Country Code M49'!$C$2:$C$250,,0)</f>
        <v>LCA</v>
      </c>
      <c r="D164" s="161" t="s">
        <v>742</v>
      </c>
      <c r="E164" s="162">
        <v>15.640228594822497</v>
      </c>
      <c r="F164" s="162">
        <v>2859.0337871335528</v>
      </c>
      <c r="G164" s="160" t="s">
        <v>872</v>
      </c>
      <c r="H164" s="188">
        <f>_xlfn.XLOOKUP(D164,'[1]World Population'!$B$2:$B$267,'[1]World Population'!$BN$2:$BN$267,0)</f>
        <v>183629</v>
      </c>
      <c r="I164" s="188">
        <f>_xlfn.XLOOKUP(C164,'[4]Access to Electricity'!$B$6:$B$271,'[4]Access to Electricity'!$BM$6:$BM$271)</f>
        <v>100</v>
      </c>
      <c r="J164" s="194">
        <f>_xlfn.XLOOKUP(C164,'[2]GDP 2015 Constant'!$B$6:$B$271,'[2]GDP 2015 Constant'!$BM$6:$BM$271)</f>
        <v>1588638627</v>
      </c>
      <c r="K164" s="193">
        <f t="shared" si="4"/>
        <v>8651.3493348000593</v>
      </c>
      <c r="L164" s="194">
        <f>_xlfn.XLOOKUP(C164,'[5]Tourism Receipts'!$B$6:$B$271,'[5]Tourism Receipts'!$BK$6:$BK$271)</f>
        <v>989000000</v>
      </c>
      <c r="M164" s="195">
        <f t="shared" si="5"/>
        <v>0.62254560803902703</v>
      </c>
      <c r="N164">
        <v>2.1007234835159498</v>
      </c>
      <c r="O164" s="188">
        <v>149031</v>
      </c>
      <c r="P164" s="188">
        <v>86.39</v>
      </c>
      <c r="Q164">
        <v>0</v>
      </c>
      <c r="R164">
        <v>0</v>
      </c>
      <c r="S164">
        <v>0</v>
      </c>
      <c r="T164">
        <v>301.03114754098402</v>
      </c>
    </row>
    <row r="165" spans="1:20" x14ac:dyDescent="0.2">
      <c r="A165" s="161" t="s">
        <v>150</v>
      </c>
      <c r="B165" s="161">
        <v>663</v>
      </c>
      <c r="C165" t="str">
        <f>_xlfn.XLOOKUP(B165,'Country Code M49'!$B$2:$B$250,'Country Code M49'!$C$2:$C$250,,0)</f>
        <v>MAF</v>
      </c>
      <c r="D165" s="161" t="s">
        <v>743</v>
      </c>
      <c r="E165" s="162">
        <v>12.811309449374059</v>
      </c>
      <c r="F165" s="162">
        <v>486.82975907621426</v>
      </c>
      <c r="G165" s="160" t="s">
        <v>877</v>
      </c>
      <c r="H165" s="188">
        <f>_xlfn.XLOOKUP(D165,'[1]World Population'!$B$2:$B$267,'[1]World Population'!$BN$2:$BN$267,0)</f>
        <v>38659</v>
      </c>
      <c r="I165" s="188">
        <f>_xlfn.XLOOKUP(C165,'[4]Access to Electricity'!$B$6:$B$271,'[4]Access to Electricity'!$BM$6:$BM$271)</f>
        <v>100</v>
      </c>
      <c r="J165" s="194" t="e">
        <f>_xlfn.XLOOKUP(C165,'[2]GDP 2015 Constant'!$B$6:$B$271,'[2]GDP 2015 Constant'!$BM$6:$BM$271)</f>
        <v>#REF!</v>
      </c>
      <c r="K165" s="193" t="e">
        <f t="shared" si="4"/>
        <v>#REF!</v>
      </c>
      <c r="L165" s="194">
        <f>_xlfn.XLOOKUP(C165,'[5]Tourism Receipts'!$B$6:$B$271,'[5]Tourism Receipts'!$BK$6:$BK$271)</f>
        <v>0</v>
      </c>
      <c r="M165" s="195" t="e">
        <f t="shared" si="5"/>
        <v>#REF!</v>
      </c>
      <c r="N165">
        <v>0</v>
      </c>
      <c r="O165" s="188" t="e">
        <v>#REF!</v>
      </c>
      <c r="P165" s="188">
        <v>0</v>
      </c>
      <c r="Q165">
        <v>0</v>
      </c>
      <c r="R165">
        <v>0</v>
      </c>
      <c r="S165">
        <v>0</v>
      </c>
      <c r="T165">
        <v>773.18</v>
      </c>
    </row>
    <row r="166" spans="1:20" ht="25" x14ac:dyDescent="0.2">
      <c r="A166" s="161" t="s">
        <v>150</v>
      </c>
      <c r="B166" s="161">
        <v>670</v>
      </c>
      <c r="C166" t="str">
        <f>_xlfn.XLOOKUP(B166,'Country Code M49'!$B$2:$B$250,'Country Code M49'!$C$2:$C$250,,0)</f>
        <v>VCT</v>
      </c>
      <c r="D166" s="161" t="s">
        <v>744</v>
      </c>
      <c r="E166" s="162">
        <v>15.640228594822497</v>
      </c>
      <c r="F166" s="162">
        <v>1729.8092825873682</v>
      </c>
      <c r="G166" s="160" t="s">
        <v>872</v>
      </c>
      <c r="H166" s="188">
        <f>_xlfn.XLOOKUP(D166,'[1]World Population'!$B$2:$B$267,'[1]World Population'!$BN$2:$BN$267,0)</f>
        <v>110947</v>
      </c>
      <c r="I166" s="188">
        <f>_xlfn.XLOOKUP(C166,'[4]Access to Electricity'!$B$6:$B$271,'[4]Access to Electricity'!$BM$6:$BM$271)</f>
        <v>100</v>
      </c>
      <c r="J166" s="194">
        <f>_xlfn.XLOOKUP(C166,'[2]GDP 2015 Constant'!$B$6:$B$271,'[2]GDP 2015 Constant'!$BM$6:$BM$271)</f>
        <v>815975930.89999998</v>
      </c>
      <c r="K166" s="193">
        <f t="shared" si="4"/>
        <v>7354.6461905234028</v>
      </c>
      <c r="L166" s="194">
        <f>_xlfn.XLOOKUP(C166,'[5]Tourism Receipts'!$B$6:$B$271,'[5]Tourism Receipts'!$BK$6:$BK$271)</f>
        <v>231000000</v>
      </c>
      <c r="M166" s="195">
        <f t="shared" si="5"/>
        <v>0.2830965856372909</v>
      </c>
      <c r="N166">
        <v>7.0057710857975799</v>
      </c>
      <c r="O166" s="188">
        <v>52110</v>
      </c>
      <c r="P166" s="188">
        <v>105.72</v>
      </c>
      <c r="Q166">
        <v>0</v>
      </c>
      <c r="R166">
        <v>0</v>
      </c>
      <c r="S166">
        <v>0</v>
      </c>
      <c r="T166">
        <v>284.47948717948702</v>
      </c>
    </row>
    <row r="167" spans="1:20" ht="25" x14ac:dyDescent="0.2">
      <c r="A167" s="161" t="s">
        <v>878</v>
      </c>
      <c r="B167" s="161">
        <v>882</v>
      </c>
      <c r="C167" t="str">
        <f>_xlfn.XLOOKUP(B167,'Country Code M49'!$B$2:$B$250,'Country Code M49'!$C$2:$C$250,,0)</f>
        <v>WSM</v>
      </c>
      <c r="D167" s="161" t="s">
        <v>784</v>
      </c>
      <c r="E167" s="162">
        <v>15.640228594822497</v>
      </c>
      <c r="F167" s="162">
        <v>3082.6890560395145</v>
      </c>
      <c r="G167" s="160" t="s">
        <v>872</v>
      </c>
      <c r="H167" s="188">
        <f>_xlfn.XLOOKUP(D167,'[1]World Population'!$B$2:$B$267,'[1]World Population'!$BN$2:$BN$267,0)</f>
        <v>198410</v>
      </c>
      <c r="I167" s="188">
        <f>_xlfn.XLOOKUP(C167,'[4]Access to Electricity'!$B$6:$B$271,'[4]Access to Electricity'!$BM$6:$BM$271)</f>
        <v>100</v>
      </c>
      <c r="J167" s="194">
        <f>_xlfn.XLOOKUP(C167,'[2]GDP 2015 Constant'!$B$6:$B$271,'[2]GDP 2015 Constant'!$BM$6:$BM$271)</f>
        <v>864892729.39999998</v>
      </c>
      <c r="K167" s="193">
        <f t="shared" si="4"/>
        <v>4359.1186401895066</v>
      </c>
      <c r="L167" s="194">
        <f>_xlfn.XLOOKUP(C167,'[5]Tourism Receipts'!$B$6:$B$271,'[5]Tourism Receipts'!$BK$6:$BK$271)</f>
        <v>192300003.09999999</v>
      </c>
      <c r="M167" s="195">
        <f t="shared" si="5"/>
        <v>0.22233971516144416</v>
      </c>
      <c r="N167">
        <v>9.7287015525197198</v>
      </c>
      <c r="O167" s="188">
        <v>162916</v>
      </c>
      <c r="P167" s="188">
        <v>94.47</v>
      </c>
      <c r="Q167">
        <v>50.237585012421803</v>
      </c>
      <c r="R167">
        <v>37.723340195303898</v>
      </c>
      <c r="S167">
        <v>0</v>
      </c>
      <c r="T167">
        <v>71.370503597122294</v>
      </c>
    </row>
    <row r="168" spans="1:20" x14ac:dyDescent="0.2">
      <c r="A168" s="161" t="s">
        <v>155</v>
      </c>
      <c r="B168" s="161">
        <v>674</v>
      </c>
      <c r="C168" t="str">
        <f>_xlfn.XLOOKUP(B168,'Country Code M49'!$B$2:$B$250,'Country Code M49'!$C$2:$C$250,,0)</f>
        <v>SMR</v>
      </c>
      <c r="D168" s="161" t="s">
        <v>811</v>
      </c>
      <c r="E168" s="162">
        <v>12.811309449374059</v>
      </c>
      <c r="F168" s="162">
        <v>434.30339033378061</v>
      </c>
      <c r="G168" s="160" t="s">
        <v>877</v>
      </c>
      <c r="H168" s="188">
        <f>_xlfn.XLOOKUP(D168,'[1]World Population'!$B$2:$B$267,'[1]World Population'!$BN$2:$BN$267,0)</f>
        <v>33938</v>
      </c>
      <c r="I168" s="188">
        <f>_xlfn.XLOOKUP(C168,'[4]Access to Electricity'!$B$6:$B$271,'[4]Access to Electricity'!$BM$6:$BM$271)</f>
        <v>100</v>
      </c>
      <c r="J168" s="194">
        <f>_xlfn.XLOOKUP(C168,'[2]GDP 2015 Constant'!$B$6:$B$271,'[2]GDP 2015 Constant'!$BM$6:$BM$271)</f>
        <v>1408417036</v>
      </c>
      <c r="K168" s="193">
        <f t="shared" si="4"/>
        <v>41499.70640579881</v>
      </c>
      <c r="L168" s="194">
        <f>_xlfn.XLOOKUP(C168,'[5]Tourism Receipts'!$B$6:$B$271,'[5]Tourism Receipts'!$BK$6:$BK$271)</f>
        <v>0</v>
      </c>
      <c r="M168" s="195">
        <f t="shared" si="5"/>
        <v>0</v>
      </c>
      <c r="N168">
        <v>1.52797446966611E-2</v>
      </c>
      <c r="O168" s="188">
        <v>849</v>
      </c>
      <c r="P168" s="188">
        <v>0</v>
      </c>
      <c r="Q168">
        <v>142.89045627736701</v>
      </c>
      <c r="R168">
        <v>163.99723662423199</v>
      </c>
      <c r="S168">
        <v>0</v>
      </c>
      <c r="T168">
        <v>565.63333333333298</v>
      </c>
    </row>
    <row r="169" spans="1:20" ht="25" x14ac:dyDescent="0.2">
      <c r="A169" s="161" t="s">
        <v>154</v>
      </c>
      <c r="B169" s="161">
        <v>678</v>
      </c>
      <c r="C169" t="str">
        <f>_xlfn.XLOOKUP(B169,'Country Code M49'!$B$2:$B$250,'Country Code M49'!$C$2:$C$250,,0)</f>
        <v>STP</v>
      </c>
      <c r="D169" s="161" t="s">
        <v>846</v>
      </c>
      <c r="E169" s="162">
        <v>15.640228594822497</v>
      </c>
      <c r="F169" s="162">
        <v>3364.2131707463191</v>
      </c>
      <c r="G169" s="160" t="s">
        <v>872</v>
      </c>
      <c r="H169" s="188">
        <f>_xlfn.XLOOKUP(D169,'[1]World Population'!$B$2:$B$267,'[1]World Population'!$BN$2:$BN$267,0)</f>
        <v>219161</v>
      </c>
      <c r="I169" s="188">
        <f>_xlfn.XLOOKUP(C169,'[4]Access to Electricity'!$B$6:$B$271,'[4]Access to Electricity'!$BM$6:$BM$271)</f>
        <v>76.559089660644503</v>
      </c>
      <c r="J169" s="194">
        <f>_xlfn.XLOOKUP(C169,'[2]GDP 2015 Constant'!$B$6:$B$271,'[2]GDP 2015 Constant'!$BM$6:$BM$271)</f>
        <v>370868351.89999998</v>
      </c>
      <c r="K169" s="193">
        <f t="shared" si="4"/>
        <v>1692.2187428420202</v>
      </c>
      <c r="L169" s="194">
        <f>_xlfn.XLOOKUP(C169,'[5]Tourism Receipts'!$B$6:$B$271,'[5]Tourism Receipts'!$BK$6:$BK$271)</f>
        <v>71900000</v>
      </c>
      <c r="M169" s="195">
        <f t="shared" si="5"/>
        <v>0.19386933296316139</v>
      </c>
      <c r="N169">
        <v>12.2898119898564</v>
      </c>
      <c r="O169" s="188">
        <v>56206</v>
      </c>
      <c r="P169" s="188">
        <v>103.51</v>
      </c>
      <c r="Q169">
        <v>0</v>
      </c>
      <c r="R169">
        <v>0</v>
      </c>
      <c r="S169">
        <v>0</v>
      </c>
      <c r="T169">
        <v>228.292708333333</v>
      </c>
    </row>
    <row r="170" spans="1:20" x14ac:dyDescent="0.2">
      <c r="A170" s="161" t="s">
        <v>148</v>
      </c>
      <c r="B170" s="161">
        <v>682</v>
      </c>
      <c r="C170" t="str">
        <f>_xlfn.XLOOKUP(B170,'Country Code M49'!$B$2:$B$250,'Country Code M49'!$C$2:$C$250,,0)</f>
        <v>SAU</v>
      </c>
      <c r="D170" s="161" t="s">
        <v>132</v>
      </c>
      <c r="E170" s="162">
        <v>19.653668144961511</v>
      </c>
      <c r="F170" s="162">
        <v>673501.72682561353</v>
      </c>
      <c r="G170" s="160" t="s">
        <v>880</v>
      </c>
      <c r="H170" s="188">
        <f>_xlfn.XLOOKUP(D170,'[1]World Population'!$B$2:$B$267,'[1]World Population'!$BN$2:$BN$267,0)</f>
        <v>34813867</v>
      </c>
      <c r="I170" s="188">
        <f>_xlfn.XLOOKUP(C170,'[4]Access to Electricity'!$B$6:$B$271,'[4]Access to Electricity'!$BM$6:$BM$271)</f>
        <v>100</v>
      </c>
      <c r="J170" s="194">
        <f>_xlfn.XLOOKUP(C170,'[2]GDP 2015 Constant'!$B$6:$B$271,'[2]GDP 2015 Constant'!$BM$6:$BM$271)</f>
        <v>651027000000</v>
      </c>
      <c r="K170" s="193">
        <f t="shared" si="4"/>
        <v>18700.22080569217</v>
      </c>
      <c r="L170" s="194">
        <f>_xlfn.XLOOKUP(C170,'[5]Tourism Receipts'!$B$6:$B$271,'[5]Tourism Receipts'!$BK$6:$BK$271)</f>
        <v>16974000000</v>
      </c>
      <c r="M170" s="195">
        <f t="shared" si="5"/>
        <v>2.6072651364689944E-2</v>
      </c>
      <c r="N170">
        <v>2.1968555880473302</v>
      </c>
      <c r="O170" s="188">
        <v>5470303</v>
      </c>
      <c r="P170" s="188">
        <v>151.13999999999999</v>
      </c>
      <c r="Q170">
        <v>25.666772862630999</v>
      </c>
      <c r="R170">
        <v>35.571694489276702</v>
      </c>
      <c r="S170">
        <v>9401.4856677494608</v>
      </c>
      <c r="T170">
        <v>16.1948313477757</v>
      </c>
    </row>
    <row r="171" spans="1:20" ht="25" x14ac:dyDescent="0.2">
      <c r="A171" s="161" t="s">
        <v>154</v>
      </c>
      <c r="B171" s="161">
        <v>686</v>
      </c>
      <c r="C171" t="str">
        <f>_xlfn.XLOOKUP(B171,'Country Code M49'!$B$2:$B$250,'Country Code M49'!$C$2:$C$250,,0)</f>
        <v>SEN</v>
      </c>
      <c r="D171" s="161" t="s">
        <v>847</v>
      </c>
      <c r="E171" s="162">
        <v>15.640228594822497</v>
      </c>
      <c r="F171" s="162">
        <v>254879.42127266532</v>
      </c>
      <c r="G171" s="160" t="s">
        <v>872</v>
      </c>
      <c r="H171" s="188">
        <f>_xlfn.XLOOKUP(D171,'[1]World Population'!$B$2:$B$267,'[1]World Population'!$BN$2:$BN$267,0)</f>
        <v>16743930</v>
      </c>
      <c r="I171" s="188">
        <f>_xlfn.XLOOKUP(C171,'[4]Access to Electricity'!$B$6:$B$271,'[4]Access to Electricity'!$BM$6:$BM$271)</f>
        <v>70.368942260742202</v>
      </c>
      <c r="J171" s="194">
        <f>_xlfn.XLOOKUP(C171,'[2]GDP 2015 Constant'!$B$6:$B$271,'[2]GDP 2015 Constant'!$BM$6:$BM$271)</f>
        <v>22859676611</v>
      </c>
      <c r="K171" s="193">
        <f t="shared" si="4"/>
        <v>1365.2515634621025</v>
      </c>
      <c r="L171" s="194">
        <f>_xlfn.XLOOKUP(C171,'[5]Tourism Receipts'!$B$6:$B$271,'[5]Tourism Receipts'!$BK$6:$BK$271)</f>
        <v>557000000</v>
      </c>
      <c r="M171" s="195">
        <f t="shared" si="5"/>
        <v>2.4366048981286702E-2</v>
      </c>
      <c r="N171">
        <v>14.899573080831299</v>
      </c>
      <c r="O171" s="188">
        <v>8686416</v>
      </c>
      <c r="P171" s="188">
        <v>181.51</v>
      </c>
      <c r="Q171">
        <v>38.840415258329301</v>
      </c>
      <c r="R171">
        <v>24.987932777280999</v>
      </c>
      <c r="S171">
        <v>229.351649483518</v>
      </c>
      <c r="T171">
        <v>86.967901106321094</v>
      </c>
    </row>
    <row r="172" spans="1:20" ht="25" x14ac:dyDescent="0.2">
      <c r="A172" s="161" t="s">
        <v>155</v>
      </c>
      <c r="B172" s="161">
        <v>688</v>
      </c>
      <c r="C172" t="str">
        <f>_xlfn.XLOOKUP(B172,'Country Code M49'!$B$2:$B$250,'Country Code M49'!$C$2:$C$250,,0)</f>
        <v>SRB</v>
      </c>
      <c r="D172" s="161" t="s">
        <v>133</v>
      </c>
      <c r="E172" s="162">
        <v>15.640228594822497</v>
      </c>
      <c r="F172" s="162">
        <v>137199.21327950191</v>
      </c>
      <c r="G172" s="160" t="s">
        <v>872</v>
      </c>
      <c r="H172" s="188">
        <f>_xlfn.XLOOKUP(D172,'[1]World Population'!$B$2:$B$267,'[1]World Population'!$BN$2:$BN$267,0)</f>
        <v>6899126</v>
      </c>
      <c r="I172" s="188">
        <f>_xlfn.XLOOKUP(C172,'[4]Access to Electricity'!$B$6:$B$271,'[4]Access to Electricity'!$BM$6:$BM$271)</f>
        <v>100</v>
      </c>
      <c r="J172" s="194">
        <f>_xlfn.XLOOKUP(C172,'[2]GDP 2015 Constant'!$B$6:$B$271,'[2]GDP 2015 Constant'!$BM$6:$BM$271)</f>
        <v>45184791299</v>
      </c>
      <c r="K172" s="193">
        <f t="shared" si="4"/>
        <v>6549.3500624571871</v>
      </c>
      <c r="L172" s="194">
        <f>_xlfn.XLOOKUP(C172,'[5]Tourism Receipts'!$B$6:$B$271,'[5]Tourism Receipts'!$BK$6:$BK$271)</f>
        <v>1941000000</v>
      </c>
      <c r="M172" s="195">
        <f t="shared" si="5"/>
        <v>4.2956931839208408E-2</v>
      </c>
      <c r="N172">
        <v>5.9544163448377896</v>
      </c>
      <c r="O172" s="188">
        <v>3004845</v>
      </c>
      <c r="P172" s="188">
        <v>110.9</v>
      </c>
      <c r="Q172">
        <v>59.0603044132937</v>
      </c>
      <c r="R172">
        <v>51.010923150917101</v>
      </c>
      <c r="S172">
        <v>4271.7446669105002</v>
      </c>
      <c r="T172">
        <v>78.883215184084193</v>
      </c>
    </row>
    <row r="173" spans="1:20" x14ac:dyDescent="0.2">
      <c r="A173" s="161" t="s">
        <v>154</v>
      </c>
      <c r="B173" s="161">
        <v>690</v>
      </c>
      <c r="C173" t="str">
        <f>_xlfn.XLOOKUP(B173,'Country Code M49'!$B$2:$B$250,'Country Code M49'!$C$2:$C$250,,0)</f>
        <v>SYC</v>
      </c>
      <c r="D173" s="161" t="s">
        <v>848</v>
      </c>
      <c r="E173" s="162">
        <v>12.811309449374059</v>
      </c>
      <c r="F173" s="162">
        <v>1251.6649332038455</v>
      </c>
      <c r="G173" s="160" t="s">
        <v>877</v>
      </c>
      <c r="H173" s="188">
        <f>_xlfn.XLOOKUP(D173,'[1]World Population'!$B$2:$B$267,'[1]World Population'!$BN$2:$BN$267,0)</f>
        <v>98462</v>
      </c>
      <c r="I173" s="188">
        <f>_xlfn.XLOOKUP(C173,'[4]Access to Electricity'!$B$6:$B$271,'[4]Access to Electricity'!$BM$6:$BM$271)</f>
        <v>100</v>
      </c>
      <c r="J173" s="194">
        <f>_xlfn.XLOOKUP(C173,'[2]GDP 2015 Constant'!$B$6:$B$271,'[2]GDP 2015 Constant'!$BM$6:$BM$271)</f>
        <v>1530539000</v>
      </c>
      <c r="K173" s="193">
        <f t="shared" si="4"/>
        <v>15544.463854075684</v>
      </c>
      <c r="L173" s="194">
        <f>_xlfn.XLOOKUP(C173,'[5]Tourism Receipts'!$B$6:$B$271,'[5]Tourism Receipts'!$BK$6:$BK$271)</f>
        <v>611000000</v>
      </c>
      <c r="M173" s="195">
        <f t="shared" si="5"/>
        <v>0.39920576999344676</v>
      </c>
      <c r="N173">
        <v>2.6473226374221501</v>
      </c>
      <c r="O173" s="188">
        <v>41801</v>
      </c>
      <c r="P173" s="188">
        <v>98.43</v>
      </c>
      <c r="Q173">
        <v>107.587346076291</v>
      </c>
      <c r="R173">
        <v>91.375998510695894</v>
      </c>
      <c r="S173">
        <v>0</v>
      </c>
      <c r="T173">
        <v>214.047826086957</v>
      </c>
    </row>
    <row r="174" spans="1:20" ht="25" x14ac:dyDescent="0.2">
      <c r="A174" s="161" t="s">
        <v>154</v>
      </c>
      <c r="B174" s="161">
        <v>694</v>
      </c>
      <c r="C174" t="str">
        <f>_xlfn.XLOOKUP(B174,'Country Code M49'!$B$2:$B$250,'Country Code M49'!$C$2:$C$250,,0)</f>
        <v>SLE</v>
      </c>
      <c r="D174" s="161" t="s">
        <v>849</v>
      </c>
      <c r="E174" s="162">
        <v>15.640228594822497</v>
      </c>
      <c r="F174" s="162">
        <v>122200.23405706714</v>
      </c>
      <c r="G174" s="160" t="s">
        <v>872</v>
      </c>
      <c r="H174" s="188">
        <f>_xlfn.XLOOKUP(D174,'[1]World Population'!$B$2:$B$267,'[1]World Population'!$BN$2:$BN$267,0)</f>
        <v>7976985</v>
      </c>
      <c r="I174" s="188">
        <f>_xlfn.XLOOKUP(C174,'[4]Access to Electricity'!$B$6:$B$271,'[4]Access to Electricity'!$BM$6:$BM$271)</f>
        <v>26.200885772705099</v>
      </c>
      <c r="J174" s="194">
        <f>_xlfn.XLOOKUP(C174,'[2]GDP 2015 Constant'!$B$6:$B$271,'[2]GDP 2015 Constant'!$BM$6:$BM$271)</f>
        <v>4976753934</v>
      </c>
      <c r="K174" s="193">
        <f t="shared" si="4"/>
        <v>623.88909268351392</v>
      </c>
      <c r="L174" s="194">
        <f>_xlfn.XLOOKUP(C174,'[5]Tourism Receipts'!$B$6:$B$271,'[5]Tourism Receipts'!$BK$6:$BK$271)</f>
        <v>39000000</v>
      </c>
      <c r="M174" s="195">
        <f t="shared" si="5"/>
        <v>7.836433248901712E-3</v>
      </c>
      <c r="N174">
        <v>58.1544724473477</v>
      </c>
      <c r="O174" s="188">
        <v>4553024</v>
      </c>
      <c r="P174" s="188">
        <v>108.42</v>
      </c>
      <c r="Q174">
        <v>39.228531308891696</v>
      </c>
      <c r="R174">
        <v>18.2469360788965</v>
      </c>
      <c r="S174">
        <v>0</v>
      </c>
      <c r="T174">
        <v>110.515170407315</v>
      </c>
    </row>
    <row r="175" spans="1:20" x14ac:dyDescent="0.2">
      <c r="A175" s="161" t="s">
        <v>157</v>
      </c>
      <c r="B175" s="161">
        <v>702</v>
      </c>
      <c r="C175" t="str">
        <f>_xlfn.XLOOKUP(B175,'Country Code M49'!$B$2:$B$250,'Country Code M49'!$C$2:$C$250,,0)</f>
        <v>SGP</v>
      </c>
      <c r="D175" s="161" t="s">
        <v>794</v>
      </c>
      <c r="E175" s="162">
        <v>12.811309449374059</v>
      </c>
      <c r="F175" s="162">
        <v>74360.683437001848</v>
      </c>
      <c r="G175" s="160" t="s">
        <v>877</v>
      </c>
      <c r="H175" s="188">
        <f>_xlfn.XLOOKUP(D175,'[1]World Population'!$B$2:$B$267,'[1]World Population'!$BN$2:$BN$267,0)</f>
        <v>5685807</v>
      </c>
      <c r="I175" s="188">
        <f>_xlfn.XLOOKUP(C175,'[4]Access to Electricity'!$B$6:$B$271,'[4]Access to Electricity'!$BM$6:$BM$271)</f>
        <v>100</v>
      </c>
      <c r="J175" s="194">
        <f>_xlfn.XLOOKUP(C175,'[2]GDP 2015 Constant'!$B$6:$B$271,'[2]GDP 2015 Constant'!$BM$6:$BM$271)</f>
        <v>335363000000</v>
      </c>
      <c r="K175" s="193">
        <f t="shared" si="4"/>
        <v>58982.480411311888</v>
      </c>
      <c r="L175" s="194">
        <f>_xlfn.XLOOKUP(C175,'[5]Tourism Receipts'!$B$6:$B$271,'[5]Tourism Receipts'!$BK$6:$BK$271)</f>
        <v>20416000000</v>
      </c>
      <c r="M175" s="195">
        <f t="shared" si="5"/>
        <v>6.0877318010633251E-2</v>
      </c>
      <c r="N175">
        <v>3.2290818845577801E-2</v>
      </c>
      <c r="O175" s="188">
        <v>0</v>
      </c>
      <c r="P175" s="188">
        <v>160.27000000000001</v>
      </c>
      <c r="Q175">
        <v>147.728267194708</v>
      </c>
      <c r="R175">
        <v>175.27411566789999</v>
      </c>
      <c r="S175">
        <v>8844.6875930120095</v>
      </c>
      <c r="T175">
        <v>7918.9512534818896</v>
      </c>
    </row>
    <row r="176" spans="1:20" x14ac:dyDescent="0.2">
      <c r="A176" s="161" t="s">
        <v>150</v>
      </c>
      <c r="B176" s="161">
        <v>534</v>
      </c>
      <c r="C176" t="str">
        <f>_xlfn.XLOOKUP(B176,'Country Code M49'!$B$2:$B$250,'Country Code M49'!$C$2:$C$250,,0)</f>
        <v>SXM</v>
      </c>
      <c r="D176" s="161" t="s">
        <v>745</v>
      </c>
      <c r="E176" s="162">
        <v>12.811309449374059</v>
      </c>
      <c r="F176" s="162">
        <v>543.19952065346013</v>
      </c>
      <c r="G176" s="160" t="s">
        <v>877</v>
      </c>
      <c r="H176" s="188">
        <f>_xlfn.XLOOKUP(D176,'[1]World Population'!$B$2:$B$267,'[1]World Population'!$BN$2:$BN$267,0)</f>
        <v>42310</v>
      </c>
      <c r="I176" s="188">
        <f>_xlfn.XLOOKUP(C176,'[4]Access to Electricity'!$B$6:$B$271,'[4]Access to Electricity'!$BM$6:$BM$271)</f>
        <v>100</v>
      </c>
      <c r="J176" s="194" t="e">
        <f>_xlfn.XLOOKUP(C176,'[2]GDP 2015 Constant'!$B$6:$B$271,'[2]GDP 2015 Constant'!$BM$6:$BM$271)</f>
        <v>#REF!</v>
      </c>
      <c r="K176" s="193" t="e">
        <f t="shared" si="4"/>
        <v>#REF!</v>
      </c>
      <c r="L176" s="194">
        <f>_xlfn.XLOOKUP(C176,'[5]Tourism Receipts'!$B$6:$B$271,'[5]Tourism Receipts'!$BK$6:$BK$271)</f>
        <v>468000000</v>
      </c>
      <c r="M176" s="195" t="e">
        <f t="shared" si="5"/>
        <v>#REF!</v>
      </c>
      <c r="N176">
        <v>0</v>
      </c>
      <c r="O176" s="188">
        <v>0</v>
      </c>
      <c r="P176" s="188">
        <v>0</v>
      </c>
      <c r="Q176">
        <v>104.24128180961399</v>
      </c>
      <c r="R176">
        <v>0</v>
      </c>
      <c r="S176">
        <v>0</v>
      </c>
      <c r="T176">
        <v>1244.4117647058799</v>
      </c>
    </row>
    <row r="177" spans="1:20" x14ac:dyDescent="0.2">
      <c r="A177" s="161" t="s">
        <v>156</v>
      </c>
      <c r="B177" s="161">
        <v>703</v>
      </c>
      <c r="C177" t="str">
        <f>_xlfn.XLOOKUP(B177,'Country Code M49'!$B$2:$B$250,'Country Code M49'!$C$2:$C$250,,0)</f>
        <v>SVK</v>
      </c>
      <c r="D177" s="161" t="s">
        <v>705</v>
      </c>
      <c r="E177" s="162">
        <v>12.811309449374059</v>
      </c>
      <c r="F177" s="162">
        <v>69911.315665234244</v>
      </c>
      <c r="G177" s="160" t="s">
        <v>877</v>
      </c>
      <c r="H177" s="188">
        <f>_xlfn.XLOOKUP(D177,'[1]World Population'!$B$2:$B$267,'[1]World Population'!$BN$2:$BN$267,0)</f>
        <v>5458827</v>
      </c>
      <c r="I177" s="188">
        <f>_xlfn.XLOOKUP(C177,'[4]Access to Electricity'!$B$6:$B$271,'[4]Access to Electricity'!$BM$6:$BM$271)</f>
        <v>100</v>
      </c>
      <c r="J177" s="194">
        <f>_xlfn.XLOOKUP(C177,'[2]GDP 2015 Constant'!$B$6:$B$271,'[2]GDP 2015 Constant'!$BM$6:$BM$271)</f>
        <v>94769119000</v>
      </c>
      <c r="K177" s="193">
        <f t="shared" si="4"/>
        <v>17360.711193082323</v>
      </c>
      <c r="L177" s="194">
        <f>_xlfn.XLOOKUP(C177,'[5]Tourism Receipts'!$B$6:$B$271,'[5]Tourism Receipts'!$BK$6:$BK$271)</f>
        <v>3318000000</v>
      </c>
      <c r="M177" s="195">
        <f t="shared" si="5"/>
        <v>3.5011404928223508E-2</v>
      </c>
      <c r="N177">
        <v>1.6674607112729301</v>
      </c>
      <c r="O177" s="188">
        <v>2524162</v>
      </c>
      <c r="P177" s="188">
        <v>101.26</v>
      </c>
      <c r="Q177">
        <v>94.409808177848404</v>
      </c>
      <c r="R177">
        <v>92.264785590996894</v>
      </c>
      <c r="S177">
        <v>5137.0738351939799</v>
      </c>
      <c r="T177">
        <v>113.536335274542</v>
      </c>
    </row>
    <row r="178" spans="1:20" x14ac:dyDescent="0.2">
      <c r="A178" s="161" t="s">
        <v>155</v>
      </c>
      <c r="B178" s="161">
        <v>705</v>
      </c>
      <c r="C178" t="str">
        <f>_xlfn.XLOOKUP(B178,'Country Code M49'!$B$2:$B$250,'Country Code M49'!$C$2:$C$250,,0)</f>
        <v>SVN</v>
      </c>
      <c r="D178" s="161" t="s">
        <v>134</v>
      </c>
      <c r="E178" s="162">
        <v>6.6917686763528197</v>
      </c>
      <c r="F178" s="162">
        <v>13910.179547534606</v>
      </c>
      <c r="G178" s="160" t="s">
        <v>881</v>
      </c>
      <c r="H178" s="188">
        <f>_xlfn.XLOOKUP(D178,'[1]World Population'!$B$2:$B$267,'[1]World Population'!$BN$2:$BN$267,0)</f>
        <v>2102419</v>
      </c>
      <c r="I178" s="188">
        <f>_xlfn.XLOOKUP(C178,'[4]Access to Electricity'!$B$6:$B$271,'[4]Access to Electricity'!$BM$6:$BM$271)</f>
        <v>100</v>
      </c>
      <c r="J178" s="194">
        <f>_xlfn.XLOOKUP(C178,'[2]GDP 2015 Constant'!$B$6:$B$271,'[2]GDP 2015 Constant'!$BM$6:$BM$271)</f>
        <v>48144051030</v>
      </c>
      <c r="K178" s="193">
        <f t="shared" si="4"/>
        <v>22899.360703075839</v>
      </c>
      <c r="L178" s="194">
        <f>_xlfn.XLOOKUP(C178,'[5]Tourism Receipts'!$B$6:$B$271,'[5]Tourism Receipts'!$BK$6:$BK$271)</f>
        <v>3377500000</v>
      </c>
      <c r="M178" s="195">
        <f t="shared" si="5"/>
        <v>7.0154046610979598E-2</v>
      </c>
      <c r="N178">
        <v>1.9568088364693399</v>
      </c>
      <c r="O178" s="188">
        <v>943608</v>
      </c>
      <c r="P178" s="188">
        <v>104.9</v>
      </c>
      <c r="Q178">
        <v>76.369871443877798</v>
      </c>
      <c r="R178">
        <v>83.963468174124699</v>
      </c>
      <c r="S178">
        <v>6727.9993016421104</v>
      </c>
      <c r="T178">
        <v>104.408881428657</v>
      </c>
    </row>
    <row r="179" spans="1:20" ht="25" x14ac:dyDescent="0.2">
      <c r="A179" s="161" t="s">
        <v>874</v>
      </c>
      <c r="B179" s="161">
        <v>90</v>
      </c>
      <c r="C179" t="str">
        <f>_xlfn.XLOOKUP(B179,'Country Code M49'!$B$2:$B$250,'Country Code M49'!$C$2:$C$250,,0)</f>
        <v>SLB</v>
      </c>
      <c r="D179" s="161" t="s">
        <v>755</v>
      </c>
      <c r="E179" s="162">
        <v>15.640228594822497</v>
      </c>
      <c r="F179" s="162">
        <v>10475.82511281211</v>
      </c>
      <c r="G179" s="160" t="s">
        <v>872</v>
      </c>
      <c r="H179" s="188">
        <f>_xlfn.XLOOKUP(D179,'[1]World Population'!$B$2:$B$267,'[1]World Population'!$BN$2:$BN$267,0)</f>
        <v>686878</v>
      </c>
      <c r="I179" s="188">
        <f>_xlfn.XLOOKUP(C179,'[4]Access to Electricity'!$B$6:$B$271,'[4]Access to Electricity'!$BM$6:$BM$271)</f>
        <v>73.346481323242202</v>
      </c>
      <c r="J179" s="194">
        <f>_xlfn.XLOOKUP(C179,'[2]GDP 2015 Constant'!$B$6:$B$271,'[2]GDP 2015 Constant'!$BM$6:$BM$271)</f>
        <v>1467328739</v>
      </c>
      <c r="K179" s="193">
        <f t="shared" si="4"/>
        <v>2136.2290523207907</v>
      </c>
      <c r="L179" s="194">
        <f>_xlfn.XLOOKUP(C179,'[5]Tourism Receipts'!$B$6:$B$271,'[5]Tourism Receipts'!$BK$6:$BK$271)</f>
        <v>92000000</v>
      </c>
      <c r="M179" s="195">
        <f t="shared" si="5"/>
        <v>6.2698969600158569E-2</v>
      </c>
      <c r="N179">
        <v>0</v>
      </c>
      <c r="O179" s="188">
        <v>517425</v>
      </c>
      <c r="P179" s="188">
        <v>105.85</v>
      </c>
      <c r="Q179">
        <v>47.574869062751802</v>
      </c>
      <c r="R179">
        <v>37.641599781812502</v>
      </c>
      <c r="S179">
        <v>0</v>
      </c>
      <c r="T179">
        <v>24.540121471954301</v>
      </c>
    </row>
    <row r="180" spans="1:20" ht="25" x14ac:dyDescent="0.2">
      <c r="A180" s="161" t="s">
        <v>154</v>
      </c>
      <c r="B180" s="161">
        <v>706</v>
      </c>
      <c r="C180" t="str">
        <f>_xlfn.XLOOKUP(B180,'Country Code M49'!$B$2:$B$250,'Country Code M49'!$C$2:$C$250,,0)</f>
        <v>SOM</v>
      </c>
      <c r="D180" s="161" t="s">
        <v>850</v>
      </c>
      <c r="E180" s="162">
        <v>15.640228594822497</v>
      </c>
      <c r="F180" s="162">
        <v>241530.48616698434</v>
      </c>
      <c r="G180" s="160" t="s">
        <v>872</v>
      </c>
      <c r="H180" s="188">
        <f>_xlfn.XLOOKUP(D180,'[1]World Population'!$B$2:$B$267,'[1]World Population'!$BN$2:$BN$267,0)</f>
        <v>15893219</v>
      </c>
      <c r="I180" s="188">
        <f>_xlfn.XLOOKUP(C180,'[4]Access to Electricity'!$B$6:$B$271,'[4]Access to Electricity'!$BM$6:$BM$271)</f>
        <v>49.730869293212898</v>
      </c>
      <c r="J180" s="194">
        <f>_xlfn.XLOOKUP(C180,'[2]GDP 2015 Constant'!$B$6:$B$271,'[2]GDP 2015 Constant'!$BM$6:$BM$271)</f>
        <v>7069119939</v>
      </c>
      <c r="K180" s="193">
        <f t="shared" si="4"/>
        <v>444.78843077667273</v>
      </c>
      <c r="L180" s="194">
        <f>_xlfn.XLOOKUP(C180,'[5]Tourism Receipts'!$B$6:$B$271,'[5]Tourism Receipts'!$BK$6:$BK$271)</f>
        <v>0</v>
      </c>
      <c r="M180" s="195">
        <f t="shared" si="5"/>
        <v>0</v>
      </c>
      <c r="N180">
        <v>0</v>
      </c>
      <c r="O180" s="188">
        <v>8559929</v>
      </c>
      <c r="P180" s="188">
        <v>99.55</v>
      </c>
      <c r="Q180">
        <v>87.562511937012601</v>
      </c>
      <c r="R180">
        <v>17.462665198879801</v>
      </c>
      <c r="S180">
        <v>0</v>
      </c>
      <c r="T180">
        <v>25.334298785347698</v>
      </c>
    </row>
    <row r="181" spans="1:20" ht="25" x14ac:dyDescent="0.2">
      <c r="A181" s="161" t="s">
        <v>154</v>
      </c>
      <c r="B181" s="161">
        <v>710</v>
      </c>
      <c r="C181" t="str">
        <f>_xlfn.XLOOKUP(B181,'Country Code M49'!$B$2:$B$250,'Country Code M49'!$C$2:$C$250,,0)</f>
        <v>ZAF</v>
      </c>
      <c r="D181" s="161" t="s">
        <v>135</v>
      </c>
      <c r="E181" s="162">
        <v>15.640228594822497</v>
      </c>
      <c r="F181" s="162">
        <v>915865.19812419428</v>
      </c>
      <c r="G181" s="160" t="s">
        <v>872</v>
      </c>
      <c r="H181" s="188">
        <f>_xlfn.XLOOKUP(D181,'[1]World Population'!$B$2:$B$267,'[1]World Population'!$BN$2:$BN$267,0)</f>
        <v>59308690</v>
      </c>
      <c r="I181" s="188">
        <f>_xlfn.XLOOKUP(C181,'[4]Access to Electricity'!$B$6:$B$271,'[4]Access to Electricity'!$BM$6:$BM$271)</f>
        <v>84.385536193847699</v>
      </c>
      <c r="J181" s="194">
        <f>_xlfn.XLOOKUP(C181,'[2]GDP 2015 Constant'!$B$6:$B$271,'[2]GDP 2015 Constant'!$BM$6:$BM$271)</f>
        <v>335640000000</v>
      </c>
      <c r="K181" s="193">
        <f t="shared" si="4"/>
        <v>5659.2044100114163</v>
      </c>
      <c r="L181" s="194">
        <f>_xlfn.XLOOKUP(C181,'[5]Tourism Receipts'!$B$6:$B$271,'[5]Tourism Receipts'!$BK$6:$BK$271)</f>
        <v>9789000000</v>
      </c>
      <c r="M181" s="195">
        <f t="shared" si="5"/>
        <v>2.9165176975330713E-2</v>
      </c>
      <c r="N181">
        <v>1.96430245840516</v>
      </c>
      <c r="O181" s="188">
        <v>19361915</v>
      </c>
      <c r="P181" s="188">
        <v>111</v>
      </c>
      <c r="Q181">
        <v>27.018995448259901</v>
      </c>
      <c r="R181">
        <v>27.342180492264799</v>
      </c>
      <c r="S181">
        <v>4198.0461198209496</v>
      </c>
      <c r="T181">
        <v>48.890593443190497</v>
      </c>
    </row>
    <row r="182" spans="1:20" ht="25" x14ac:dyDescent="0.2">
      <c r="A182" s="161" t="s">
        <v>154</v>
      </c>
      <c r="B182" s="161">
        <v>728</v>
      </c>
      <c r="C182" t="str">
        <f>_xlfn.XLOOKUP(B182,'Country Code M49'!$B$2:$B$250,'Country Code M49'!$C$2:$C$250,,0)</f>
        <v>SSD</v>
      </c>
      <c r="D182" s="161" t="s">
        <v>851</v>
      </c>
      <c r="E182" s="162">
        <v>15.640228594822497</v>
      </c>
      <c r="F182" s="162">
        <v>173013.77273878595</v>
      </c>
      <c r="G182" s="160" t="s">
        <v>872</v>
      </c>
      <c r="H182" s="188">
        <f>_xlfn.XLOOKUP(D182,'[1]World Population'!$B$2:$B$267,'[1]World Population'!$BN$2:$BN$267,0)</f>
        <v>11193729</v>
      </c>
      <c r="I182" s="188">
        <f>_xlfn.XLOOKUP(C182,'[4]Access to Electricity'!$B$6:$B$271,'[4]Access to Electricity'!$BM$6:$BM$271)</f>
        <v>7.2413382530212402</v>
      </c>
      <c r="J182" s="194" t="e">
        <f>_xlfn.XLOOKUP(C182,'[2]GDP 2015 Constant'!$B$6:$B$271,'[2]GDP 2015 Constant'!$BM$6:$BM$271)</f>
        <v>#REF!</v>
      </c>
      <c r="K182" s="193" t="e">
        <f t="shared" si="4"/>
        <v>#REF!</v>
      </c>
      <c r="L182" s="194">
        <f>_xlfn.XLOOKUP(C182,'[5]Tourism Receipts'!$B$6:$B$271,'[5]Tourism Receipts'!$BK$6:$BK$271)</f>
        <v>12000000</v>
      </c>
      <c r="M182" s="195" t="e">
        <f t="shared" si="5"/>
        <v>#REF!</v>
      </c>
      <c r="N182">
        <v>10.2201185288727</v>
      </c>
      <c r="O182" s="188">
        <v>8932708</v>
      </c>
      <c r="P182" s="188">
        <v>102.53</v>
      </c>
      <c r="Q182">
        <v>0</v>
      </c>
      <c r="R182">
        <v>0</v>
      </c>
      <c r="S182">
        <v>43.581728341444297</v>
      </c>
      <c r="T182">
        <v>17.713558463753898</v>
      </c>
    </row>
    <row r="183" spans="1:20" x14ac:dyDescent="0.2">
      <c r="A183" s="161" t="s">
        <v>155</v>
      </c>
      <c r="B183" s="161">
        <v>724</v>
      </c>
      <c r="C183" t="str">
        <f>_xlfn.XLOOKUP(B183,'Country Code M49'!$B$2:$B$250,'Country Code M49'!$C$2:$C$250,,0)</f>
        <v>ESP</v>
      </c>
      <c r="D183" s="161" t="s">
        <v>136</v>
      </c>
      <c r="E183" s="162">
        <v>12.811309449374059</v>
      </c>
      <c r="F183" s="162">
        <v>598759.60747350554</v>
      </c>
      <c r="G183" s="160" t="s">
        <v>877</v>
      </c>
      <c r="H183" s="188">
        <f>_xlfn.XLOOKUP(D183,'[1]World Population'!$B$2:$B$267,'[1]World Population'!$BN$2:$BN$267,0)</f>
        <v>47363419</v>
      </c>
      <c r="I183" s="188">
        <f>_xlfn.XLOOKUP(C183,'[4]Access to Electricity'!$B$6:$B$271,'[4]Access to Electricity'!$BM$6:$BM$271)</f>
        <v>100</v>
      </c>
      <c r="J183" s="194">
        <f>_xlfn.XLOOKUP(C183,'[2]GDP 2015 Constant'!$B$6:$B$271,'[2]GDP 2015 Constant'!$BM$6:$BM$271)</f>
        <v>1181210000000</v>
      </c>
      <c r="K183" s="193">
        <f t="shared" si="4"/>
        <v>24939.289116775966</v>
      </c>
      <c r="L183" s="194">
        <f>_xlfn.XLOOKUP(C183,'[5]Tourism Receipts'!$B$6:$B$271,'[5]Tourism Receipts'!$BK$6:$BK$271)</f>
        <v>0</v>
      </c>
      <c r="M183" s="195">
        <f t="shared" si="5"/>
        <v>0</v>
      </c>
      <c r="N183">
        <v>2.5946358613761902</v>
      </c>
      <c r="O183" s="188">
        <v>9089040</v>
      </c>
      <c r="P183" s="188">
        <v>117.59</v>
      </c>
      <c r="Q183">
        <v>32.445549960565401</v>
      </c>
      <c r="R183">
        <v>34.954655951783003</v>
      </c>
      <c r="S183">
        <v>5355.9870055822103</v>
      </c>
      <c r="T183">
        <v>94.810907780037596</v>
      </c>
    </row>
    <row r="184" spans="1:20" ht="25" x14ac:dyDescent="0.2">
      <c r="A184" s="161" t="s">
        <v>149</v>
      </c>
      <c r="B184" s="161">
        <v>144</v>
      </c>
      <c r="C184" t="str">
        <f>_xlfn.XLOOKUP(B184,'Country Code M49'!$B$2:$B$250,'Country Code M49'!$C$2:$C$250,,0)</f>
        <v>LKA</v>
      </c>
      <c r="D184" s="161" t="s">
        <v>137</v>
      </c>
      <c r="E184" s="162">
        <v>15.640228594822497</v>
      </c>
      <c r="F184" s="162">
        <v>333507.54248741653</v>
      </c>
      <c r="G184" s="160" t="s">
        <v>872</v>
      </c>
      <c r="H184" s="188">
        <f>_xlfn.XLOOKUP(D184,'[1]World Population'!$B$2:$B$267,'[1]World Population'!$BN$2:$BN$267,0)</f>
        <v>21919000</v>
      </c>
      <c r="I184" s="188">
        <f>_xlfn.XLOOKUP(C184,'[4]Access to Electricity'!$B$6:$B$271,'[4]Access to Electricity'!$BM$6:$BM$271)</f>
        <v>100</v>
      </c>
      <c r="J184" s="194">
        <f>_xlfn.XLOOKUP(C184,'[2]GDP 2015 Constant'!$B$6:$B$271,'[2]GDP 2015 Constant'!$BM$6:$BM$271)</f>
        <v>88853624203</v>
      </c>
      <c r="K184" s="193">
        <f t="shared" si="4"/>
        <v>4053.7261829006798</v>
      </c>
      <c r="L184" s="194">
        <f>_xlfn.XLOOKUP(C184,'[5]Tourism Receipts'!$B$6:$B$271,'[5]Tourism Receipts'!$BK$6:$BK$271)</f>
        <v>5608000000</v>
      </c>
      <c r="M184" s="195">
        <f t="shared" si="5"/>
        <v>6.3115039485476102E-2</v>
      </c>
      <c r="N184">
        <v>7.5788705994159802</v>
      </c>
      <c r="O184" s="188">
        <v>17817298</v>
      </c>
      <c r="P184" s="188">
        <v>126.18</v>
      </c>
      <c r="Q184">
        <v>30.468966506444598</v>
      </c>
      <c r="R184">
        <v>23.153299138717902</v>
      </c>
      <c r="S184">
        <v>531.09057657137396</v>
      </c>
      <c r="T184">
        <v>354.33236340122897</v>
      </c>
    </row>
    <row r="185" spans="1:20" ht="25" x14ac:dyDescent="0.2">
      <c r="A185" s="161" t="s">
        <v>148</v>
      </c>
      <c r="B185" s="161">
        <v>275</v>
      </c>
      <c r="C185" t="str">
        <f>_xlfn.XLOOKUP(B185,'Country Code M49'!$B$2:$B$250,'Country Code M49'!$C$2:$C$250,,0)</f>
        <v>PSE</v>
      </c>
      <c r="D185" s="161" t="s">
        <v>863</v>
      </c>
      <c r="E185" s="162">
        <v>15.640228594822497</v>
      </c>
      <c r="F185" s="162">
        <v>77910.234722248788</v>
      </c>
      <c r="G185" s="160" t="s">
        <v>872</v>
      </c>
      <c r="H185" s="188">
        <f>_xlfn.XLOOKUP(D185,'[1]World Population'!$B$2:$B$267,'[1]World Population'!$BN$2:$BN$267,0)</f>
        <v>4803269</v>
      </c>
      <c r="I185" s="188">
        <f>_xlfn.XLOOKUP(C185,'[4]Access to Electricity'!$B$6:$B$271,'[4]Access to Electricity'!$BM$6:$BM$271)</f>
        <v>100</v>
      </c>
      <c r="J185" s="194">
        <f>_xlfn.XLOOKUP(C185,'[2]GDP 2015 Constant'!$B$6:$B$271,'[2]GDP 2015 Constant'!$BM$6:$BM$271)</f>
        <v>14037400000</v>
      </c>
      <c r="K185" s="193">
        <f t="shared" si="4"/>
        <v>2922.4680108484449</v>
      </c>
      <c r="L185" s="194">
        <f>_xlfn.XLOOKUP(C185,'[5]Tourism Receipts'!$B$6:$B$271,'[5]Tourism Receipts'!$BK$6:$BK$271)</f>
        <v>245000000</v>
      </c>
      <c r="M185" s="195">
        <f t="shared" si="5"/>
        <v>1.745337455654181E-2</v>
      </c>
      <c r="N185">
        <v>7.0540169842705804</v>
      </c>
      <c r="O185" s="188">
        <v>1118249</v>
      </c>
      <c r="P185" s="188">
        <v>107.64</v>
      </c>
      <c r="Q185">
        <v>55.439710996153998</v>
      </c>
      <c r="R185">
        <v>15.521055242653301</v>
      </c>
      <c r="S185">
        <v>0</v>
      </c>
      <c r="T185">
        <v>797.88521594684403</v>
      </c>
    </row>
    <row r="186" spans="1:20" ht="25" x14ac:dyDescent="0.2">
      <c r="A186" s="161" t="s">
        <v>876</v>
      </c>
      <c r="B186" s="161">
        <v>729</v>
      </c>
      <c r="C186" t="str">
        <f>_xlfn.XLOOKUP(B186,'Country Code M49'!$B$2:$B$250,'Country Code M49'!$C$2:$C$250,,0)</f>
        <v>SDN</v>
      </c>
      <c r="D186" s="161" t="s">
        <v>768</v>
      </c>
      <c r="E186" s="162">
        <v>15.640228594822497</v>
      </c>
      <c r="F186" s="162">
        <v>669608.23487585445</v>
      </c>
      <c r="G186" s="160" t="s">
        <v>872</v>
      </c>
      <c r="H186" s="188">
        <f>_xlfn.XLOOKUP(D186,'[1]World Population'!$B$2:$B$267,'[1]World Population'!$BN$2:$BN$267,0)</f>
        <v>43849269</v>
      </c>
      <c r="I186" s="188">
        <f>_xlfn.XLOOKUP(C186,'[4]Access to Electricity'!$B$6:$B$271,'[4]Access to Electricity'!$BM$6:$BM$271)</f>
        <v>55.389701843261697</v>
      </c>
      <c r="J186" s="194">
        <f>_xlfn.XLOOKUP(C186,'[2]GDP 2015 Constant'!$B$6:$B$271,'[2]GDP 2015 Constant'!$BM$6:$BM$271)</f>
        <v>81244318743</v>
      </c>
      <c r="K186" s="193">
        <f t="shared" si="4"/>
        <v>1852.8089657093258</v>
      </c>
      <c r="L186" s="194">
        <f>_xlfn.XLOOKUP(C186,'[5]Tourism Receipts'!$B$6:$B$271,'[5]Tourism Receipts'!$BK$6:$BK$271)</f>
        <v>1043000000</v>
      </c>
      <c r="M186" s="195">
        <f t="shared" si="5"/>
        <v>1.283782073795609E-2</v>
      </c>
      <c r="N186">
        <v>20.164015348444298</v>
      </c>
      <c r="O186" s="188">
        <v>28391086</v>
      </c>
      <c r="P186" s="188">
        <v>114.82</v>
      </c>
      <c r="Q186">
        <v>0.683885496149084</v>
      </c>
      <c r="R186">
        <v>0.63057414727658201</v>
      </c>
      <c r="S186">
        <v>256.75622906384098</v>
      </c>
      <c r="T186">
        <v>23.473912740899401</v>
      </c>
    </row>
    <row r="187" spans="1:20" ht="25" x14ac:dyDescent="0.2">
      <c r="A187" s="161" t="s">
        <v>150</v>
      </c>
      <c r="B187" s="161">
        <v>740</v>
      </c>
      <c r="C187" t="str">
        <f>_xlfn.XLOOKUP(B187,'Country Code M49'!$B$2:$B$250,'Country Code M49'!$C$2:$C$250,,0)</f>
        <v>SUR</v>
      </c>
      <c r="D187" s="161" t="s">
        <v>746</v>
      </c>
      <c r="E187" s="162">
        <v>15.640228594822497</v>
      </c>
      <c r="F187" s="162">
        <v>9093.2289050298004</v>
      </c>
      <c r="G187" s="160" t="s">
        <v>872</v>
      </c>
      <c r="H187" s="188">
        <f>_xlfn.XLOOKUP(D187,'[1]World Population'!$B$2:$B$267,'[1]World Population'!$BN$2:$BN$267,0)</f>
        <v>586634</v>
      </c>
      <c r="I187" s="188">
        <f>_xlfn.XLOOKUP(C187,'[4]Access to Electricity'!$B$6:$B$271,'[4]Access to Electricity'!$BM$6:$BM$271)</f>
        <v>98.204772949218807</v>
      </c>
      <c r="J187" s="194">
        <f>_xlfn.XLOOKUP(C187,'[2]GDP 2015 Constant'!$B$6:$B$271,'[2]GDP 2015 Constant'!$BM$6:$BM$271)</f>
        <v>4417127638</v>
      </c>
      <c r="K187" s="193">
        <f t="shared" si="4"/>
        <v>7529.6141001033011</v>
      </c>
      <c r="L187" s="194">
        <f>_xlfn.XLOOKUP(C187,'[5]Tourism Receipts'!$B$6:$B$271,'[5]Tourism Receipts'!$BK$6:$BK$271)</f>
        <v>73000000</v>
      </c>
      <c r="M187" s="195">
        <f t="shared" si="5"/>
        <v>1.6526576993607808E-2</v>
      </c>
      <c r="N187">
        <v>8.6649938061811103</v>
      </c>
      <c r="O187" s="188">
        <v>198581</v>
      </c>
      <c r="P187" s="188">
        <v>99.78</v>
      </c>
      <c r="Q187">
        <v>0</v>
      </c>
      <c r="R187">
        <v>0</v>
      </c>
      <c r="S187">
        <v>3596.7452166903399</v>
      </c>
      <c r="T187">
        <v>3.7604743589743599</v>
      </c>
    </row>
    <row r="188" spans="1:20" x14ac:dyDescent="0.2">
      <c r="A188" s="161" t="s">
        <v>153</v>
      </c>
      <c r="B188" s="161">
        <v>752</v>
      </c>
      <c r="C188" t="str">
        <f>_xlfn.XLOOKUP(B188,'Country Code M49'!$B$2:$B$250,'Country Code M49'!$C$2:$C$250,,0)</f>
        <v>SWE</v>
      </c>
      <c r="D188" s="161" t="s">
        <v>138</v>
      </c>
      <c r="E188" s="162">
        <v>10</v>
      </c>
      <c r="F188" s="162">
        <v>100364</v>
      </c>
      <c r="G188" s="160" t="s">
        <v>880</v>
      </c>
      <c r="H188" s="188">
        <f>_xlfn.XLOOKUP(D188,'[1]World Population'!$B$2:$B$267,'[1]World Population'!$BN$2:$BN$267,0)</f>
        <v>10353442</v>
      </c>
      <c r="I188" s="188">
        <f>_xlfn.XLOOKUP(C188,'[4]Access to Electricity'!$B$6:$B$271,'[4]Access to Electricity'!$BM$6:$BM$271)</f>
        <v>100</v>
      </c>
      <c r="J188" s="194">
        <f>_xlfn.XLOOKUP(C188,'[2]GDP 2015 Constant'!$B$6:$B$271,'[2]GDP 2015 Constant'!$BM$6:$BM$271)</f>
        <v>533634000000</v>
      </c>
      <c r="K188" s="193">
        <f t="shared" si="4"/>
        <v>51541.699852087841</v>
      </c>
      <c r="L188" s="194">
        <f>_xlfn.XLOOKUP(C188,'[5]Tourism Receipts'!$B$6:$B$271,'[5]Tourism Receipts'!$BK$6:$BK$271)</f>
        <v>0</v>
      </c>
      <c r="M188" s="195">
        <f t="shared" si="5"/>
        <v>0</v>
      </c>
      <c r="N188">
        <v>1.39212483159621</v>
      </c>
      <c r="O188" s="188">
        <v>1244794</v>
      </c>
      <c r="P188" s="188">
        <v>101.23</v>
      </c>
      <c r="Q188">
        <v>43.448136882790799</v>
      </c>
      <c r="R188">
        <v>47.809210952351101</v>
      </c>
      <c r="S188">
        <v>13480.148224391</v>
      </c>
      <c r="T188">
        <v>25.420723369684399</v>
      </c>
    </row>
    <row r="189" spans="1:20" x14ac:dyDescent="0.2">
      <c r="A189" s="161" t="s">
        <v>147</v>
      </c>
      <c r="B189" s="161">
        <v>756</v>
      </c>
      <c r="C189" t="str">
        <f>_xlfn.XLOOKUP(B189,'Country Code M49'!$B$2:$B$250,'Country Code M49'!$C$2:$C$250,,0)</f>
        <v>CHE</v>
      </c>
      <c r="D189" s="161" t="s">
        <v>139</v>
      </c>
      <c r="E189" s="162">
        <v>12.811309449374059</v>
      </c>
      <c r="F189" s="162">
        <v>110067.0840033523</v>
      </c>
      <c r="G189" s="160" t="s">
        <v>877</v>
      </c>
      <c r="H189" s="188">
        <f>_xlfn.XLOOKUP(D189,'[1]World Population'!$B$2:$B$267,'[1]World Population'!$BN$2:$BN$267,0)</f>
        <v>8636561</v>
      </c>
      <c r="I189" s="188">
        <f>_xlfn.XLOOKUP(C189,'[4]Access to Electricity'!$B$6:$B$271,'[4]Access to Electricity'!$BM$6:$BM$271)</f>
        <v>100</v>
      </c>
      <c r="J189" s="194">
        <f>_xlfn.XLOOKUP(C189,'[2]GDP 2015 Constant'!$B$6:$B$271,'[2]GDP 2015 Constant'!$BM$6:$BM$271)</f>
        <v>740026000000</v>
      </c>
      <c r="K189" s="193">
        <f t="shared" si="4"/>
        <v>85685.26291888635</v>
      </c>
      <c r="L189" s="194">
        <f>_xlfn.XLOOKUP(C189,'[5]Tourism Receipts'!$B$6:$B$271,'[5]Tourism Receipts'!$BK$6:$BK$271)</f>
        <v>21294000000</v>
      </c>
      <c r="M189" s="195">
        <f t="shared" si="5"/>
        <v>2.8774664673943889E-2</v>
      </c>
      <c r="N189">
        <v>0.63051050855248003</v>
      </c>
      <c r="O189" s="188">
        <v>2252847</v>
      </c>
      <c r="P189" s="188">
        <v>98.27</v>
      </c>
      <c r="Q189">
        <v>53.820979875051997</v>
      </c>
      <c r="R189">
        <v>65.531704279317694</v>
      </c>
      <c r="S189">
        <v>7520.1660249450197</v>
      </c>
      <c r="T189">
        <v>218.55841793823899</v>
      </c>
    </row>
    <row r="190" spans="1:20" ht="25" x14ac:dyDescent="0.2">
      <c r="A190" s="161" t="s">
        <v>148</v>
      </c>
      <c r="B190" s="161">
        <v>760</v>
      </c>
      <c r="C190" t="str">
        <f>_xlfn.XLOOKUP(B190,'Country Code M49'!$B$2:$B$250,'Country Code M49'!$C$2:$C$250,,0)</f>
        <v>SYR</v>
      </c>
      <c r="D190" s="161" t="s">
        <v>864</v>
      </c>
      <c r="E190" s="162">
        <v>15.640228594822497</v>
      </c>
      <c r="F190" s="162">
        <v>266980.26613647951</v>
      </c>
      <c r="G190" s="160" t="s">
        <v>872</v>
      </c>
      <c r="H190" s="188">
        <f>_xlfn.XLOOKUP(D190,'[1]World Population'!$B$2:$B$267,'[1]World Population'!$BN$2:$BN$267,0)</f>
        <v>17500657</v>
      </c>
      <c r="I190" s="188">
        <f>_xlfn.XLOOKUP(C190,'[4]Access to Electricity'!$B$6:$B$271,'[4]Access to Electricity'!$BM$6:$BM$271)</f>
        <v>89.140319824218807</v>
      </c>
      <c r="J190" s="194" t="e">
        <f>_xlfn.XLOOKUP(C190,'[2]GDP 2015 Constant'!$B$6:$B$271,'[2]GDP 2015 Constant'!$BM$6:$BM$271)</f>
        <v>#REF!</v>
      </c>
      <c r="K190" s="193" t="e">
        <f t="shared" si="4"/>
        <v>#REF!</v>
      </c>
      <c r="L190" s="194">
        <f>_xlfn.XLOOKUP(C190,'[5]Tourism Receipts'!$B$6:$B$271,'[5]Tourism Receipts'!$BK$6:$BK$271)</f>
        <v>0</v>
      </c>
      <c r="M190" s="195" t="e">
        <f t="shared" si="5"/>
        <v>#REF!</v>
      </c>
      <c r="N190">
        <v>0</v>
      </c>
      <c r="O190" s="188">
        <v>7792168</v>
      </c>
      <c r="P190" s="188">
        <v>123.2</v>
      </c>
      <c r="Q190">
        <v>35.714346114258397</v>
      </c>
      <c r="R190">
        <v>12.6938729291338</v>
      </c>
      <c r="S190">
        <v>974.57547177122206</v>
      </c>
      <c r="T190">
        <v>95.3039100364864</v>
      </c>
    </row>
    <row r="191" spans="1:20" ht="25" x14ac:dyDescent="0.2">
      <c r="A191" s="161" t="s">
        <v>871</v>
      </c>
      <c r="B191" s="161">
        <v>762</v>
      </c>
      <c r="C191" t="str">
        <f>_xlfn.XLOOKUP(B191,'Country Code M49'!$B$2:$B$250,'Country Code M49'!$C$2:$C$250,,0)</f>
        <v>TJK</v>
      </c>
      <c r="D191" s="161" t="s">
        <v>692</v>
      </c>
      <c r="E191" s="162">
        <v>15.640228594822497</v>
      </c>
      <c r="F191" s="162">
        <v>145782.57073234048</v>
      </c>
      <c r="G191" s="160" t="s">
        <v>872</v>
      </c>
      <c r="H191" s="188">
        <f>_xlfn.XLOOKUP(D191,'[1]World Population'!$B$2:$B$267,'[1]World Population'!$BN$2:$BN$267,0)</f>
        <v>9537642</v>
      </c>
      <c r="I191" s="188">
        <f>_xlfn.XLOOKUP(C191,'[4]Access to Electricity'!$B$6:$B$271,'[4]Access to Electricity'!$BM$6:$BM$271)</f>
        <v>99.779296875</v>
      </c>
      <c r="J191" s="194">
        <f>_xlfn.XLOOKUP(C191,'[2]GDP 2015 Constant'!$B$6:$B$271,'[2]GDP 2015 Constant'!$BM$6:$BM$271)</f>
        <v>11425168167</v>
      </c>
      <c r="K191" s="193">
        <f t="shared" si="4"/>
        <v>1197.9028115125311</v>
      </c>
      <c r="L191" s="194">
        <f>_xlfn.XLOOKUP(C191,'[5]Tourism Receipts'!$B$6:$B$271,'[5]Tourism Receipts'!$BK$6:$BK$271)</f>
        <v>170899993.90000001</v>
      </c>
      <c r="M191" s="195">
        <f t="shared" si="5"/>
        <v>1.4958203800765115E-2</v>
      </c>
      <c r="N191">
        <v>20.867073358800099</v>
      </c>
      <c r="O191" s="188">
        <v>6914218</v>
      </c>
      <c r="P191" s="188">
        <v>135.55000000000001</v>
      </c>
      <c r="Q191">
        <v>41.470632937044002</v>
      </c>
      <c r="R191">
        <v>14.9799392742745</v>
      </c>
      <c r="S191">
        <v>1499.4859943767201</v>
      </c>
      <c r="T191">
        <v>68.719951005115604</v>
      </c>
    </row>
    <row r="192" spans="1:20" ht="25" x14ac:dyDescent="0.2">
      <c r="A192" s="161" t="s">
        <v>157</v>
      </c>
      <c r="B192" s="161">
        <v>764</v>
      </c>
      <c r="C192" t="str">
        <f>_xlfn.XLOOKUP(B192,'Country Code M49'!$B$2:$B$250,'Country Code M49'!$C$2:$C$250,,0)</f>
        <v>THA</v>
      </c>
      <c r="D192" s="161" t="s">
        <v>795</v>
      </c>
      <c r="E192" s="162">
        <v>15.640228594822497</v>
      </c>
      <c r="F192" s="162">
        <v>1088960.3000516731</v>
      </c>
      <c r="G192" s="160" t="s">
        <v>872</v>
      </c>
      <c r="H192" s="188">
        <f>_xlfn.XLOOKUP(D192,'[1]World Population'!$B$2:$B$267,'[1]World Population'!$BN$2:$BN$267,0)</f>
        <v>69799978</v>
      </c>
      <c r="I192" s="188">
        <f>_xlfn.XLOOKUP(C192,'[4]Access to Electricity'!$B$6:$B$271,'[4]Access to Electricity'!$BM$6:$BM$271)</f>
        <v>100</v>
      </c>
      <c r="J192" s="194">
        <f>_xlfn.XLOOKUP(C192,'[2]GDP 2015 Constant'!$B$6:$B$271,'[2]GDP 2015 Constant'!$BM$6:$BM$271)</f>
        <v>431857000000</v>
      </c>
      <c r="K192" s="193">
        <f t="shared" si="4"/>
        <v>6187.0649873270731</v>
      </c>
      <c r="L192" s="194">
        <f>_xlfn.XLOOKUP(C192,'[5]Tourism Receipts'!$B$6:$B$271,'[5]Tourism Receipts'!$BK$6:$BK$271)</f>
        <v>61383000000</v>
      </c>
      <c r="M192" s="195">
        <f t="shared" si="5"/>
        <v>0.14213732786547398</v>
      </c>
      <c r="N192">
        <v>8.1258797219650898</v>
      </c>
      <c r="O192" s="188">
        <v>33901849</v>
      </c>
      <c r="P192" s="188">
        <v>94.25</v>
      </c>
      <c r="Q192">
        <v>56.0037678316517</v>
      </c>
      <c r="R192">
        <v>59.507485343566401</v>
      </c>
      <c r="S192">
        <v>2538.7957126275901</v>
      </c>
      <c r="T192">
        <v>136.62427919904499</v>
      </c>
    </row>
    <row r="193" spans="1:20" ht="25" x14ac:dyDescent="0.2">
      <c r="A193" s="161" t="s">
        <v>157</v>
      </c>
      <c r="B193" s="161">
        <v>626</v>
      </c>
      <c r="C193" t="str">
        <f>_xlfn.XLOOKUP(B193,'Country Code M49'!$B$2:$B$250,'Country Code M49'!$C$2:$C$250,,0)</f>
        <v>TLS</v>
      </c>
      <c r="D193" s="161" t="s">
        <v>796</v>
      </c>
      <c r="E193" s="162">
        <v>15.640228594822497</v>
      </c>
      <c r="F193" s="162">
        <v>20224.379595964972</v>
      </c>
      <c r="G193" s="160" t="s">
        <v>872</v>
      </c>
      <c r="H193" s="188">
        <f>_xlfn.XLOOKUP(D193,'[1]World Population'!$B$2:$B$267,'[1]World Population'!$BN$2:$BN$267,0)</f>
        <v>1318442</v>
      </c>
      <c r="I193" s="188">
        <f>_xlfn.XLOOKUP(C193,'[4]Access to Electricity'!$B$6:$B$271,'[4]Access to Electricity'!$BM$6:$BM$271)</f>
        <v>96.123313903808594</v>
      </c>
      <c r="J193" s="194">
        <f>_xlfn.XLOOKUP(C193,'[2]GDP 2015 Constant'!$B$6:$B$271,'[2]GDP 2015 Constant'!$BM$6:$BM$271)</f>
        <v>2093497569</v>
      </c>
      <c r="K193" s="193">
        <f t="shared" si="4"/>
        <v>1587.8571594351515</v>
      </c>
      <c r="L193" s="194">
        <f>_xlfn.XLOOKUP(C193,'[5]Tourism Receipts'!$B$6:$B$271,'[5]Tourism Receipts'!$BK$6:$BK$271)</f>
        <v>78000000</v>
      </c>
      <c r="M193" s="195">
        <f t="shared" si="5"/>
        <v>3.7258223345947437E-2</v>
      </c>
      <c r="N193">
        <v>13.9725948868314</v>
      </c>
      <c r="O193" s="188">
        <v>905506</v>
      </c>
      <c r="P193" s="188">
        <v>97.34</v>
      </c>
      <c r="Q193">
        <v>59.535997826092697</v>
      </c>
      <c r="R193">
        <v>27.739572564846799</v>
      </c>
      <c r="S193">
        <v>0</v>
      </c>
      <c r="T193">
        <v>88.664559515803603</v>
      </c>
    </row>
    <row r="194" spans="1:20" ht="25" x14ac:dyDescent="0.2">
      <c r="A194" s="161" t="s">
        <v>154</v>
      </c>
      <c r="B194" s="161">
        <v>768</v>
      </c>
      <c r="C194" t="str">
        <f>_xlfn.XLOOKUP(B194,'Country Code M49'!$B$2:$B$250,'Country Code M49'!$C$2:$C$250,,0)</f>
        <v>TGO</v>
      </c>
      <c r="D194" s="161" t="s">
        <v>852</v>
      </c>
      <c r="E194" s="162">
        <v>15.640228594822497</v>
      </c>
      <c r="F194" s="162">
        <v>126410.58359479335</v>
      </c>
      <c r="G194" s="160" t="s">
        <v>872</v>
      </c>
      <c r="H194" s="188">
        <f>_xlfn.XLOOKUP(D194,'[1]World Population'!$B$2:$B$267,'[1]World Population'!$BN$2:$BN$267,0)</f>
        <v>8278737</v>
      </c>
      <c r="I194" s="188">
        <f>_xlfn.XLOOKUP(C194,'[4]Access to Electricity'!$B$6:$B$271,'[4]Access to Electricity'!$BM$6:$BM$271)</f>
        <v>53.997432708740199</v>
      </c>
      <c r="J194" s="194">
        <f>_xlfn.XLOOKUP(C194,'[2]GDP 2015 Constant'!$B$6:$B$271,'[2]GDP 2015 Constant'!$BM$6:$BM$271)</f>
        <v>5187639195</v>
      </c>
      <c r="K194" s="193">
        <f t="shared" ref="K194:K216" si="6">J194/H194</f>
        <v>626.62205539323213</v>
      </c>
      <c r="L194" s="194">
        <f>_xlfn.XLOOKUP(C194,'[5]Tourism Receipts'!$B$6:$B$271,'[5]Tourism Receipts'!$BK$6:$BK$271)</f>
        <v>269000000</v>
      </c>
      <c r="M194" s="195">
        <f t="shared" si="5"/>
        <v>5.1854030299422163E-2</v>
      </c>
      <c r="N194">
        <v>19.7552067611722</v>
      </c>
      <c r="O194" s="188">
        <v>4735438</v>
      </c>
      <c r="P194" s="188">
        <v>111.04</v>
      </c>
      <c r="Q194">
        <v>32.745458931609498</v>
      </c>
      <c r="R194">
        <v>23.0615819514862</v>
      </c>
      <c r="S194">
        <v>154.665237320778</v>
      </c>
      <c r="T194">
        <v>152.210645339217</v>
      </c>
    </row>
    <row r="195" spans="1:20" ht="25" x14ac:dyDescent="0.2">
      <c r="A195" s="161" t="s">
        <v>878</v>
      </c>
      <c r="B195" s="161">
        <v>776</v>
      </c>
      <c r="C195" t="str">
        <f>_xlfn.XLOOKUP(B195,'Country Code M49'!$B$2:$B$250,'Country Code M49'!$C$2:$C$250,,0)</f>
        <v>TON</v>
      </c>
      <c r="D195" s="161" t="s">
        <v>786</v>
      </c>
      <c r="E195" s="162">
        <v>15.640228594822497</v>
      </c>
      <c r="F195" s="162">
        <v>1634.4038881589508</v>
      </c>
      <c r="G195" s="160" t="s">
        <v>872</v>
      </c>
      <c r="H195" s="188">
        <f>_xlfn.XLOOKUP(D195,'[1]World Population'!$B$2:$B$267,'[1]World Population'!$BN$2:$BN$267,0)</f>
        <v>105697</v>
      </c>
      <c r="I195" s="188">
        <f>_xlfn.XLOOKUP(C195,'[4]Access to Electricity'!$B$6:$B$271,'[4]Access to Electricity'!$BM$6:$BM$271)</f>
        <v>100</v>
      </c>
      <c r="J195" s="194">
        <f>_xlfn.XLOOKUP(C195,'[2]GDP 2015 Constant'!$B$6:$B$271,'[2]GDP 2015 Constant'!$BM$6:$BM$271)</f>
        <v>489364573.39999998</v>
      </c>
      <c r="K195" s="193">
        <f t="shared" si="6"/>
        <v>4629.8813911463903</v>
      </c>
      <c r="L195" s="194">
        <f>_xlfn.XLOOKUP(C195,'[5]Tourism Receipts'!$B$6:$B$271,'[5]Tourism Receipts'!$BK$6:$BK$271)</f>
        <v>48099998.469999999</v>
      </c>
      <c r="M195" s="195">
        <f t="shared" ref="M195:M216" si="7">L195/J195</f>
        <v>9.8290724512016758E-2</v>
      </c>
      <c r="N195">
        <v>19.621856583300399</v>
      </c>
      <c r="O195" s="188">
        <v>81282</v>
      </c>
      <c r="P195" s="188">
        <v>94.13</v>
      </c>
      <c r="Q195">
        <v>66.137807398576101</v>
      </c>
      <c r="R195">
        <v>21.959271589261299</v>
      </c>
      <c r="S195">
        <v>0</v>
      </c>
      <c r="T195">
        <v>146.80138888888899</v>
      </c>
    </row>
    <row r="196" spans="1:20" x14ac:dyDescent="0.2">
      <c r="A196" s="161" t="s">
        <v>150</v>
      </c>
      <c r="B196" s="161">
        <v>780</v>
      </c>
      <c r="C196" t="str">
        <f>_xlfn.XLOOKUP(B196,'Country Code M49'!$B$2:$B$250,'Country Code M49'!$C$2:$C$250,,0)</f>
        <v>TTO</v>
      </c>
      <c r="D196" s="161" t="s">
        <v>747</v>
      </c>
      <c r="E196" s="162">
        <v>12.811309449374059</v>
      </c>
      <c r="F196" s="162">
        <v>17871.77668187681</v>
      </c>
      <c r="G196" s="160" t="s">
        <v>877</v>
      </c>
      <c r="H196" s="188">
        <f>_xlfn.XLOOKUP(D196,'[1]World Population'!$B$2:$B$267,'[1]World Population'!$BN$2:$BN$267,0)</f>
        <v>1399491</v>
      </c>
      <c r="I196" s="188">
        <f>_xlfn.XLOOKUP(C196,'[4]Access to Electricity'!$B$6:$B$271,'[4]Access to Electricity'!$BM$6:$BM$271)</f>
        <v>100</v>
      </c>
      <c r="J196" s="194">
        <f>_xlfn.XLOOKUP(C196,'[2]GDP 2015 Constant'!$B$6:$B$271,'[2]GDP 2015 Constant'!$BM$6:$BM$271)</f>
        <v>21087122855</v>
      </c>
      <c r="K196" s="193">
        <f t="shared" si="6"/>
        <v>15067.708799127682</v>
      </c>
      <c r="L196" s="194">
        <f>_xlfn.XLOOKUP(C196,'[5]Tourism Receipts'!$B$6:$B$271,'[5]Tourism Receipts'!$BK$6:$BK$271)</f>
        <v>541000000</v>
      </c>
      <c r="M196" s="195">
        <f t="shared" si="7"/>
        <v>2.5655467733556769E-2</v>
      </c>
      <c r="N196">
        <v>0.99844341344009802</v>
      </c>
      <c r="O196" s="188">
        <v>654766</v>
      </c>
      <c r="P196" s="188">
        <v>103.87</v>
      </c>
      <c r="Q196">
        <v>0</v>
      </c>
      <c r="R196">
        <v>0</v>
      </c>
      <c r="S196">
        <v>7092.9586438597798</v>
      </c>
      <c r="T196">
        <v>272.80526315789501</v>
      </c>
    </row>
    <row r="197" spans="1:20" ht="25" x14ac:dyDescent="0.2">
      <c r="A197" s="161" t="s">
        <v>876</v>
      </c>
      <c r="B197" s="161">
        <v>788</v>
      </c>
      <c r="C197" t="str">
        <f>_xlfn.XLOOKUP(B197,'Country Code M49'!$B$2:$B$250,'Country Code M49'!$C$2:$C$250,,0)</f>
        <v>TUN</v>
      </c>
      <c r="D197" s="161" t="s">
        <v>769</v>
      </c>
      <c r="E197" s="162">
        <v>15.640228594822497</v>
      </c>
      <c r="F197" s="162">
        <v>182907.78134787065</v>
      </c>
      <c r="G197" s="160" t="s">
        <v>872</v>
      </c>
      <c r="H197" s="188">
        <f>_xlfn.XLOOKUP(D197,'[1]World Population'!$B$2:$B$267,'[1]World Population'!$BN$2:$BN$267,0)</f>
        <v>11818618</v>
      </c>
      <c r="I197" s="188">
        <f>_xlfn.XLOOKUP(C197,'[4]Access to Electricity'!$B$6:$B$271,'[4]Access to Electricity'!$BM$6:$BM$271)</f>
        <v>100</v>
      </c>
      <c r="J197" s="194">
        <f>_xlfn.XLOOKUP(C197,'[2]GDP 2015 Constant'!$B$6:$B$271,'[2]GDP 2015 Constant'!$BM$6:$BM$271)</f>
        <v>44913489643</v>
      </c>
      <c r="K197" s="193">
        <f t="shared" si="6"/>
        <v>3800.2319427702969</v>
      </c>
      <c r="L197" s="194">
        <f>_xlfn.XLOOKUP(C197,'[5]Tourism Receipts'!$B$6:$B$271,'[5]Tourism Receipts'!$BK$6:$BK$271)</f>
        <v>2320000000</v>
      </c>
      <c r="M197" s="195">
        <f t="shared" si="7"/>
        <v>5.1654859563146506E-2</v>
      </c>
      <c r="N197">
        <v>9.6423187119427194</v>
      </c>
      <c r="O197" s="188">
        <v>3596642</v>
      </c>
      <c r="P197" s="188">
        <v>122.48</v>
      </c>
      <c r="Q197">
        <v>58.386076089409698</v>
      </c>
      <c r="R197">
        <v>46.096865353112797</v>
      </c>
      <c r="S197">
        <v>1454.6430755310701</v>
      </c>
      <c r="T197">
        <v>76.072463954685901</v>
      </c>
    </row>
    <row r="198" spans="1:20" ht="25" x14ac:dyDescent="0.2">
      <c r="A198" s="161" t="s">
        <v>148</v>
      </c>
      <c r="B198" s="161">
        <v>792</v>
      </c>
      <c r="C198" t="str">
        <f>_xlfn.XLOOKUP(B198,'Country Code M49'!$B$2:$B$250,'Country Code M49'!$C$2:$C$250,,0)</f>
        <v>TUR</v>
      </c>
      <c r="D198" s="161" t="s">
        <v>865</v>
      </c>
      <c r="E198" s="162">
        <v>15.640228594822497</v>
      </c>
      <c r="F198" s="162">
        <v>1304858.0155746031</v>
      </c>
      <c r="G198" s="160" t="s">
        <v>872</v>
      </c>
      <c r="H198" s="188">
        <f>_xlfn.XLOOKUP(D198,'[1]World Population'!$B$2:$B$267,'[1]World Population'!$BN$2:$BN$267,0)</f>
        <v>84339067</v>
      </c>
      <c r="I198" s="188">
        <f>_xlfn.XLOOKUP(C198,'[4]Access to Electricity'!$B$6:$B$271,'[4]Access to Electricity'!$BM$6:$BM$271)</f>
        <v>100</v>
      </c>
      <c r="J198" s="194">
        <f>_xlfn.XLOOKUP(C198,'[2]GDP 2015 Constant'!$B$6:$B$271,'[2]GDP 2015 Constant'!$BM$6:$BM$271)</f>
        <v>1015330000000</v>
      </c>
      <c r="K198" s="193">
        <f t="shared" si="6"/>
        <v>12038.667679356709</v>
      </c>
      <c r="L198" s="194">
        <f>_xlfn.XLOOKUP(C198,'[5]Tourism Receipts'!$B$6:$B$271,'[5]Tourism Receipts'!$BK$6:$BK$271)</f>
        <v>36791000000</v>
      </c>
      <c r="M198" s="195">
        <f t="shared" si="7"/>
        <v>3.6235509637260792E-2</v>
      </c>
      <c r="N198">
        <v>6.4007749284690796</v>
      </c>
      <c r="O198" s="188">
        <v>20152820</v>
      </c>
      <c r="P198" s="188">
        <v>115.6</v>
      </c>
      <c r="Q198">
        <v>31.401491384798</v>
      </c>
      <c r="R198">
        <v>32.5973545785751</v>
      </c>
      <c r="S198">
        <v>2847.2238929332302</v>
      </c>
      <c r="T198">
        <v>109.583913049128</v>
      </c>
    </row>
    <row r="199" spans="1:20" ht="25" x14ac:dyDescent="0.2">
      <c r="A199" s="161" t="s">
        <v>871</v>
      </c>
      <c r="B199" s="161">
        <v>795</v>
      </c>
      <c r="C199" t="str">
        <f>_xlfn.XLOOKUP(B199,'Country Code M49'!$B$2:$B$250,'Country Code M49'!$C$2:$C$250,,0)</f>
        <v>TKM</v>
      </c>
      <c r="D199" s="161" t="s">
        <v>693</v>
      </c>
      <c r="E199" s="162">
        <v>15.640228594822497</v>
      </c>
      <c r="F199" s="162">
        <v>92935.802333294763</v>
      </c>
      <c r="G199" s="160" t="s">
        <v>872</v>
      </c>
      <c r="H199" s="188">
        <f>_xlfn.XLOOKUP(D199,'[1]World Population'!$B$2:$B$267,'[1]World Population'!$BN$2:$BN$267,0)</f>
        <v>6031187</v>
      </c>
      <c r="I199" s="188">
        <f>_xlfn.XLOOKUP(C199,'[4]Access to Electricity'!$B$6:$B$271,'[4]Access to Electricity'!$BM$6:$BM$271)</f>
        <v>100</v>
      </c>
      <c r="J199" s="194" t="e">
        <f>_xlfn.XLOOKUP(C199,'[2]GDP 2015 Constant'!$B$6:$B$271,'[2]GDP 2015 Constant'!$BM$6:$BM$271)</f>
        <v>#REF!</v>
      </c>
      <c r="K199" s="193" t="e">
        <f t="shared" si="6"/>
        <v>#REF!</v>
      </c>
      <c r="L199" s="194">
        <f>_xlfn.XLOOKUP(C199,'[5]Tourism Receipts'!$B$6:$B$271,'[5]Tourism Receipts'!$BK$6:$BK$271)</f>
        <v>0</v>
      </c>
      <c r="M199" s="195" t="e">
        <f t="shared" si="7"/>
        <v>#REF!</v>
      </c>
      <c r="N199">
        <v>10.791485060956401</v>
      </c>
      <c r="O199" s="188">
        <v>2863849</v>
      </c>
      <c r="P199" s="188">
        <v>96.59</v>
      </c>
      <c r="Q199">
        <v>12.4958823653095</v>
      </c>
      <c r="R199">
        <v>0</v>
      </c>
      <c r="S199">
        <v>2678.7654738358001</v>
      </c>
      <c r="T199">
        <v>12.8342242461643</v>
      </c>
    </row>
    <row r="200" spans="1:20" x14ac:dyDescent="0.2">
      <c r="A200" s="161" t="s">
        <v>150</v>
      </c>
      <c r="B200" s="161">
        <v>796</v>
      </c>
      <c r="C200" t="str">
        <f>_xlfn.XLOOKUP(B200,'Country Code M49'!$B$2:$B$250,'Country Code M49'!$C$2:$C$250,,0)</f>
        <v>TCA</v>
      </c>
      <c r="D200" s="161" t="s">
        <v>748</v>
      </c>
      <c r="E200" s="162">
        <v>12.811309449374059</v>
      </c>
      <c r="F200" s="162">
        <v>489.39202096608904</v>
      </c>
      <c r="G200" s="160" t="s">
        <v>877</v>
      </c>
      <c r="H200" s="188">
        <f>_xlfn.XLOOKUP(D200,'[1]World Population'!$B$2:$B$267,'[1]World Population'!$BN$2:$BN$267,0)</f>
        <v>38718</v>
      </c>
      <c r="I200" s="188">
        <f>_xlfn.XLOOKUP(C200,'[4]Access to Electricity'!$B$6:$B$271,'[4]Access to Electricity'!$BM$6:$BM$271)</f>
        <v>99.400001525878906</v>
      </c>
      <c r="J200" s="194">
        <f>_xlfn.XLOOKUP(C200,'[2]GDP 2015 Constant'!$B$6:$B$271,'[2]GDP 2015 Constant'!$BM$6:$BM$271)</f>
        <v>802388490.20000005</v>
      </c>
      <c r="K200" s="193">
        <f t="shared" si="6"/>
        <v>20723.913688723591</v>
      </c>
      <c r="L200" s="194">
        <f>_xlfn.XLOOKUP(C200,'[5]Tourism Receipts'!$B$6:$B$271,'[5]Tourism Receipts'!$BK$6:$BK$271)</f>
        <v>0</v>
      </c>
      <c r="M200" s="195">
        <f t="shared" si="7"/>
        <v>0</v>
      </c>
      <c r="N200">
        <v>0.36035960798887601</v>
      </c>
      <c r="O200" s="188">
        <v>2476</v>
      </c>
      <c r="P200" s="188">
        <v>0</v>
      </c>
      <c r="Q200">
        <v>0</v>
      </c>
      <c r="R200">
        <v>0</v>
      </c>
      <c r="S200">
        <v>0</v>
      </c>
      <c r="T200">
        <v>40.755789473684203</v>
      </c>
    </row>
    <row r="201" spans="1:20" ht="25" x14ac:dyDescent="0.2">
      <c r="A201" s="161" t="s">
        <v>878</v>
      </c>
      <c r="B201" s="161">
        <v>798</v>
      </c>
      <c r="C201" t="str">
        <f>_xlfn.XLOOKUP(B201,'Country Code M49'!$B$2:$B$250,'Country Code M49'!$C$2:$C$250,,0)</f>
        <v>TUV</v>
      </c>
      <c r="D201" s="161" t="s">
        <v>787</v>
      </c>
      <c r="E201" s="162">
        <v>15.640228594822497</v>
      </c>
      <c r="F201" s="162">
        <v>181.42665169994098</v>
      </c>
      <c r="G201" s="160" t="s">
        <v>872</v>
      </c>
      <c r="H201" s="188">
        <f>_xlfn.XLOOKUP(D201,'[1]World Population'!$B$2:$B$267,'[1]World Population'!$BN$2:$BN$267,0)</f>
        <v>11792</v>
      </c>
      <c r="I201" s="188">
        <f>_xlfn.XLOOKUP(C201,'[4]Access to Electricity'!$B$6:$B$271,'[4]Access to Electricity'!$BM$6:$BM$271)</f>
        <v>99.689231872558594</v>
      </c>
      <c r="J201" s="194">
        <f>_xlfn.XLOOKUP(C201,'[2]GDP 2015 Constant'!$B$6:$B$271,'[2]GDP 2015 Constant'!$BM$6:$BM$271)</f>
        <v>46535494.119999997</v>
      </c>
      <c r="K201" s="193">
        <f t="shared" si="6"/>
        <v>3946.3614416553592</v>
      </c>
      <c r="L201" s="194">
        <f>_xlfn.XLOOKUP(C201,'[5]Tourism Receipts'!$B$6:$B$271,'[5]Tourism Receipts'!$BK$6:$BK$271)</f>
        <v>0</v>
      </c>
      <c r="M201" s="195">
        <f t="shared" si="7"/>
        <v>0</v>
      </c>
      <c r="N201">
        <v>0</v>
      </c>
      <c r="O201" s="188">
        <v>4243</v>
      </c>
      <c r="P201" s="188">
        <v>101.84</v>
      </c>
      <c r="Q201">
        <v>0</v>
      </c>
      <c r="R201">
        <v>0</v>
      </c>
      <c r="S201">
        <v>0</v>
      </c>
      <c r="T201">
        <v>393.066666666667</v>
      </c>
    </row>
    <row r="202" spans="1:20" ht="25" x14ac:dyDescent="0.2">
      <c r="A202" s="161" t="s">
        <v>154</v>
      </c>
      <c r="B202" s="161">
        <v>800</v>
      </c>
      <c r="C202" t="str">
        <f>_xlfn.XLOOKUP(B202,'Country Code M49'!$B$2:$B$250,'Country Code M49'!$C$2:$C$250,,0)</f>
        <v>UGA</v>
      </c>
      <c r="D202" s="161" t="s">
        <v>853</v>
      </c>
      <c r="E202" s="162">
        <v>15.640228594822497</v>
      </c>
      <c r="F202" s="162">
        <v>692386.66380135401</v>
      </c>
      <c r="G202" s="160" t="s">
        <v>872</v>
      </c>
      <c r="H202" s="188">
        <f>_xlfn.XLOOKUP(D202,'[1]World Population'!$B$2:$B$267,'[1]World Population'!$BN$2:$BN$267,0)</f>
        <v>45741000</v>
      </c>
      <c r="I202" s="188">
        <f>_xlfn.XLOOKUP(C202,'[4]Access to Electricity'!$B$6:$B$271,'[4]Access to Electricity'!$BM$6:$BM$271)</f>
        <v>42.074417114257798</v>
      </c>
      <c r="J202" s="194">
        <f>_xlfn.XLOOKUP(C202,'[2]GDP 2015 Constant'!$B$6:$B$271,'[2]GDP 2015 Constant'!$BM$6:$BM$271)</f>
        <v>40768765940</v>
      </c>
      <c r="K202" s="193">
        <f t="shared" si="6"/>
        <v>891.29590389366217</v>
      </c>
      <c r="L202" s="194">
        <f>_xlfn.XLOOKUP(C202,'[5]Tourism Receipts'!$B$6:$B$271,'[5]Tourism Receipts'!$BK$6:$BK$271)</f>
        <v>1522000000</v>
      </c>
      <c r="M202" s="195">
        <f t="shared" si="7"/>
        <v>3.733250111715302E-2</v>
      </c>
      <c r="N202">
        <v>22.945508806922501</v>
      </c>
      <c r="O202" s="188">
        <v>34326791</v>
      </c>
      <c r="P202" s="188">
        <v>116.23</v>
      </c>
      <c r="Q202">
        <v>21.551352539379401</v>
      </c>
      <c r="R202">
        <v>17.109058016917601</v>
      </c>
      <c r="S202">
        <v>0</v>
      </c>
      <c r="T202">
        <v>228.11190903650501</v>
      </c>
    </row>
    <row r="203" spans="1:20" ht="25" x14ac:dyDescent="0.2">
      <c r="A203" s="161" t="s">
        <v>156</v>
      </c>
      <c r="B203" s="161">
        <v>804</v>
      </c>
      <c r="C203" t="str">
        <f>_xlfn.XLOOKUP(B203,'Country Code M49'!$B$2:$B$250,'Country Code M49'!$C$2:$C$250,,0)</f>
        <v>UKR</v>
      </c>
      <c r="D203" s="161" t="s">
        <v>706</v>
      </c>
      <c r="E203" s="162">
        <v>15.640228594822497</v>
      </c>
      <c r="F203" s="162">
        <v>688069.96070918301</v>
      </c>
      <c r="G203" s="160" t="s">
        <v>872</v>
      </c>
      <c r="H203" s="188">
        <f>_xlfn.XLOOKUP(D203,'[1]World Population'!$B$2:$B$267,'[1]World Population'!$BN$2:$BN$267,0)</f>
        <v>44132049</v>
      </c>
      <c r="I203" s="188">
        <f>_xlfn.XLOOKUP(C203,'[4]Access to Electricity'!$B$6:$B$271,'[4]Access to Electricity'!$BM$6:$BM$271)</f>
        <v>100</v>
      </c>
      <c r="J203" s="194">
        <f>_xlfn.XLOOKUP(C203,'[2]GDP 2015 Constant'!$B$6:$B$271,'[2]GDP 2015 Constant'!$BM$6:$BM$271)</f>
        <v>98118346734</v>
      </c>
      <c r="K203" s="193">
        <f t="shared" si="6"/>
        <v>2223.290079597256</v>
      </c>
      <c r="L203" s="194">
        <f>_xlfn.XLOOKUP(C203,'[5]Tourism Receipts'!$B$6:$B$271,'[5]Tourism Receipts'!$BK$6:$BK$271)</f>
        <v>2269000000</v>
      </c>
      <c r="M203" s="195">
        <f t="shared" si="7"/>
        <v>2.3125134855271113E-2</v>
      </c>
      <c r="N203">
        <v>8.9651810143724298</v>
      </c>
      <c r="O203" s="188">
        <v>13412612</v>
      </c>
      <c r="P203" s="188">
        <v>99.34</v>
      </c>
      <c r="Q203">
        <v>53.964579409274798</v>
      </c>
      <c r="R203">
        <v>41.2316912560049</v>
      </c>
      <c r="S203">
        <v>3418.5693170559298</v>
      </c>
      <c r="T203">
        <v>76.168534691059705</v>
      </c>
    </row>
    <row r="204" spans="1:20" x14ac:dyDescent="0.2">
      <c r="A204" s="161" t="s">
        <v>148</v>
      </c>
      <c r="B204" s="161">
        <v>784</v>
      </c>
      <c r="C204" t="str">
        <f>_xlfn.XLOOKUP(B204,'Country Code M49'!$B$2:$B$250,'Country Code M49'!$C$2:$C$250,,0)</f>
        <v>ARE</v>
      </c>
      <c r="D204" s="161" t="s">
        <v>866</v>
      </c>
      <c r="E204" s="162">
        <v>12.811309449374059</v>
      </c>
      <c r="F204" s="162">
        <v>125172.89897510924</v>
      </c>
      <c r="G204" s="160" t="s">
        <v>877</v>
      </c>
      <c r="H204" s="188">
        <f>_xlfn.XLOOKUP(D204,'[1]World Population'!$B$2:$B$267,'[1]World Population'!$BN$2:$BN$267,0)</f>
        <v>9890400</v>
      </c>
      <c r="I204" s="188">
        <f>_xlfn.XLOOKUP(C204,'[4]Access to Electricity'!$B$6:$B$271,'[4]Access to Electricity'!$BM$6:$BM$271)</f>
        <v>100</v>
      </c>
      <c r="J204" s="194">
        <f>_xlfn.XLOOKUP(C204,'[2]GDP 2015 Constant'!$B$6:$B$271,'[2]GDP 2015 Constant'!$BM$6:$BM$271)</f>
        <v>370866000000</v>
      </c>
      <c r="K204" s="193">
        <f t="shared" si="6"/>
        <v>37497.573404513467</v>
      </c>
      <c r="L204" s="194">
        <f>_xlfn.XLOOKUP(C204,'[5]Tourism Receipts'!$B$6:$B$271,'[5]Tourism Receipts'!$BK$6:$BK$271)</f>
        <v>34609500000</v>
      </c>
      <c r="M204" s="195">
        <f t="shared" si="7"/>
        <v>9.3320768148064254E-2</v>
      </c>
      <c r="N204">
        <v>0.74717752816713601</v>
      </c>
      <c r="O204" s="188">
        <v>1281005</v>
      </c>
      <c r="P204" s="188">
        <v>108.27</v>
      </c>
      <c r="Q204">
        <v>66.680650743091604</v>
      </c>
      <c r="R204">
        <v>96.843533463725095</v>
      </c>
      <c r="S204">
        <v>11088.341862576601</v>
      </c>
      <c r="T204">
        <v>139.262179667699</v>
      </c>
    </row>
    <row r="205" spans="1:20" x14ac:dyDescent="0.2">
      <c r="A205" s="161" t="s">
        <v>153</v>
      </c>
      <c r="B205" s="161">
        <v>826</v>
      </c>
      <c r="C205" t="str">
        <f>_xlfn.XLOOKUP(B205,'Country Code M49'!$B$2:$B$250,'Country Code M49'!$C$2:$C$250,,0)</f>
        <v>GBR</v>
      </c>
      <c r="D205" s="161" t="s">
        <v>779</v>
      </c>
      <c r="E205" s="162">
        <v>4.2</v>
      </c>
      <c r="F205" s="162">
        <v>283626.84000000003</v>
      </c>
      <c r="G205" s="160" t="s">
        <v>880</v>
      </c>
      <c r="H205" s="188">
        <f>_xlfn.XLOOKUP(D205,'[1]World Population'!$B$2:$B$267,'[1]World Population'!$BN$2:$BN$267,0)</f>
        <v>67081000</v>
      </c>
      <c r="I205" s="188">
        <f>_xlfn.XLOOKUP(C205,'[4]Access to Electricity'!$B$6:$B$271,'[4]Access to Electricity'!$BM$6:$BM$271)</f>
        <v>100</v>
      </c>
      <c r="J205" s="194">
        <f>_xlfn.XLOOKUP(C205,'[2]GDP 2015 Constant'!$B$6:$B$271,'[2]GDP 2015 Constant'!$BM$6:$BM$271)</f>
        <v>2895630000000</v>
      </c>
      <c r="K205" s="193">
        <f t="shared" si="6"/>
        <v>43166.172239531312</v>
      </c>
      <c r="L205" s="194">
        <f>_xlfn.XLOOKUP(C205,'[5]Tourism Receipts'!$B$6:$B$271,'[5]Tourism Receipts'!$BK$6:$BK$271)</f>
        <v>0</v>
      </c>
      <c r="M205" s="195">
        <f t="shared" si="7"/>
        <v>0</v>
      </c>
      <c r="N205">
        <v>0.61198528078294401</v>
      </c>
      <c r="O205" s="188">
        <v>10798029</v>
      </c>
      <c r="P205" s="188">
        <v>96.84</v>
      </c>
      <c r="Q205">
        <v>31.8078256790441</v>
      </c>
      <c r="R205">
        <v>31.004978089224299</v>
      </c>
      <c r="S205">
        <v>5130.3902533002802</v>
      </c>
      <c r="T205">
        <v>277.274418220146</v>
      </c>
    </row>
    <row r="206" spans="1:20" ht="25" x14ac:dyDescent="0.2">
      <c r="A206" s="161" t="s">
        <v>154</v>
      </c>
      <c r="B206" s="161">
        <v>834</v>
      </c>
      <c r="C206" t="str">
        <f>_xlfn.XLOOKUP(B206,'Country Code M49'!$B$2:$B$250,'Country Code M49'!$C$2:$C$250,,0)</f>
        <v>TZA</v>
      </c>
      <c r="D206" s="161" t="s">
        <v>854</v>
      </c>
      <c r="E206" s="162">
        <v>15.640228594822497</v>
      </c>
      <c r="F206" s="162">
        <v>907219.27975697641</v>
      </c>
      <c r="G206" s="160" t="s">
        <v>872</v>
      </c>
      <c r="H206" s="188">
        <f>_xlfn.XLOOKUP(D206,'[1]World Population'!$B$2:$B$267,'[1]World Population'!$BN$2:$BN$267,0)</f>
        <v>59734213</v>
      </c>
      <c r="I206" s="188">
        <f>_xlfn.XLOOKUP(C206,'[4]Access to Electricity'!$B$6:$B$271,'[4]Access to Electricity'!$BM$6:$BM$271)</f>
        <v>39.900001525878899</v>
      </c>
      <c r="J206" s="194">
        <f>_xlfn.XLOOKUP(C206,'[2]GDP 2015 Constant'!$B$6:$B$271,'[2]GDP 2015 Constant'!$BM$6:$BM$271)</f>
        <v>61522709092</v>
      </c>
      <c r="K206" s="193">
        <f t="shared" si="6"/>
        <v>1029.9408998993592</v>
      </c>
      <c r="L206" s="194">
        <f>_xlfn.XLOOKUP(C206,'[5]Tourism Receipts'!$B$6:$B$271,'[5]Tourism Receipts'!$BK$6:$BK$271)</f>
        <v>2465000000</v>
      </c>
      <c r="M206" s="195">
        <f t="shared" si="7"/>
        <v>4.0066506114252567E-2</v>
      </c>
      <c r="N206">
        <v>26.546415165034801</v>
      </c>
      <c r="O206" s="188">
        <v>38691642</v>
      </c>
      <c r="P206" s="188">
        <v>116.24</v>
      </c>
      <c r="Q206">
        <v>17.903466554378301</v>
      </c>
      <c r="R206">
        <v>16.007863881448198</v>
      </c>
      <c r="S206">
        <v>103.681777965553</v>
      </c>
      <c r="T206">
        <v>67.435327387672203</v>
      </c>
    </row>
    <row r="207" spans="1:20" x14ac:dyDescent="0.2">
      <c r="A207" s="161" t="s">
        <v>151</v>
      </c>
      <c r="B207" s="161">
        <v>840</v>
      </c>
      <c r="C207" t="str">
        <f>_xlfn.XLOOKUP(B207,'Country Code M49'!$B$2:$B$250,'Country Code M49'!$C$2:$C$250,,0)</f>
        <v>USA</v>
      </c>
      <c r="D207" s="161" t="s">
        <v>142</v>
      </c>
      <c r="E207" s="162">
        <v>15.654398840633984</v>
      </c>
      <c r="F207" s="162">
        <v>5151313.189053338</v>
      </c>
      <c r="G207" s="160" t="s">
        <v>880</v>
      </c>
      <c r="H207" s="188">
        <f>_xlfn.XLOOKUP(D207,'[1]World Population'!$B$2:$B$267,'[1]World Population'!$BN$2:$BN$267,0)</f>
        <v>331501080</v>
      </c>
      <c r="I207" s="188">
        <f>_xlfn.XLOOKUP(C207,'[4]Access to Electricity'!$B$6:$B$271,'[4]Access to Electricity'!$BM$6:$BM$271)</f>
        <v>100</v>
      </c>
      <c r="J207" s="194">
        <f>_xlfn.XLOOKUP(C207,'[2]GDP 2015 Constant'!$B$6:$B$271,'[2]GDP 2015 Constant'!$BM$6:$BM$271)</f>
        <v>19247100000000</v>
      </c>
      <c r="K207" s="193">
        <f t="shared" si="6"/>
        <v>58060.444327964178</v>
      </c>
      <c r="L207" s="194">
        <f>_xlfn.XLOOKUP(C207,'[5]Tourism Receipts'!$B$6:$B$271,'[5]Tourism Receipts'!$BK$6:$BK$271)</f>
        <v>241984000000</v>
      </c>
      <c r="M207" s="195">
        <f t="shared" si="7"/>
        <v>1.2572491440268924E-2</v>
      </c>
      <c r="N207">
        <v>0.85368615564561701</v>
      </c>
      <c r="O207" s="188">
        <v>57469027</v>
      </c>
      <c r="P207" s="188">
        <v>104.45</v>
      </c>
      <c r="Q207">
        <v>15.246617680675699</v>
      </c>
      <c r="R207">
        <v>11.7895354311111</v>
      </c>
      <c r="S207">
        <v>12993.9655794706</v>
      </c>
      <c r="T207">
        <v>36.239844677515599</v>
      </c>
    </row>
    <row r="208" spans="1:20" x14ac:dyDescent="0.2">
      <c r="A208" s="161" t="s">
        <v>150</v>
      </c>
      <c r="B208" s="161">
        <v>850</v>
      </c>
      <c r="C208" t="str">
        <f>_xlfn.XLOOKUP(B208,'Country Code M49'!$B$2:$B$250,'Country Code M49'!$C$2:$C$250,,0)</f>
        <v>VIR</v>
      </c>
      <c r="D208" s="161" t="s">
        <v>749</v>
      </c>
      <c r="E208" s="162">
        <v>12.811309449374059</v>
      </c>
      <c r="F208" s="162">
        <v>1340.0629684045266</v>
      </c>
      <c r="G208" s="160" t="s">
        <v>877</v>
      </c>
      <c r="H208" s="188">
        <f>_xlfn.XLOOKUP(D208,'[1]World Population'!$B$2:$B$267,'[1]World Population'!$BN$2:$BN$267,0)</f>
        <v>106290</v>
      </c>
      <c r="I208" s="188">
        <f>_xlfn.XLOOKUP(C208,'[4]Access to Electricity'!$B$6:$B$271,'[4]Access to Electricity'!$BM$6:$BM$271)</f>
        <v>100</v>
      </c>
      <c r="J208" s="194">
        <f>_xlfn.XLOOKUP(C208,'[2]GDP 2015 Constant'!$B$6:$B$271,'[2]GDP 2015 Constant'!$BM$6:$BM$271)</f>
        <v>3786142476</v>
      </c>
      <c r="K208" s="193">
        <f t="shared" si="6"/>
        <v>35620.871916454984</v>
      </c>
      <c r="L208" s="194">
        <f>_xlfn.XLOOKUP(C208,'[5]Tourism Receipts'!$B$6:$B$271,'[5]Tourism Receipts'!$BK$6:$BK$271)</f>
        <v>993000000</v>
      </c>
      <c r="M208" s="195">
        <f t="shared" si="7"/>
        <v>0.26227222200287847</v>
      </c>
      <c r="N208">
        <v>0</v>
      </c>
      <c r="O208" s="188">
        <v>4316</v>
      </c>
      <c r="P208" s="188">
        <v>0</v>
      </c>
      <c r="Q208">
        <v>106.144824069352</v>
      </c>
      <c r="R208">
        <v>55.015788195287797</v>
      </c>
      <c r="S208">
        <v>0</v>
      </c>
      <c r="T208">
        <v>303.68571428571403</v>
      </c>
    </row>
    <row r="209" spans="1:20" x14ac:dyDescent="0.2">
      <c r="A209" s="161" t="s">
        <v>150</v>
      </c>
      <c r="B209" s="161">
        <v>858</v>
      </c>
      <c r="C209" t="str">
        <f>_xlfn.XLOOKUP(B209,'Country Code M49'!$B$2:$B$250,'Country Code M49'!$C$2:$C$250,,0)</f>
        <v>URY</v>
      </c>
      <c r="D209" s="161" t="s">
        <v>750</v>
      </c>
      <c r="E209" s="162">
        <v>12.811309449374059</v>
      </c>
      <c r="F209" s="162">
        <v>44348.909920898186</v>
      </c>
      <c r="G209" s="160" t="s">
        <v>877</v>
      </c>
      <c r="H209" s="188">
        <f>_xlfn.XLOOKUP(D209,'[1]World Population'!$B$2:$B$267,'[1]World Population'!$BN$2:$BN$267,0)</f>
        <v>3473727</v>
      </c>
      <c r="I209" s="188">
        <f>_xlfn.XLOOKUP(C209,'[4]Access to Electricity'!$B$6:$B$271,'[4]Access to Electricity'!$BM$6:$BM$271)</f>
        <v>100</v>
      </c>
      <c r="J209" s="194">
        <f>_xlfn.XLOOKUP(C209,'[2]GDP 2015 Constant'!$B$6:$B$271,'[2]GDP 2015 Constant'!$BM$6:$BM$271)</f>
        <v>52115108175</v>
      </c>
      <c r="K209" s="193">
        <f t="shared" si="6"/>
        <v>15002.649366228261</v>
      </c>
      <c r="L209" s="194">
        <f>_xlfn.XLOOKUP(C209,'[5]Tourism Receipts'!$B$6:$B$271,'[5]Tourism Receipts'!$BK$6:$BK$271)</f>
        <v>2708000000</v>
      </c>
      <c r="M209" s="195">
        <f t="shared" si="7"/>
        <v>5.1961899242474324E-2</v>
      </c>
      <c r="N209">
        <v>6.4526702032424899</v>
      </c>
      <c r="O209" s="188">
        <v>155797</v>
      </c>
      <c r="P209" s="188">
        <v>91.98</v>
      </c>
      <c r="Q209">
        <v>21.428914038492799</v>
      </c>
      <c r="R209">
        <v>27.750190305701</v>
      </c>
      <c r="S209">
        <v>3085.1898828357198</v>
      </c>
      <c r="T209">
        <v>19.8476002742544</v>
      </c>
    </row>
    <row r="210" spans="1:20" ht="25" x14ac:dyDescent="0.2">
      <c r="A210" s="161" t="s">
        <v>871</v>
      </c>
      <c r="B210" s="161">
        <v>860</v>
      </c>
      <c r="C210" t="str">
        <f>_xlfn.XLOOKUP(B210,'Country Code M49'!$B$2:$B$250,'Country Code M49'!$C$2:$C$250,,0)</f>
        <v>UZB</v>
      </c>
      <c r="D210" s="161" t="s">
        <v>694</v>
      </c>
      <c r="E210" s="162">
        <v>15.640228594822497</v>
      </c>
      <c r="F210" s="162">
        <v>515841.32744585711</v>
      </c>
      <c r="G210" s="160" t="s">
        <v>872</v>
      </c>
      <c r="H210" s="188">
        <f>_xlfn.XLOOKUP(D210,'[1]World Population'!$B$2:$B$267,'[1]World Population'!$BN$2:$BN$267,0)</f>
        <v>34232050</v>
      </c>
      <c r="I210" s="188">
        <f>_xlfn.XLOOKUP(C210,'[4]Access to Electricity'!$B$6:$B$271,'[4]Access to Electricity'!$BM$6:$BM$271)</f>
        <v>100</v>
      </c>
      <c r="J210" s="194">
        <f>_xlfn.XLOOKUP(C210,'[2]GDP 2015 Constant'!$B$6:$B$271,'[2]GDP 2015 Constant'!$BM$6:$BM$271)</f>
        <v>108164000000</v>
      </c>
      <c r="K210" s="193">
        <f t="shared" si="6"/>
        <v>3159.7289674442518</v>
      </c>
      <c r="L210" s="194">
        <f>_xlfn.XLOOKUP(C210,'[5]Tourism Receipts'!$B$6:$B$271,'[5]Tourism Receipts'!$BK$6:$BK$271)</f>
        <v>1314000000</v>
      </c>
      <c r="M210" s="195">
        <f t="shared" si="7"/>
        <v>1.2148219370585408E-2</v>
      </c>
      <c r="N210">
        <v>24.614478303231198</v>
      </c>
      <c r="O210" s="188">
        <v>16973620</v>
      </c>
      <c r="P210" s="188">
        <v>106.28</v>
      </c>
      <c r="Q210">
        <v>44.5642456264655</v>
      </c>
      <c r="R210">
        <v>28.421391859257401</v>
      </c>
      <c r="S210">
        <v>1645.44162925056</v>
      </c>
      <c r="T210">
        <v>77.685351185748303</v>
      </c>
    </row>
    <row r="211" spans="1:20" ht="25" x14ac:dyDescent="0.2">
      <c r="A211" s="161" t="s">
        <v>874</v>
      </c>
      <c r="B211" s="161">
        <v>548</v>
      </c>
      <c r="C211" t="str">
        <f>_xlfn.XLOOKUP(B211,'Country Code M49'!$B$2:$B$250,'Country Code M49'!$C$2:$C$250,,0)</f>
        <v>VUT</v>
      </c>
      <c r="D211" s="161" t="s">
        <v>756</v>
      </c>
      <c r="E211" s="162">
        <v>15.640228594822497</v>
      </c>
      <c r="F211" s="162">
        <v>4690.5045555872666</v>
      </c>
      <c r="G211" s="160" t="s">
        <v>872</v>
      </c>
      <c r="H211" s="188">
        <f>_xlfn.XLOOKUP(D211,'[1]World Population'!$B$2:$B$267,'[1]World Population'!$BN$2:$BN$267,0)</f>
        <v>307150</v>
      </c>
      <c r="I211" s="188">
        <f>_xlfn.XLOOKUP(C211,'[4]Access to Electricity'!$B$6:$B$271,'[4]Access to Electricity'!$BM$6:$BM$271)</f>
        <v>67.333267211914105</v>
      </c>
      <c r="J211" s="194">
        <f>_xlfn.XLOOKUP(C211,'[2]GDP 2015 Constant'!$B$6:$B$271,'[2]GDP 2015 Constant'!$BM$6:$BM$271)</f>
        <v>817502074.60000002</v>
      </c>
      <c r="K211" s="193">
        <f t="shared" si="6"/>
        <v>2661.5727644473386</v>
      </c>
      <c r="L211" s="194">
        <f>_xlfn.XLOOKUP(C211,'[5]Tourism Receipts'!$B$6:$B$271,'[5]Tourism Receipts'!$BK$6:$BK$271)</f>
        <v>325000000</v>
      </c>
      <c r="M211" s="195">
        <f t="shared" si="7"/>
        <v>0.39755250793586183</v>
      </c>
      <c r="N211">
        <v>0</v>
      </c>
      <c r="O211" s="188">
        <v>228750</v>
      </c>
      <c r="P211" s="188">
        <v>89.79</v>
      </c>
      <c r="Q211">
        <v>65.796054459572105</v>
      </c>
      <c r="R211">
        <v>50.345276872964199</v>
      </c>
      <c r="S211">
        <v>0</v>
      </c>
      <c r="T211">
        <v>25.196882690730099</v>
      </c>
    </row>
    <row r="212" spans="1:20" ht="25" x14ac:dyDescent="0.2">
      <c r="A212" s="161" t="s">
        <v>150</v>
      </c>
      <c r="B212" s="161">
        <v>862</v>
      </c>
      <c r="C212" t="str">
        <f>_xlfn.XLOOKUP(B212,'Country Code M49'!$B$2:$B$250,'Country Code M49'!$C$2:$C$250,,0)</f>
        <v>VEN</v>
      </c>
      <c r="D212" s="161" t="s">
        <v>751</v>
      </c>
      <c r="E212" s="162">
        <v>15.640228594822497</v>
      </c>
      <c r="F212" s="162">
        <v>445993.6305642394</v>
      </c>
      <c r="G212" s="160" t="s">
        <v>872</v>
      </c>
      <c r="H212" s="188">
        <f>_xlfn.XLOOKUP(D212,'[1]World Population'!$B$2:$B$267,'[1]World Population'!$BN$2:$BN$267,0)</f>
        <v>28435943</v>
      </c>
      <c r="I212" s="188">
        <f>_xlfn.XLOOKUP(C212,'[4]Access to Electricity'!$B$6:$B$271,'[4]Access to Electricity'!$BM$6:$BM$271)</f>
        <v>100</v>
      </c>
      <c r="J212" s="194" t="e">
        <f>_xlfn.XLOOKUP(C212,'[2]GDP 2015 Constant'!$B$6:$B$271,'[2]GDP 2015 Constant'!$BM$6:$BM$271)</f>
        <v>#REF!</v>
      </c>
      <c r="K212" s="193" t="e">
        <f t="shared" si="6"/>
        <v>#REF!</v>
      </c>
      <c r="L212" s="194">
        <f>_xlfn.XLOOKUP(C212,'[5]Tourism Receipts'!$B$6:$B$271,'[5]Tourism Receipts'!$BK$6:$BK$271)</f>
        <v>0</v>
      </c>
      <c r="M212" s="195" t="e">
        <f t="shared" si="7"/>
        <v>#REF!</v>
      </c>
      <c r="N212">
        <v>0</v>
      </c>
      <c r="O212" s="188">
        <v>3332977</v>
      </c>
      <c r="P212" s="188">
        <v>85.13</v>
      </c>
      <c r="Q212">
        <v>0</v>
      </c>
      <c r="R212">
        <v>0</v>
      </c>
      <c r="S212">
        <v>2719.1383489243899</v>
      </c>
      <c r="T212">
        <v>32.238470608242203</v>
      </c>
    </row>
    <row r="213" spans="1:20" ht="25" x14ac:dyDescent="0.2">
      <c r="A213" s="161" t="s">
        <v>157</v>
      </c>
      <c r="B213" s="161">
        <v>704</v>
      </c>
      <c r="C213" t="str">
        <f>_xlfn.XLOOKUP(B213,'Country Code M49'!$B$2:$B$250,'Country Code M49'!$C$2:$C$250,,0)</f>
        <v>VNM</v>
      </c>
      <c r="D213" s="161" t="s">
        <v>143</v>
      </c>
      <c r="E213" s="162">
        <v>15.640228594822497</v>
      </c>
      <c r="F213" s="162">
        <v>1508689.2947366273</v>
      </c>
      <c r="G213" s="160" t="s">
        <v>872</v>
      </c>
      <c r="H213" s="188">
        <f>_xlfn.XLOOKUP(D213,'[1]World Population'!$B$2:$B$267,'[1]World Population'!$BN$2:$BN$267,0)</f>
        <v>97338583</v>
      </c>
      <c r="I213" s="188">
        <f>_xlfn.XLOOKUP(C213,'[4]Access to Electricity'!$B$6:$B$271,'[4]Access to Electricity'!$BM$6:$BM$271)</f>
        <v>100</v>
      </c>
      <c r="J213" s="194">
        <f>_xlfn.XLOOKUP(C213,'[2]GDP 2015 Constant'!$B$6:$B$271,'[2]GDP 2015 Constant'!$BM$6:$BM$271)</f>
        <v>322775000000</v>
      </c>
      <c r="K213" s="193">
        <f t="shared" si="6"/>
        <v>3316.002658473054</v>
      </c>
      <c r="L213" s="194">
        <f>_xlfn.XLOOKUP(C213,'[5]Tourism Receipts'!$B$6:$B$271,'[5]Tourism Receipts'!$BK$6:$BK$271)</f>
        <v>10080000000</v>
      </c>
      <c r="M213" s="195">
        <f t="shared" si="7"/>
        <v>3.1229184416389125E-2</v>
      </c>
      <c r="N213">
        <v>0</v>
      </c>
      <c r="O213" s="188">
        <v>60992356</v>
      </c>
      <c r="P213" s="188">
        <v>106.04</v>
      </c>
      <c r="Q213">
        <v>0</v>
      </c>
      <c r="R213">
        <v>0</v>
      </c>
      <c r="S213">
        <v>1423.69991010082</v>
      </c>
      <c r="T213">
        <v>310.560232141889</v>
      </c>
    </row>
    <row r="214" spans="1:20" ht="25" x14ac:dyDescent="0.2">
      <c r="A214" s="161" t="s">
        <v>148</v>
      </c>
      <c r="B214" s="161">
        <v>887</v>
      </c>
      <c r="C214" t="str">
        <f>_xlfn.XLOOKUP(B214,'Country Code M49'!$B$2:$B$250,'Country Code M49'!$C$2:$C$250,,0)</f>
        <v>YEM</v>
      </c>
      <c r="D214" s="161" t="s">
        <v>867</v>
      </c>
      <c r="E214" s="162">
        <v>15.640228594822497</v>
      </c>
      <c r="F214" s="162">
        <v>456098.78225935419</v>
      </c>
      <c r="G214" s="160" t="s">
        <v>872</v>
      </c>
      <c r="H214" s="188">
        <f>_xlfn.XLOOKUP(D214,'[1]World Population'!$B$2:$B$267,'[1]World Population'!$BN$2:$BN$267,0)</f>
        <v>29825968</v>
      </c>
      <c r="I214" s="188">
        <f>_xlfn.XLOOKUP(C214,'[4]Access to Electricity'!$B$6:$B$271,'[4]Access to Electricity'!$BM$6:$BM$271)</f>
        <v>73.757926940917997</v>
      </c>
      <c r="J214" s="194">
        <f>_xlfn.XLOOKUP(C214,'[2]GDP 2015 Constant'!$B$6:$B$271,'[2]GDP 2015 Constant'!$BM$6:$BM$271)</f>
        <v>34133335016</v>
      </c>
      <c r="K214" s="193">
        <f t="shared" si="6"/>
        <v>1144.4166712711553</v>
      </c>
      <c r="L214" s="194">
        <f>_xlfn.XLOOKUP(C214,'[5]Tourism Receipts'!$B$6:$B$271,'[5]Tourism Receipts'!$BK$6:$BK$271)</f>
        <v>0</v>
      </c>
      <c r="M214" s="195">
        <f t="shared" si="7"/>
        <v>0</v>
      </c>
      <c r="N214">
        <v>5.00096223312035</v>
      </c>
      <c r="O214" s="188">
        <v>18519540</v>
      </c>
      <c r="P214" s="188">
        <v>104.61</v>
      </c>
      <c r="Q214">
        <v>43.246924321219197</v>
      </c>
      <c r="R214">
        <v>7.1353953774886696</v>
      </c>
      <c r="S214">
        <v>219.79989690006201</v>
      </c>
      <c r="T214">
        <v>56.4917855181166</v>
      </c>
    </row>
    <row r="215" spans="1:20" ht="25" x14ac:dyDescent="0.2">
      <c r="A215" s="161" t="s">
        <v>154</v>
      </c>
      <c r="B215" s="161">
        <v>894</v>
      </c>
      <c r="C215" t="str">
        <f>_xlfn.XLOOKUP(B215,'Country Code M49'!$B$2:$B$250,'Country Code M49'!$C$2:$C$250,,0)</f>
        <v>ZMB</v>
      </c>
      <c r="D215" s="161" t="s">
        <v>144</v>
      </c>
      <c r="E215" s="162">
        <v>15.640228594822497</v>
      </c>
      <c r="F215" s="162">
        <v>279350.12293212459</v>
      </c>
      <c r="G215" s="160" t="s">
        <v>872</v>
      </c>
      <c r="H215" s="188">
        <f>_xlfn.XLOOKUP(D215,'[1]World Population'!$B$2:$B$267,'[1]World Population'!$BN$2:$BN$267,0)</f>
        <v>18383956</v>
      </c>
      <c r="I215" s="188">
        <f>_xlfn.XLOOKUP(C215,'[4]Access to Electricity'!$B$6:$B$271,'[4]Access to Electricity'!$BM$6:$BM$271)</f>
        <v>44.5244750976563</v>
      </c>
      <c r="J215" s="194">
        <f>_xlfn.XLOOKUP(C215,'[2]GDP 2015 Constant'!$B$6:$B$271,'[2]GDP 2015 Constant'!$BM$6:$BM$271)</f>
        <v>23418945737</v>
      </c>
      <c r="K215" s="193">
        <f t="shared" si="6"/>
        <v>1273.8795576425443</v>
      </c>
      <c r="L215" s="194">
        <f>_xlfn.XLOOKUP(C215,'[5]Tourism Receipts'!$B$6:$B$271,'[5]Tourism Receipts'!$BK$6:$BK$271)</f>
        <v>0</v>
      </c>
      <c r="M215" s="195">
        <f t="shared" si="7"/>
        <v>0</v>
      </c>
      <c r="N215">
        <v>2.8607749368079598</v>
      </c>
      <c r="O215" s="188">
        <v>10179380</v>
      </c>
      <c r="P215" s="188">
        <v>122.43</v>
      </c>
      <c r="Q215">
        <v>36.930964979427102</v>
      </c>
      <c r="R215">
        <v>34.6361926031881</v>
      </c>
      <c r="S215">
        <v>717.34730460338005</v>
      </c>
      <c r="T215">
        <v>24.729894133631099</v>
      </c>
    </row>
    <row r="216" spans="1:20" ht="25" x14ac:dyDescent="0.2">
      <c r="A216" s="163" t="s">
        <v>154</v>
      </c>
      <c r="B216" s="163">
        <v>716</v>
      </c>
      <c r="C216" t="str">
        <f>_xlfn.XLOOKUP(B216,'Country Code M49'!$B$2:$B$250,'Country Code M49'!$C$2:$C$250,,0)</f>
        <v>ZWE</v>
      </c>
      <c r="D216" s="163" t="s">
        <v>855</v>
      </c>
      <c r="E216" s="164">
        <v>15.640228594822497</v>
      </c>
      <c r="F216" s="164">
        <v>229058.9678854729</v>
      </c>
      <c r="G216" s="160" t="s">
        <v>872</v>
      </c>
      <c r="H216" s="188">
        <f>_xlfn.XLOOKUP(D216,'[1]World Population'!$B$2:$B$267,'[1]World Population'!$BN$2:$BN$267,0)</f>
        <v>14862927</v>
      </c>
      <c r="I216" s="188">
        <f>_xlfn.XLOOKUP(C216,'[4]Access to Electricity'!$B$6:$B$271,'[4]Access to Electricity'!$BM$6:$BM$271)</f>
        <v>52.747669219970703</v>
      </c>
      <c r="J216" s="194">
        <f>_xlfn.XLOOKUP(C216,'[2]GDP 2015 Constant'!$B$6:$B$271,'[2]GDP 2015 Constant'!$BM$6:$BM$271)</f>
        <v>19426048166</v>
      </c>
      <c r="K216" s="193">
        <f t="shared" si="6"/>
        <v>1307.0136296841126</v>
      </c>
      <c r="L216" s="194">
        <f>_xlfn.XLOOKUP(C216,'[5]Tourism Receipts'!$B$6:$B$271,'[5]Tourism Receipts'!$BK$6:$BK$271)</f>
        <v>191000000</v>
      </c>
      <c r="M216" s="195">
        <f t="shared" si="7"/>
        <v>9.832159292917508E-3</v>
      </c>
      <c r="N216">
        <v>10.1436570902064</v>
      </c>
      <c r="O216" s="188">
        <v>10070822</v>
      </c>
      <c r="P216" s="188">
        <v>110.59</v>
      </c>
      <c r="Q216">
        <v>41.397264241835899</v>
      </c>
      <c r="R216">
        <v>31.2510404125177</v>
      </c>
      <c r="S216">
        <v>609.12465195768505</v>
      </c>
      <c r="T216">
        <v>38.420387747188798</v>
      </c>
    </row>
    <row r="217" spans="1:20" x14ac:dyDescent="0.2">
      <c r="P217" s="188"/>
    </row>
  </sheetData>
  <autoFilter ref="A1:K216" xr:uid="{4590C242-9A5F-4A7B-8939-F379BC6D1BE6}">
    <sortState xmlns:xlrd2="http://schemas.microsoft.com/office/spreadsheetml/2017/richdata2" ref="A2:K216">
      <sortCondition ref="D1:D216"/>
    </sortState>
  </autoFilter>
  <conditionalFormatting sqref="G2:G216">
    <cfRule type="containsText" dxfId="3" priority="5" operator="containsText" text="Medium Confidence">
      <formula>NOT(ISERROR(SEARCH("Medium Confidence",G2)))</formula>
    </cfRule>
    <cfRule type="containsText" dxfId="2" priority="6" operator="containsText" text="Very Low Confidence">
      <formula>NOT(ISERROR(SEARCH("Very Low Confidence",G2)))</formula>
    </cfRule>
    <cfRule type="containsText" dxfId="1" priority="7" operator="containsText" text="Low Confidence">
      <formula>NOT(ISERROR(SEARCH("Low Confidence",G2)))</formula>
    </cfRule>
    <cfRule type="containsText" dxfId="0" priority="8" operator="containsText" text="High Confidence">
      <formula>NOT(ISERROR(SEARCH("High Confidence",G2)))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0D0D-8871-1745-8C80-218AF4231BE3}">
  <sheetPr>
    <tabColor theme="7" tint="0.79998168889431442"/>
  </sheetPr>
  <dimension ref="A1:C250"/>
  <sheetViews>
    <sheetView workbookViewId="0">
      <selection activeCell="I38" sqref="I38"/>
    </sheetView>
  </sheetViews>
  <sheetFormatPr baseColWidth="10" defaultRowHeight="15" x14ac:dyDescent="0.2"/>
  <cols>
    <col min="1" max="1" width="53.83203125" bestFit="1" customWidth="1"/>
    <col min="2" max="2" width="11.1640625" bestFit="1" customWidth="1"/>
    <col min="3" max="3" width="18.1640625" bestFit="1" customWidth="1"/>
  </cols>
  <sheetData>
    <row r="1" spans="1:3" ht="17" x14ac:dyDescent="0.2">
      <c r="A1" s="191" t="s">
        <v>889</v>
      </c>
      <c r="B1" s="191" t="s">
        <v>686</v>
      </c>
      <c r="C1" s="191" t="s">
        <v>890</v>
      </c>
    </row>
    <row r="2" spans="1:3" ht="17" x14ac:dyDescent="0.2">
      <c r="A2" s="192" t="s">
        <v>797</v>
      </c>
      <c r="B2" s="192">
        <v>4</v>
      </c>
      <c r="C2" s="192" t="s">
        <v>891</v>
      </c>
    </row>
    <row r="3" spans="1:3" ht="17" x14ac:dyDescent="0.2">
      <c r="A3" s="192" t="s">
        <v>892</v>
      </c>
      <c r="B3" s="192">
        <v>248</v>
      </c>
      <c r="C3" s="192" t="s">
        <v>893</v>
      </c>
    </row>
    <row r="4" spans="1:3" ht="17" x14ac:dyDescent="0.2">
      <c r="A4" s="192" t="s">
        <v>802</v>
      </c>
      <c r="B4" s="192">
        <v>8</v>
      </c>
      <c r="C4" s="192" t="s">
        <v>894</v>
      </c>
    </row>
    <row r="5" spans="1:3" ht="17" x14ac:dyDescent="0.2">
      <c r="A5" s="192" t="s">
        <v>764</v>
      </c>
      <c r="B5" s="192">
        <v>12</v>
      </c>
      <c r="C5" s="192" t="s">
        <v>895</v>
      </c>
    </row>
    <row r="6" spans="1:3" ht="17" x14ac:dyDescent="0.2">
      <c r="A6" s="192" t="s">
        <v>780</v>
      </c>
      <c r="B6" s="192">
        <v>16</v>
      </c>
      <c r="C6" s="192" t="s">
        <v>896</v>
      </c>
    </row>
    <row r="7" spans="1:3" ht="17" x14ac:dyDescent="0.2">
      <c r="A7" s="192" t="s">
        <v>803</v>
      </c>
      <c r="B7" s="192">
        <v>20</v>
      </c>
      <c r="C7" s="192" t="s">
        <v>897</v>
      </c>
    </row>
    <row r="8" spans="1:3" ht="17" x14ac:dyDescent="0.2">
      <c r="A8" s="192" t="s">
        <v>812</v>
      </c>
      <c r="B8" s="192">
        <v>24</v>
      </c>
      <c r="C8" s="192" t="s">
        <v>898</v>
      </c>
    </row>
    <row r="9" spans="1:3" ht="17" x14ac:dyDescent="0.2">
      <c r="A9" s="192" t="s">
        <v>707</v>
      </c>
      <c r="B9" s="192">
        <v>660</v>
      </c>
      <c r="C9" s="192" t="s">
        <v>899</v>
      </c>
    </row>
    <row r="10" spans="1:3" ht="17" x14ac:dyDescent="0.2">
      <c r="A10" s="192" t="s">
        <v>900</v>
      </c>
      <c r="B10" s="192">
        <v>10</v>
      </c>
      <c r="C10" s="192" t="s">
        <v>901</v>
      </c>
    </row>
    <row r="11" spans="1:3" ht="17" x14ac:dyDescent="0.2">
      <c r="A11" s="192" t="s">
        <v>708</v>
      </c>
      <c r="B11" s="192">
        <v>28</v>
      </c>
      <c r="C11" s="192" t="s">
        <v>902</v>
      </c>
    </row>
    <row r="12" spans="1:3" ht="17" x14ac:dyDescent="0.2">
      <c r="A12" s="192" t="s">
        <v>709</v>
      </c>
      <c r="B12" s="192">
        <v>32</v>
      </c>
      <c r="C12" s="192" t="s">
        <v>903</v>
      </c>
    </row>
    <row r="13" spans="1:3" ht="17" x14ac:dyDescent="0.2">
      <c r="A13" s="192" t="s">
        <v>856</v>
      </c>
      <c r="B13" s="192">
        <v>51</v>
      </c>
      <c r="C13" s="192" t="s">
        <v>904</v>
      </c>
    </row>
    <row r="14" spans="1:3" ht="17" x14ac:dyDescent="0.2">
      <c r="A14" s="192" t="s">
        <v>710</v>
      </c>
      <c r="B14" s="192">
        <v>533</v>
      </c>
      <c r="C14" s="192" t="s">
        <v>905</v>
      </c>
    </row>
    <row r="15" spans="1:3" ht="17" x14ac:dyDescent="0.2">
      <c r="A15" s="192" t="s">
        <v>91</v>
      </c>
      <c r="B15" s="192">
        <v>36</v>
      </c>
      <c r="C15" s="192" t="s">
        <v>906</v>
      </c>
    </row>
    <row r="16" spans="1:3" ht="17" x14ac:dyDescent="0.2">
      <c r="A16" s="192" t="s">
        <v>92</v>
      </c>
      <c r="B16" s="192">
        <v>40</v>
      </c>
      <c r="C16" s="192" t="s">
        <v>907</v>
      </c>
    </row>
    <row r="17" spans="1:3" ht="17" x14ac:dyDescent="0.2">
      <c r="A17" s="192" t="s">
        <v>857</v>
      </c>
      <c r="B17" s="192">
        <v>31</v>
      </c>
      <c r="C17" s="192" t="s">
        <v>908</v>
      </c>
    </row>
    <row r="18" spans="1:3" ht="17" x14ac:dyDescent="0.2">
      <c r="A18" s="192" t="s">
        <v>711</v>
      </c>
      <c r="B18" s="192">
        <v>44</v>
      </c>
      <c r="C18" s="192" t="s">
        <v>909</v>
      </c>
    </row>
    <row r="19" spans="1:3" ht="17" x14ac:dyDescent="0.2">
      <c r="A19" s="192" t="s">
        <v>93</v>
      </c>
      <c r="B19" s="192">
        <v>48</v>
      </c>
      <c r="C19" s="192" t="s">
        <v>910</v>
      </c>
    </row>
    <row r="20" spans="1:3" ht="17" x14ac:dyDescent="0.2">
      <c r="A20" s="192" t="s">
        <v>94</v>
      </c>
      <c r="B20" s="192">
        <v>50</v>
      </c>
      <c r="C20" s="192" t="s">
        <v>911</v>
      </c>
    </row>
    <row r="21" spans="1:3" ht="17" x14ac:dyDescent="0.2">
      <c r="A21" s="192" t="s">
        <v>712</v>
      </c>
      <c r="B21" s="192">
        <v>52</v>
      </c>
      <c r="C21" s="192" t="s">
        <v>912</v>
      </c>
    </row>
    <row r="22" spans="1:3" ht="17" x14ac:dyDescent="0.2">
      <c r="A22" s="192" t="s">
        <v>700</v>
      </c>
      <c r="B22" s="192">
        <v>112</v>
      </c>
      <c r="C22" s="192" t="s">
        <v>913</v>
      </c>
    </row>
    <row r="23" spans="1:3" ht="17" x14ac:dyDescent="0.2">
      <c r="A23" s="192" t="s">
        <v>95</v>
      </c>
      <c r="B23" s="192">
        <v>56</v>
      </c>
      <c r="C23" s="192" t="s">
        <v>914</v>
      </c>
    </row>
    <row r="24" spans="1:3" ht="17" x14ac:dyDescent="0.2">
      <c r="A24" s="192" t="s">
        <v>96</v>
      </c>
      <c r="B24" s="192">
        <v>84</v>
      </c>
      <c r="C24" s="192" t="s">
        <v>915</v>
      </c>
    </row>
    <row r="25" spans="1:3" ht="17" x14ac:dyDescent="0.2">
      <c r="A25" s="192" t="s">
        <v>813</v>
      </c>
      <c r="B25" s="192">
        <v>204</v>
      </c>
      <c r="C25" s="192" t="s">
        <v>916</v>
      </c>
    </row>
    <row r="26" spans="1:3" ht="17" x14ac:dyDescent="0.2">
      <c r="A26" s="192" t="s">
        <v>771</v>
      </c>
      <c r="B26" s="192">
        <v>60</v>
      </c>
      <c r="C26" s="192" t="s">
        <v>917</v>
      </c>
    </row>
    <row r="27" spans="1:3" ht="17" x14ac:dyDescent="0.2">
      <c r="A27" s="192" t="s">
        <v>798</v>
      </c>
      <c r="B27" s="192">
        <v>64</v>
      </c>
      <c r="C27" s="192" t="s">
        <v>918</v>
      </c>
    </row>
    <row r="28" spans="1:3" ht="17" x14ac:dyDescent="0.2">
      <c r="A28" s="192" t="s">
        <v>919</v>
      </c>
      <c r="B28" s="192">
        <v>68</v>
      </c>
      <c r="C28" s="192" t="s">
        <v>920</v>
      </c>
    </row>
    <row r="29" spans="1:3" ht="17" x14ac:dyDescent="0.2">
      <c r="A29" s="192" t="s">
        <v>921</v>
      </c>
      <c r="B29" s="192">
        <v>535</v>
      </c>
      <c r="C29" s="192" t="s">
        <v>922</v>
      </c>
    </row>
    <row r="30" spans="1:3" ht="17" x14ac:dyDescent="0.2">
      <c r="A30" s="192" t="s">
        <v>804</v>
      </c>
      <c r="B30" s="192">
        <v>70</v>
      </c>
      <c r="C30" s="192" t="s">
        <v>923</v>
      </c>
    </row>
    <row r="31" spans="1:3" ht="17" x14ac:dyDescent="0.2">
      <c r="A31" s="192" t="s">
        <v>814</v>
      </c>
      <c r="B31" s="192">
        <v>72</v>
      </c>
      <c r="C31" s="192" t="s">
        <v>924</v>
      </c>
    </row>
    <row r="32" spans="1:3" ht="17" x14ac:dyDescent="0.2">
      <c r="A32" s="192" t="s">
        <v>925</v>
      </c>
      <c r="B32" s="192">
        <v>74</v>
      </c>
      <c r="C32" s="192" t="s">
        <v>926</v>
      </c>
    </row>
    <row r="33" spans="1:3" ht="17" x14ac:dyDescent="0.2">
      <c r="A33" s="192" t="s">
        <v>97</v>
      </c>
      <c r="B33" s="192">
        <v>76</v>
      </c>
      <c r="C33" s="192" t="s">
        <v>927</v>
      </c>
    </row>
    <row r="34" spans="1:3" ht="17" x14ac:dyDescent="0.2">
      <c r="A34" s="192" t="s">
        <v>928</v>
      </c>
      <c r="B34" s="192">
        <v>86</v>
      </c>
      <c r="C34" s="192" t="s">
        <v>929</v>
      </c>
    </row>
    <row r="35" spans="1:3" ht="17" x14ac:dyDescent="0.2">
      <c r="A35" s="192" t="s">
        <v>714</v>
      </c>
      <c r="B35" s="192">
        <v>92</v>
      </c>
      <c r="C35" s="192" t="s">
        <v>930</v>
      </c>
    </row>
    <row r="36" spans="1:3" ht="17" x14ac:dyDescent="0.2">
      <c r="A36" s="192" t="s">
        <v>789</v>
      </c>
      <c r="B36" s="192">
        <v>96</v>
      </c>
      <c r="C36" s="192" t="s">
        <v>931</v>
      </c>
    </row>
    <row r="37" spans="1:3" ht="17" x14ac:dyDescent="0.2">
      <c r="A37" s="192" t="s">
        <v>701</v>
      </c>
      <c r="B37" s="192">
        <v>100</v>
      </c>
      <c r="C37" s="192" t="s">
        <v>932</v>
      </c>
    </row>
    <row r="38" spans="1:3" ht="17" x14ac:dyDescent="0.2">
      <c r="A38" s="192" t="s">
        <v>815</v>
      </c>
      <c r="B38" s="192">
        <v>854</v>
      </c>
      <c r="C38" s="192" t="s">
        <v>933</v>
      </c>
    </row>
    <row r="39" spans="1:3" ht="17" x14ac:dyDescent="0.2">
      <c r="A39" s="192" t="s">
        <v>816</v>
      </c>
      <c r="B39" s="192">
        <v>108</v>
      </c>
      <c r="C39" s="192" t="s">
        <v>934</v>
      </c>
    </row>
    <row r="40" spans="1:3" ht="17" x14ac:dyDescent="0.2">
      <c r="A40" s="192" t="s">
        <v>817</v>
      </c>
      <c r="B40" s="192">
        <v>132</v>
      </c>
      <c r="C40" s="192" t="s">
        <v>935</v>
      </c>
    </row>
    <row r="41" spans="1:3" ht="17" x14ac:dyDescent="0.2">
      <c r="A41" s="192" t="s">
        <v>790</v>
      </c>
      <c r="B41" s="192">
        <v>116</v>
      </c>
      <c r="C41" s="192" t="s">
        <v>936</v>
      </c>
    </row>
    <row r="42" spans="1:3" ht="17" x14ac:dyDescent="0.2">
      <c r="A42" s="192" t="s">
        <v>818</v>
      </c>
      <c r="B42" s="192">
        <v>120</v>
      </c>
      <c r="C42" s="192" t="s">
        <v>937</v>
      </c>
    </row>
    <row r="43" spans="1:3" ht="17" x14ac:dyDescent="0.2">
      <c r="A43" s="192" t="s">
        <v>98</v>
      </c>
      <c r="B43" s="192">
        <v>124</v>
      </c>
      <c r="C43" s="192" t="s">
        <v>938</v>
      </c>
    </row>
    <row r="44" spans="1:3" ht="17" x14ac:dyDescent="0.2">
      <c r="A44" s="192" t="s">
        <v>715</v>
      </c>
      <c r="B44" s="192">
        <v>136</v>
      </c>
      <c r="C44" s="192" t="s">
        <v>939</v>
      </c>
    </row>
    <row r="45" spans="1:3" ht="17" x14ac:dyDescent="0.2">
      <c r="A45" s="192" t="s">
        <v>819</v>
      </c>
      <c r="B45" s="192">
        <v>140</v>
      </c>
      <c r="C45" s="192" t="s">
        <v>940</v>
      </c>
    </row>
    <row r="46" spans="1:3" ht="17" x14ac:dyDescent="0.2">
      <c r="A46" s="192" t="s">
        <v>820</v>
      </c>
      <c r="B46" s="192">
        <v>148</v>
      </c>
      <c r="C46" s="192" t="s">
        <v>941</v>
      </c>
    </row>
    <row r="47" spans="1:3" ht="17" x14ac:dyDescent="0.2">
      <c r="A47" s="192" t="s">
        <v>716</v>
      </c>
      <c r="B47" s="192">
        <v>152</v>
      </c>
      <c r="C47" s="192" t="s">
        <v>942</v>
      </c>
    </row>
    <row r="48" spans="1:3" ht="17" x14ac:dyDescent="0.2">
      <c r="A48" s="192" t="s">
        <v>99</v>
      </c>
      <c r="B48" s="192">
        <v>156</v>
      </c>
      <c r="C48" s="192" t="s">
        <v>943</v>
      </c>
    </row>
    <row r="49" spans="1:3" ht="17" x14ac:dyDescent="0.2">
      <c r="A49" s="192" t="s">
        <v>944</v>
      </c>
      <c r="B49" s="192">
        <v>344</v>
      </c>
      <c r="C49" s="192" t="s">
        <v>945</v>
      </c>
    </row>
    <row r="50" spans="1:3" ht="17" x14ac:dyDescent="0.2">
      <c r="A50" s="192" t="s">
        <v>946</v>
      </c>
      <c r="B50" s="192">
        <v>446</v>
      </c>
      <c r="C50" s="192" t="s">
        <v>947</v>
      </c>
    </row>
    <row r="51" spans="1:3" ht="17" x14ac:dyDescent="0.2">
      <c r="A51" s="192" t="s">
        <v>948</v>
      </c>
      <c r="B51" s="192">
        <v>162</v>
      </c>
      <c r="C51" s="192" t="s">
        <v>949</v>
      </c>
    </row>
    <row r="52" spans="1:3" ht="17" x14ac:dyDescent="0.2">
      <c r="A52" s="192" t="s">
        <v>950</v>
      </c>
      <c r="B52" s="192">
        <v>166</v>
      </c>
      <c r="C52" s="192" t="s">
        <v>951</v>
      </c>
    </row>
    <row r="53" spans="1:3" ht="17" x14ac:dyDescent="0.2">
      <c r="A53" s="192" t="s">
        <v>100</v>
      </c>
      <c r="B53" s="192">
        <v>170</v>
      </c>
      <c r="C53" s="192" t="s">
        <v>952</v>
      </c>
    </row>
    <row r="54" spans="1:3" ht="17" x14ac:dyDescent="0.2">
      <c r="A54" s="192" t="s">
        <v>821</v>
      </c>
      <c r="B54" s="192">
        <v>174</v>
      </c>
      <c r="C54" s="192" t="s">
        <v>953</v>
      </c>
    </row>
    <row r="55" spans="1:3" ht="17" x14ac:dyDescent="0.2">
      <c r="A55" s="192" t="s">
        <v>822</v>
      </c>
      <c r="B55" s="192">
        <v>178</v>
      </c>
      <c r="C55" s="192" t="s">
        <v>954</v>
      </c>
    </row>
    <row r="56" spans="1:3" ht="17" x14ac:dyDescent="0.2">
      <c r="A56" s="192" t="s">
        <v>781</v>
      </c>
      <c r="B56" s="192">
        <v>184</v>
      </c>
      <c r="C56" s="192" t="s">
        <v>955</v>
      </c>
    </row>
    <row r="57" spans="1:3" ht="17" x14ac:dyDescent="0.2">
      <c r="A57" s="192" t="s">
        <v>717</v>
      </c>
      <c r="B57" s="192">
        <v>188</v>
      </c>
      <c r="C57" s="192" t="s">
        <v>956</v>
      </c>
    </row>
    <row r="58" spans="1:3" ht="17" x14ac:dyDescent="0.2">
      <c r="A58" s="192" t="s">
        <v>823</v>
      </c>
      <c r="B58" s="192">
        <v>384</v>
      </c>
      <c r="C58" s="192" t="s">
        <v>957</v>
      </c>
    </row>
    <row r="59" spans="1:3" ht="17" x14ac:dyDescent="0.2">
      <c r="A59" s="192" t="s">
        <v>805</v>
      </c>
      <c r="B59" s="192">
        <v>191</v>
      </c>
      <c r="C59" s="192" t="s">
        <v>958</v>
      </c>
    </row>
    <row r="60" spans="1:3" ht="17" x14ac:dyDescent="0.2">
      <c r="A60" s="192" t="s">
        <v>718</v>
      </c>
      <c r="B60" s="192">
        <v>192</v>
      </c>
      <c r="C60" s="192" t="s">
        <v>959</v>
      </c>
    </row>
    <row r="61" spans="1:3" ht="17" x14ac:dyDescent="0.2">
      <c r="A61" s="192" t="s">
        <v>719</v>
      </c>
      <c r="B61" s="192">
        <v>531</v>
      </c>
      <c r="C61" s="192" t="s">
        <v>960</v>
      </c>
    </row>
    <row r="62" spans="1:3" ht="17" x14ac:dyDescent="0.2">
      <c r="A62" s="192" t="s">
        <v>858</v>
      </c>
      <c r="B62" s="192">
        <v>196</v>
      </c>
      <c r="C62" s="192" t="s">
        <v>961</v>
      </c>
    </row>
    <row r="63" spans="1:3" ht="17" x14ac:dyDescent="0.2">
      <c r="A63" s="192" t="s">
        <v>702</v>
      </c>
      <c r="B63" s="192">
        <v>203</v>
      </c>
      <c r="C63" s="192" t="s">
        <v>962</v>
      </c>
    </row>
    <row r="64" spans="1:3" ht="17" x14ac:dyDescent="0.2">
      <c r="A64" s="192" t="s">
        <v>963</v>
      </c>
      <c r="B64" s="192">
        <v>408</v>
      </c>
      <c r="C64" s="192" t="s">
        <v>964</v>
      </c>
    </row>
    <row r="65" spans="1:3" ht="17" x14ac:dyDescent="0.2">
      <c r="A65" s="192" t="s">
        <v>965</v>
      </c>
      <c r="B65" s="192">
        <v>180</v>
      </c>
      <c r="C65" s="192" t="s">
        <v>966</v>
      </c>
    </row>
    <row r="66" spans="1:3" ht="17" x14ac:dyDescent="0.2">
      <c r="A66" s="192" t="s">
        <v>101</v>
      </c>
      <c r="B66" s="192">
        <v>208</v>
      </c>
      <c r="C66" s="192" t="s">
        <v>967</v>
      </c>
    </row>
    <row r="67" spans="1:3" ht="17" x14ac:dyDescent="0.2">
      <c r="A67" s="192" t="s">
        <v>825</v>
      </c>
      <c r="B67" s="192">
        <v>262</v>
      </c>
      <c r="C67" s="192" t="s">
        <v>968</v>
      </c>
    </row>
    <row r="68" spans="1:3" ht="17" x14ac:dyDescent="0.2">
      <c r="A68" s="192" t="s">
        <v>720</v>
      </c>
      <c r="B68" s="192">
        <v>212</v>
      </c>
      <c r="C68" s="192" t="s">
        <v>969</v>
      </c>
    </row>
    <row r="69" spans="1:3" ht="17" x14ac:dyDescent="0.2">
      <c r="A69" s="192" t="s">
        <v>721</v>
      </c>
      <c r="B69" s="192">
        <v>214</v>
      </c>
      <c r="C69" s="192" t="s">
        <v>970</v>
      </c>
    </row>
    <row r="70" spans="1:3" ht="17" x14ac:dyDescent="0.2">
      <c r="A70" s="192" t="s">
        <v>722</v>
      </c>
      <c r="B70" s="192">
        <v>218</v>
      </c>
      <c r="C70" s="192" t="s">
        <v>971</v>
      </c>
    </row>
    <row r="71" spans="1:3" ht="17" x14ac:dyDescent="0.2">
      <c r="A71" s="192" t="s">
        <v>765</v>
      </c>
      <c r="B71" s="192">
        <v>818</v>
      </c>
      <c r="C71" s="192" t="s">
        <v>972</v>
      </c>
    </row>
    <row r="72" spans="1:3" ht="17" x14ac:dyDescent="0.2">
      <c r="A72" s="192" t="s">
        <v>723</v>
      </c>
      <c r="B72" s="192">
        <v>222</v>
      </c>
      <c r="C72" s="192" t="s">
        <v>973</v>
      </c>
    </row>
    <row r="73" spans="1:3" ht="17" x14ac:dyDescent="0.2">
      <c r="A73" s="192" t="s">
        <v>826</v>
      </c>
      <c r="B73" s="192">
        <v>226</v>
      </c>
      <c r="C73" s="192" t="s">
        <v>974</v>
      </c>
    </row>
    <row r="74" spans="1:3" ht="17" x14ac:dyDescent="0.2">
      <c r="A74" s="192" t="s">
        <v>827</v>
      </c>
      <c r="B74" s="192">
        <v>232</v>
      </c>
      <c r="C74" s="192" t="s">
        <v>975</v>
      </c>
    </row>
    <row r="75" spans="1:3" ht="17" x14ac:dyDescent="0.2">
      <c r="A75" s="192" t="s">
        <v>102</v>
      </c>
      <c r="B75" s="192">
        <v>233</v>
      </c>
      <c r="C75" s="192" t="s">
        <v>976</v>
      </c>
    </row>
    <row r="76" spans="1:3" ht="17" x14ac:dyDescent="0.2">
      <c r="A76" s="192" t="s">
        <v>828</v>
      </c>
      <c r="B76" s="192">
        <v>748</v>
      </c>
      <c r="C76" s="192" t="s">
        <v>977</v>
      </c>
    </row>
    <row r="77" spans="1:3" ht="17" x14ac:dyDescent="0.2">
      <c r="A77" s="192" t="s">
        <v>103</v>
      </c>
      <c r="B77" s="192">
        <v>231</v>
      </c>
      <c r="C77" s="192" t="s">
        <v>978</v>
      </c>
    </row>
    <row r="78" spans="1:3" ht="17" x14ac:dyDescent="0.2">
      <c r="A78" s="192" t="s">
        <v>724</v>
      </c>
      <c r="B78" s="192">
        <v>238</v>
      </c>
      <c r="C78" s="192" t="s">
        <v>979</v>
      </c>
    </row>
    <row r="79" spans="1:3" ht="17" x14ac:dyDescent="0.2">
      <c r="A79" s="192" t="s">
        <v>774</v>
      </c>
      <c r="B79" s="192">
        <v>234</v>
      </c>
      <c r="C79" s="192" t="s">
        <v>980</v>
      </c>
    </row>
    <row r="80" spans="1:3" ht="17" x14ac:dyDescent="0.2">
      <c r="A80" s="192" t="s">
        <v>752</v>
      </c>
      <c r="B80" s="192">
        <v>242</v>
      </c>
      <c r="C80" s="192" t="s">
        <v>981</v>
      </c>
    </row>
    <row r="81" spans="1:3" ht="17" x14ac:dyDescent="0.2">
      <c r="A81" s="192" t="s">
        <v>104</v>
      </c>
      <c r="B81" s="192">
        <v>246</v>
      </c>
      <c r="C81" s="192" t="s">
        <v>982</v>
      </c>
    </row>
    <row r="82" spans="1:3" ht="17" x14ac:dyDescent="0.2">
      <c r="A82" s="192" t="s">
        <v>105</v>
      </c>
      <c r="B82" s="192">
        <v>250</v>
      </c>
      <c r="C82" s="192" t="s">
        <v>983</v>
      </c>
    </row>
    <row r="83" spans="1:3" ht="17" x14ac:dyDescent="0.2">
      <c r="A83" s="192" t="s">
        <v>725</v>
      </c>
      <c r="B83" s="192">
        <v>254</v>
      </c>
      <c r="C83" s="192" t="s">
        <v>984</v>
      </c>
    </row>
    <row r="84" spans="1:3" ht="17" x14ac:dyDescent="0.2">
      <c r="A84" s="192" t="s">
        <v>782</v>
      </c>
      <c r="B84" s="192">
        <v>258</v>
      </c>
      <c r="C84" s="192" t="s">
        <v>985</v>
      </c>
    </row>
    <row r="85" spans="1:3" ht="17" x14ac:dyDescent="0.2">
      <c r="A85" s="192" t="s">
        <v>986</v>
      </c>
      <c r="B85" s="192">
        <v>260</v>
      </c>
      <c r="C85" s="192" t="s">
        <v>987</v>
      </c>
    </row>
    <row r="86" spans="1:3" ht="17" x14ac:dyDescent="0.2">
      <c r="A86" s="192" t="s">
        <v>829</v>
      </c>
      <c r="B86" s="192">
        <v>266</v>
      </c>
      <c r="C86" s="192" t="s">
        <v>988</v>
      </c>
    </row>
    <row r="87" spans="1:3" ht="17" x14ac:dyDescent="0.2">
      <c r="A87" s="192" t="s">
        <v>830</v>
      </c>
      <c r="B87" s="192">
        <v>270</v>
      </c>
      <c r="C87" s="192" t="s">
        <v>989</v>
      </c>
    </row>
    <row r="88" spans="1:3" ht="17" x14ac:dyDescent="0.2">
      <c r="A88" s="192" t="s">
        <v>106</v>
      </c>
      <c r="B88" s="192">
        <v>268</v>
      </c>
      <c r="C88" s="192" t="s">
        <v>990</v>
      </c>
    </row>
    <row r="89" spans="1:3" ht="17" x14ac:dyDescent="0.2">
      <c r="A89" s="192" t="s">
        <v>107</v>
      </c>
      <c r="B89" s="192">
        <v>276</v>
      </c>
      <c r="C89" s="192" t="s">
        <v>991</v>
      </c>
    </row>
    <row r="90" spans="1:3" ht="17" x14ac:dyDescent="0.2">
      <c r="A90" s="192" t="s">
        <v>108</v>
      </c>
      <c r="B90" s="192">
        <v>288</v>
      </c>
      <c r="C90" s="192" t="s">
        <v>992</v>
      </c>
    </row>
    <row r="91" spans="1:3" ht="17" x14ac:dyDescent="0.2">
      <c r="A91" s="192" t="s">
        <v>806</v>
      </c>
      <c r="B91" s="192">
        <v>292</v>
      </c>
      <c r="C91" s="192" t="s">
        <v>993</v>
      </c>
    </row>
    <row r="92" spans="1:3" ht="17" x14ac:dyDescent="0.2">
      <c r="A92" s="192" t="s">
        <v>109</v>
      </c>
      <c r="B92" s="192">
        <v>300</v>
      </c>
      <c r="C92" s="192" t="s">
        <v>994</v>
      </c>
    </row>
    <row r="93" spans="1:3" ht="17" x14ac:dyDescent="0.2">
      <c r="A93" s="192" t="s">
        <v>772</v>
      </c>
      <c r="B93" s="192">
        <v>304</v>
      </c>
      <c r="C93" s="192" t="s">
        <v>995</v>
      </c>
    </row>
    <row r="94" spans="1:3" ht="17" x14ac:dyDescent="0.2">
      <c r="A94" s="192" t="s">
        <v>726</v>
      </c>
      <c r="B94" s="192">
        <v>308</v>
      </c>
      <c r="C94" s="192" t="s">
        <v>996</v>
      </c>
    </row>
    <row r="95" spans="1:3" ht="17" x14ac:dyDescent="0.2">
      <c r="A95" s="192" t="s">
        <v>727</v>
      </c>
      <c r="B95" s="192">
        <v>312</v>
      </c>
      <c r="C95" s="192" t="s">
        <v>997</v>
      </c>
    </row>
    <row r="96" spans="1:3" ht="17" x14ac:dyDescent="0.2">
      <c r="A96" s="192" t="s">
        <v>757</v>
      </c>
      <c r="B96" s="192">
        <v>316</v>
      </c>
      <c r="C96" s="192" t="s">
        <v>998</v>
      </c>
    </row>
    <row r="97" spans="1:3" ht="17" x14ac:dyDescent="0.2">
      <c r="A97" s="192" t="s">
        <v>728</v>
      </c>
      <c r="B97" s="192">
        <v>320</v>
      </c>
      <c r="C97" s="192" t="s">
        <v>999</v>
      </c>
    </row>
    <row r="98" spans="1:3" ht="17" x14ac:dyDescent="0.2">
      <c r="A98" s="192" t="s">
        <v>1000</v>
      </c>
      <c r="B98" s="192">
        <v>831</v>
      </c>
      <c r="C98" s="192" t="s">
        <v>1001</v>
      </c>
    </row>
    <row r="99" spans="1:3" ht="17" x14ac:dyDescent="0.2">
      <c r="A99" s="192" t="s">
        <v>831</v>
      </c>
      <c r="B99" s="192">
        <v>324</v>
      </c>
      <c r="C99" s="192" t="s">
        <v>1002</v>
      </c>
    </row>
    <row r="100" spans="1:3" ht="17" x14ac:dyDescent="0.2">
      <c r="A100" s="192" t="s">
        <v>832</v>
      </c>
      <c r="B100" s="192">
        <v>624</v>
      </c>
      <c r="C100" s="192" t="s">
        <v>1003</v>
      </c>
    </row>
    <row r="101" spans="1:3" ht="17" x14ac:dyDescent="0.2">
      <c r="A101" s="192" t="s">
        <v>729</v>
      </c>
      <c r="B101" s="192">
        <v>328</v>
      </c>
      <c r="C101" s="192" t="s">
        <v>1004</v>
      </c>
    </row>
    <row r="102" spans="1:3" ht="17" x14ac:dyDescent="0.2">
      <c r="A102" s="192" t="s">
        <v>730</v>
      </c>
      <c r="B102" s="192">
        <v>332</v>
      </c>
      <c r="C102" s="192" t="s">
        <v>1005</v>
      </c>
    </row>
    <row r="103" spans="1:3" ht="17" x14ac:dyDescent="0.2">
      <c r="A103" s="192" t="s">
        <v>1006</v>
      </c>
      <c r="B103" s="192">
        <v>334</v>
      </c>
      <c r="C103" s="192" t="s">
        <v>1007</v>
      </c>
    </row>
    <row r="104" spans="1:3" ht="17" x14ac:dyDescent="0.2">
      <c r="A104" s="192" t="s">
        <v>807</v>
      </c>
      <c r="B104" s="192">
        <v>336</v>
      </c>
      <c r="C104" s="192" t="s">
        <v>1008</v>
      </c>
    </row>
    <row r="105" spans="1:3" ht="17" x14ac:dyDescent="0.2">
      <c r="A105" s="192" t="s">
        <v>731</v>
      </c>
      <c r="B105" s="192">
        <v>340</v>
      </c>
      <c r="C105" s="192" t="s">
        <v>1009</v>
      </c>
    </row>
    <row r="106" spans="1:3" ht="17" x14ac:dyDescent="0.2">
      <c r="A106" s="192" t="s">
        <v>110</v>
      </c>
      <c r="B106" s="192">
        <v>348</v>
      </c>
      <c r="C106" s="192" t="s">
        <v>1010</v>
      </c>
    </row>
    <row r="107" spans="1:3" ht="17" x14ac:dyDescent="0.2">
      <c r="A107" s="192" t="s">
        <v>775</v>
      </c>
      <c r="B107" s="192">
        <v>352</v>
      </c>
      <c r="C107" s="192" t="s">
        <v>1011</v>
      </c>
    </row>
    <row r="108" spans="1:3" ht="17" x14ac:dyDescent="0.2">
      <c r="A108" s="192" t="s">
        <v>111</v>
      </c>
      <c r="B108" s="192">
        <v>356</v>
      </c>
      <c r="C108" s="192" t="s">
        <v>1012</v>
      </c>
    </row>
    <row r="109" spans="1:3" ht="17" x14ac:dyDescent="0.2">
      <c r="A109" s="192" t="s">
        <v>112</v>
      </c>
      <c r="B109" s="192">
        <v>360</v>
      </c>
      <c r="C109" s="192" t="s">
        <v>1013</v>
      </c>
    </row>
    <row r="110" spans="1:3" ht="17" x14ac:dyDescent="0.2">
      <c r="A110" s="192" t="s">
        <v>799</v>
      </c>
      <c r="B110" s="192">
        <v>364</v>
      </c>
      <c r="C110" s="192" t="s">
        <v>1014</v>
      </c>
    </row>
    <row r="111" spans="1:3" ht="17" x14ac:dyDescent="0.2">
      <c r="A111" s="192" t="s">
        <v>113</v>
      </c>
      <c r="B111" s="192">
        <v>368</v>
      </c>
      <c r="C111" s="192" t="s">
        <v>1015</v>
      </c>
    </row>
    <row r="112" spans="1:3" ht="17" x14ac:dyDescent="0.2">
      <c r="A112" s="192" t="s">
        <v>114</v>
      </c>
      <c r="B112" s="192">
        <v>372</v>
      </c>
      <c r="C112" s="192" t="s">
        <v>1016</v>
      </c>
    </row>
    <row r="113" spans="1:3" ht="17" x14ac:dyDescent="0.2">
      <c r="A113" s="192" t="s">
        <v>776</v>
      </c>
      <c r="B113" s="192">
        <v>833</v>
      </c>
      <c r="C113" s="192" t="s">
        <v>1017</v>
      </c>
    </row>
    <row r="114" spans="1:3" ht="17" x14ac:dyDescent="0.2">
      <c r="A114" s="192" t="s">
        <v>115</v>
      </c>
      <c r="B114" s="192">
        <v>376</v>
      </c>
      <c r="C114" s="192" t="s">
        <v>1018</v>
      </c>
    </row>
    <row r="115" spans="1:3" ht="17" x14ac:dyDescent="0.2">
      <c r="A115" s="192" t="s">
        <v>116</v>
      </c>
      <c r="B115" s="192">
        <v>380</v>
      </c>
      <c r="C115" s="192" t="s">
        <v>1019</v>
      </c>
    </row>
    <row r="116" spans="1:3" ht="17" x14ac:dyDescent="0.2">
      <c r="A116" s="192" t="s">
        <v>732</v>
      </c>
      <c r="B116" s="192">
        <v>388</v>
      </c>
      <c r="C116" s="192" t="s">
        <v>1020</v>
      </c>
    </row>
    <row r="117" spans="1:3" ht="17" x14ac:dyDescent="0.2">
      <c r="A117" s="192" t="s">
        <v>117</v>
      </c>
      <c r="B117" s="192">
        <v>392</v>
      </c>
      <c r="C117" s="192" t="s">
        <v>1021</v>
      </c>
    </row>
    <row r="118" spans="1:3" ht="17" x14ac:dyDescent="0.2">
      <c r="A118" s="192" t="s">
        <v>1022</v>
      </c>
      <c r="B118" s="192">
        <v>832</v>
      </c>
      <c r="C118" s="192" t="s">
        <v>1023</v>
      </c>
    </row>
    <row r="119" spans="1:3" ht="17" x14ac:dyDescent="0.2">
      <c r="A119" s="192" t="s">
        <v>859</v>
      </c>
      <c r="B119" s="192">
        <v>400</v>
      </c>
      <c r="C119" s="192" t="s">
        <v>1024</v>
      </c>
    </row>
    <row r="120" spans="1:3" ht="17" x14ac:dyDescent="0.2">
      <c r="A120" s="192" t="s">
        <v>690</v>
      </c>
      <c r="B120" s="192">
        <v>398</v>
      </c>
      <c r="C120" s="192" t="s">
        <v>1025</v>
      </c>
    </row>
    <row r="121" spans="1:3" ht="17" x14ac:dyDescent="0.2">
      <c r="A121" s="192" t="s">
        <v>118</v>
      </c>
      <c r="B121" s="192">
        <v>404</v>
      </c>
      <c r="C121" s="192" t="s">
        <v>1026</v>
      </c>
    </row>
    <row r="122" spans="1:3" ht="17" x14ac:dyDescent="0.2">
      <c r="A122" s="192" t="s">
        <v>758</v>
      </c>
      <c r="B122" s="192">
        <v>296</v>
      </c>
      <c r="C122" s="192" t="s">
        <v>1027</v>
      </c>
    </row>
    <row r="123" spans="1:3" ht="17" x14ac:dyDescent="0.2">
      <c r="A123" s="192" t="s">
        <v>860</v>
      </c>
      <c r="B123" s="192">
        <v>414</v>
      </c>
      <c r="C123" s="192" t="s">
        <v>1028</v>
      </c>
    </row>
    <row r="124" spans="1:3" ht="17" x14ac:dyDescent="0.2">
      <c r="A124" s="192" t="s">
        <v>691</v>
      </c>
      <c r="B124" s="192">
        <v>417</v>
      </c>
      <c r="C124" s="192" t="s">
        <v>1029</v>
      </c>
    </row>
    <row r="125" spans="1:3" ht="17" x14ac:dyDescent="0.2">
      <c r="A125" s="192" t="s">
        <v>1030</v>
      </c>
      <c r="B125" s="192">
        <v>418</v>
      </c>
      <c r="C125" s="192" t="s">
        <v>1031</v>
      </c>
    </row>
    <row r="126" spans="1:3" ht="17" x14ac:dyDescent="0.2">
      <c r="A126" s="192" t="s">
        <v>777</v>
      </c>
      <c r="B126" s="192">
        <v>428</v>
      </c>
      <c r="C126" s="192" t="s">
        <v>1032</v>
      </c>
    </row>
    <row r="127" spans="1:3" ht="17" x14ac:dyDescent="0.2">
      <c r="A127" s="192" t="s">
        <v>119</v>
      </c>
      <c r="B127" s="192">
        <v>422</v>
      </c>
      <c r="C127" s="192" t="s">
        <v>1033</v>
      </c>
    </row>
    <row r="128" spans="1:3" ht="17" x14ac:dyDescent="0.2">
      <c r="A128" s="192" t="s">
        <v>833</v>
      </c>
      <c r="B128" s="192">
        <v>426</v>
      </c>
      <c r="C128" s="192" t="s">
        <v>1034</v>
      </c>
    </row>
    <row r="129" spans="1:3" ht="17" x14ac:dyDescent="0.2">
      <c r="A129" s="192" t="s">
        <v>834</v>
      </c>
      <c r="B129" s="192">
        <v>430</v>
      </c>
      <c r="C129" s="192" t="s">
        <v>1035</v>
      </c>
    </row>
    <row r="130" spans="1:3" ht="17" x14ac:dyDescent="0.2">
      <c r="A130" s="192" t="s">
        <v>766</v>
      </c>
      <c r="B130" s="192">
        <v>434</v>
      </c>
      <c r="C130" s="192" t="s">
        <v>1036</v>
      </c>
    </row>
    <row r="131" spans="1:3" ht="17" x14ac:dyDescent="0.2">
      <c r="A131" s="192" t="s">
        <v>868</v>
      </c>
      <c r="B131" s="192">
        <v>438</v>
      </c>
      <c r="C131" s="192" t="s">
        <v>1037</v>
      </c>
    </row>
    <row r="132" spans="1:3" ht="17" x14ac:dyDescent="0.2">
      <c r="A132" s="192" t="s">
        <v>778</v>
      </c>
      <c r="B132" s="192">
        <v>440</v>
      </c>
      <c r="C132" s="192" t="s">
        <v>1038</v>
      </c>
    </row>
    <row r="133" spans="1:3" ht="17" x14ac:dyDescent="0.2">
      <c r="A133" s="192" t="s">
        <v>120</v>
      </c>
      <c r="B133" s="192">
        <v>442</v>
      </c>
      <c r="C133" s="192" t="s">
        <v>1039</v>
      </c>
    </row>
    <row r="134" spans="1:3" ht="17" x14ac:dyDescent="0.2">
      <c r="A134" s="192" t="s">
        <v>835</v>
      </c>
      <c r="B134" s="192">
        <v>450</v>
      </c>
      <c r="C134" s="192" t="s">
        <v>1040</v>
      </c>
    </row>
    <row r="135" spans="1:3" ht="17" x14ac:dyDescent="0.2">
      <c r="A135" s="192" t="s">
        <v>836</v>
      </c>
      <c r="B135" s="192">
        <v>454</v>
      </c>
      <c r="C135" s="192" t="s">
        <v>1041</v>
      </c>
    </row>
    <row r="136" spans="1:3" ht="17" x14ac:dyDescent="0.2">
      <c r="A136" s="192" t="s">
        <v>121</v>
      </c>
      <c r="B136" s="192">
        <v>458</v>
      </c>
      <c r="C136" s="192" t="s">
        <v>1042</v>
      </c>
    </row>
    <row r="137" spans="1:3" ht="17" x14ac:dyDescent="0.2">
      <c r="A137" s="192" t="s">
        <v>800</v>
      </c>
      <c r="B137" s="192">
        <v>462</v>
      </c>
      <c r="C137" s="192" t="s">
        <v>1043</v>
      </c>
    </row>
    <row r="138" spans="1:3" ht="17" x14ac:dyDescent="0.2">
      <c r="A138" s="192" t="s">
        <v>837</v>
      </c>
      <c r="B138" s="192">
        <v>466</v>
      </c>
      <c r="C138" s="192" t="s">
        <v>1044</v>
      </c>
    </row>
    <row r="139" spans="1:3" ht="17" x14ac:dyDescent="0.2">
      <c r="A139" s="192" t="s">
        <v>122</v>
      </c>
      <c r="B139" s="192">
        <v>470</v>
      </c>
      <c r="C139" s="192" t="s">
        <v>1045</v>
      </c>
    </row>
    <row r="140" spans="1:3" ht="17" x14ac:dyDescent="0.2">
      <c r="A140" s="192" t="s">
        <v>759</v>
      </c>
      <c r="B140" s="192">
        <v>584</v>
      </c>
      <c r="C140" s="192" t="s">
        <v>1046</v>
      </c>
    </row>
    <row r="141" spans="1:3" ht="17" x14ac:dyDescent="0.2">
      <c r="A141" s="192" t="s">
        <v>733</v>
      </c>
      <c r="B141" s="192">
        <v>474</v>
      </c>
      <c r="C141" s="192" t="s">
        <v>1047</v>
      </c>
    </row>
    <row r="142" spans="1:3" ht="17" x14ac:dyDescent="0.2">
      <c r="A142" s="192" t="s">
        <v>838</v>
      </c>
      <c r="B142" s="192">
        <v>478</v>
      </c>
      <c r="C142" s="192" t="s">
        <v>1048</v>
      </c>
    </row>
    <row r="143" spans="1:3" ht="17" x14ac:dyDescent="0.2">
      <c r="A143" s="192" t="s">
        <v>839</v>
      </c>
      <c r="B143" s="192">
        <v>480</v>
      </c>
      <c r="C143" s="192" t="s">
        <v>1049</v>
      </c>
    </row>
    <row r="144" spans="1:3" ht="17" x14ac:dyDescent="0.2">
      <c r="A144" s="192" t="s">
        <v>840</v>
      </c>
      <c r="B144" s="192">
        <v>175</v>
      </c>
      <c r="C144" s="192" t="s">
        <v>1050</v>
      </c>
    </row>
    <row r="145" spans="1:3" ht="17" x14ac:dyDescent="0.2">
      <c r="A145" s="192" t="s">
        <v>123</v>
      </c>
      <c r="B145" s="192">
        <v>484</v>
      </c>
      <c r="C145" s="192" t="s">
        <v>1051</v>
      </c>
    </row>
    <row r="146" spans="1:3" ht="17" x14ac:dyDescent="0.2">
      <c r="A146" s="192" t="s">
        <v>1052</v>
      </c>
      <c r="B146" s="192">
        <v>583</v>
      </c>
      <c r="C146" s="192" t="s">
        <v>1053</v>
      </c>
    </row>
    <row r="147" spans="1:3" ht="17" x14ac:dyDescent="0.2">
      <c r="A147" s="192" t="s">
        <v>869</v>
      </c>
      <c r="B147" s="192">
        <v>492</v>
      </c>
      <c r="C147" s="192" t="s">
        <v>1054</v>
      </c>
    </row>
    <row r="148" spans="1:3" ht="17" x14ac:dyDescent="0.2">
      <c r="A148" s="192" t="s">
        <v>698</v>
      </c>
      <c r="B148" s="192">
        <v>496</v>
      </c>
      <c r="C148" s="192" t="s">
        <v>1055</v>
      </c>
    </row>
    <row r="149" spans="1:3" ht="17" x14ac:dyDescent="0.2">
      <c r="A149" s="192" t="s">
        <v>808</v>
      </c>
      <c r="B149" s="192">
        <v>499</v>
      </c>
      <c r="C149" s="192" t="s">
        <v>1056</v>
      </c>
    </row>
    <row r="150" spans="1:3" ht="17" x14ac:dyDescent="0.2">
      <c r="A150" s="192" t="s">
        <v>734</v>
      </c>
      <c r="B150" s="192">
        <v>500</v>
      </c>
      <c r="C150" s="192" t="s">
        <v>1057</v>
      </c>
    </row>
    <row r="151" spans="1:3" ht="17" x14ac:dyDescent="0.2">
      <c r="A151" s="192" t="s">
        <v>767</v>
      </c>
      <c r="B151" s="192">
        <v>504</v>
      </c>
      <c r="C151" s="192" t="s">
        <v>1058</v>
      </c>
    </row>
    <row r="152" spans="1:3" ht="17" x14ac:dyDescent="0.2">
      <c r="A152" s="192" t="s">
        <v>841</v>
      </c>
      <c r="B152" s="192">
        <v>508</v>
      </c>
      <c r="C152" s="192" t="s">
        <v>1059</v>
      </c>
    </row>
    <row r="153" spans="1:3" ht="17" x14ac:dyDescent="0.2">
      <c r="A153" s="192" t="s">
        <v>792</v>
      </c>
      <c r="B153" s="192">
        <v>104</v>
      </c>
      <c r="C153" s="192" t="s">
        <v>1060</v>
      </c>
    </row>
    <row r="154" spans="1:3" ht="17" x14ac:dyDescent="0.2">
      <c r="A154" s="192" t="s">
        <v>842</v>
      </c>
      <c r="B154" s="192">
        <v>516</v>
      </c>
      <c r="C154" s="192" t="s">
        <v>1061</v>
      </c>
    </row>
    <row r="155" spans="1:3" ht="17" x14ac:dyDescent="0.2">
      <c r="A155" s="192" t="s">
        <v>761</v>
      </c>
      <c r="B155" s="192">
        <v>520</v>
      </c>
      <c r="C155" s="192" t="s">
        <v>1062</v>
      </c>
    </row>
    <row r="156" spans="1:3" ht="17" x14ac:dyDescent="0.2">
      <c r="A156" s="192" t="s">
        <v>801</v>
      </c>
      <c r="B156" s="192">
        <v>524</v>
      </c>
      <c r="C156" s="192" t="s">
        <v>1063</v>
      </c>
    </row>
    <row r="157" spans="1:3" ht="17" x14ac:dyDescent="0.2">
      <c r="A157" s="192" t="s">
        <v>124</v>
      </c>
      <c r="B157" s="192">
        <v>528</v>
      </c>
      <c r="C157" s="192" t="s">
        <v>1064</v>
      </c>
    </row>
    <row r="158" spans="1:3" ht="17" x14ac:dyDescent="0.2">
      <c r="A158" s="192" t="s">
        <v>753</v>
      </c>
      <c r="B158" s="192">
        <v>540</v>
      </c>
      <c r="C158" s="192" t="s">
        <v>1065</v>
      </c>
    </row>
    <row r="159" spans="1:3" ht="17" x14ac:dyDescent="0.2">
      <c r="A159" s="192" t="s">
        <v>125</v>
      </c>
      <c r="B159" s="192">
        <v>554</v>
      </c>
      <c r="C159" s="192" t="s">
        <v>1066</v>
      </c>
    </row>
    <row r="160" spans="1:3" ht="17" x14ac:dyDescent="0.2">
      <c r="A160" s="192" t="s">
        <v>735</v>
      </c>
      <c r="B160" s="192">
        <v>558</v>
      </c>
      <c r="C160" s="192" t="s">
        <v>1067</v>
      </c>
    </row>
    <row r="161" spans="1:3" ht="17" x14ac:dyDescent="0.2">
      <c r="A161" s="192" t="s">
        <v>843</v>
      </c>
      <c r="B161" s="192">
        <v>562</v>
      </c>
      <c r="C161" s="192" t="s">
        <v>1068</v>
      </c>
    </row>
    <row r="162" spans="1:3" ht="17" x14ac:dyDescent="0.2">
      <c r="A162" s="192" t="s">
        <v>126</v>
      </c>
      <c r="B162" s="192">
        <v>566</v>
      </c>
      <c r="C162" s="192" t="s">
        <v>1069</v>
      </c>
    </row>
    <row r="163" spans="1:3" ht="17" x14ac:dyDescent="0.2">
      <c r="A163" s="192" t="s">
        <v>783</v>
      </c>
      <c r="B163" s="192">
        <v>570</v>
      </c>
      <c r="C163" s="192" t="s">
        <v>1070</v>
      </c>
    </row>
    <row r="164" spans="1:3" ht="17" x14ac:dyDescent="0.2">
      <c r="A164" s="192" t="s">
        <v>1071</v>
      </c>
      <c r="B164" s="192">
        <v>574</v>
      </c>
      <c r="C164" s="192" t="s">
        <v>1072</v>
      </c>
    </row>
    <row r="165" spans="1:3" ht="17" x14ac:dyDescent="0.2">
      <c r="A165" s="192" t="s">
        <v>809</v>
      </c>
      <c r="B165" s="192">
        <v>807</v>
      </c>
      <c r="C165" s="192" t="s">
        <v>1073</v>
      </c>
    </row>
    <row r="166" spans="1:3" ht="17" x14ac:dyDescent="0.2">
      <c r="A166" s="192" t="s">
        <v>762</v>
      </c>
      <c r="B166" s="192">
        <v>580</v>
      </c>
      <c r="C166" s="192" t="s">
        <v>1074</v>
      </c>
    </row>
    <row r="167" spans="1:3" ht="17" x14ac:dyDescent="0.2">
      <c r="A167" s="192" t="s">
        <v>127</v>
      </c>
      <c r="B167" s="192">
        <v>578</v>
      </c>
      <c r="C167" s="192" t="s">
        <v>1075</v>
      </c>
    </row>
    <row r="168" spans="1:3" ht="17" x14ac:dyDescent="0.2">
      <c r="A168" s="192" t="s">
        <v>861</v>
      </c>
      <c r="B168" s="192">
        <v>512</v>
      </c>
      <c r="C168" s="192" t="s">
        <v>1076</v>
      </c>
    </row>
    <row r="169" spans="1:3" ht="17" x14ac:dyDescent="0.2">
      <c r="A169" s="192" t="s">
        <v>128</v>
      </c>
      <c r="B169" s="192">
        <v>586</v>
      </c>
      <c r="C169" s="192" t="s">
        <v>1077</v>
      </c>
    </row>
    <row r="170" spans="1:3" ht="17" x14ac:dyDescent="0.2">
      <c r="A170" s="192" t="s">
        <v>763</v>
      </c>
      <c r="B170" s="192">
        <v>585</v>
      </c>
      <c r="C170" s="192" t="s">
        <v>1078</v>
      </c>
    </row>
    <row r="171" spans="1:3" ht="17" x14ac:dyDescent="0.2">
      <c r="A171" s="192" t="s">
        <v>736</v>
      </c>
      <c r="B171" s="192">
        <v>591</v>
      </c>
      <c r="C171" s="192" t="s">
        <v>1079</v>
      </c>
    </row>
    <row r="172" spans="1:3" ht="17" x14ac:dyDescent="0.2">
      <c r="A172" s="192" t="s">
        <v>754</v>
      </c>
      <c r="B172" s="192">
        <v>598</v>
      </c>
      <c r="C172" s="192" t="s">
        <v>1080</v>
      </c>
    </row>
    <row r="173" spans="1:3" ht="17" x14ac:dyDescent="0.2">
      <c r="A173" s="192" t="s">
        <v>737</v>
      </c>
      <c r="B173" s="192">
        <v>600</v>
      </c>
      <c r="C173" s="192" t="s">
        <v>1081</v>
      </c>
    </row>
    <row r="174" spans="1:3" ht="17" x14ac:dyDescent="0.2">
      <c r="A174" s="192" t="s">
        <v>738</v>
      </c>
      <c r="B174" s="192">
        <v>604</v>
      </c>
      <c r="C174" s="192" t="s">
        <v>1082</v>
      </c>
    </row>
    <row r="175" spans="1:3" ht="17" x14ac:dyDescent="0.2">
      <c r="A175" s="192" t="s">
        <v>793</v>
      </c>
      <c r="B175" s="192">
        <v>608</v>
      </c>
      <c r="C175" s="192" t="s">
        <v>1083</v>
      </c>
    </row>
    <row r="176" spans="1:3" ht="17" x14ac:dyDescent="0.2">
      <c r="A176" s="192" t="s">
        <v>1084</v>
      </c>
      <c r="B176" s="192">
        <v>612</v>
      </c>
      <c r="C176" s="192" t="s">
        <v>1085</v>
      </c>
    </row>
    <row r="177" spans="1:3" ht="17" x14ac:dyDescent="0.2">
      <c r="A177" s="192" t="s">
        <v>129</v>
      </c>
      <c r="B177" s="192">
        <v>616</v>
      </c>
      <c r="C177" s="192" t="s">
        <v>1086</v>
      </c>
    </row>
    <row r="178" spans="1:3" ht="17" x14ac:dyDescent="0.2">
      <c r="A178" s="192" t="s">
        <v>810</v>
      </c>
      <c r="B178" s="192">
        <v>620</v>
      </c>
      <c r="C178" s="192" t="s">
        <v>1087</v>
      </c>
    </row>
    <row r="179" spans="1:3" ht="17" x14ac:dyDescent="0.2">
      <c r="A179" s="192" t="s">
        <v>739</v>
      </c>
      <c r="B179" s="192">
        <v>630</v>
      </c>
      <c r="C179" s="192" t="s">
        <v>1088</v>
      </c>
    </row>
    <row r="180" spans="1:3" ht="17" x14ac:dyDescent="0.2">
      <c r="A180" s="192" t="s">
        <v>862</v>
      </c>
      <c r="B180" s="192">
        <v>634</v>
      </c>
      <c r="C180" s="192" t="s">
        <v>1089</v>
      </c>
    </row>
    <row r="181" spans="1:3" ht="17" x14ac:dyDescent="0.2">
      <c r="A181" s="192" t="s">
        <v>699</v>
      </c>
      <c r="B181" s="192">
        <v>410</v>
      </c>
      <c r="C181" s="192" t="s">
        <v>1090</v>
      </c>
    </row>
    <row r="182" spans="1:3" ht="17" x14ac:dyDescent="0.2">
      <c r="A182" s="192" t="s">
        <v>703</v>
      </c>
      <c r="B182" s="192">
        <v>498</v>
      </c>
      <c r="C182" s="192" t="s">
        <v>1091</v>
      </c>
    </row>
    <row r="183" spans="1:3" ht="17" x14ac:dyDescent="0.2">
      <c r="A183" s="192" t="s">
        <v>844</v>
      </c>
      <c r="B183" s="192">
        <v>638</v>
      </c>
      <c r="C183" s="192" t="s">
        <v>1092</v>
      </c>
    </row>
    <row r="184" spans="1:3" ht="17" x14ac:dyDescent="0.2">
      <c r="A184" s="192" t="s">
        <v>704</v>
      </c>
      <c r="B184" s="192">
        <v>642</v>
      </c>
      <c r="C184" s="192" t="s">
        <v>1093</v>
      </c>
    </row>
    <row r="185" spans="1:3" ht="17" x14ac:dyDescent="0.2">
      <c r="A185" s="192" t="s">
        <v>130</v>
      </c>
      <c r="B185" s="192">
        <v>643</v>
      </c>
      <c r="C185" s="192" t="s">
        <v>1094</v>
      </c>
    </row>
    <row r="186" spans="1:3" ht="17" x14ac:dyDescent="0.2">
      <c r="A186" s="192" t="s">
        <v>131</v>
      </c>
      <c r="B186" s="192">
        <v>646</v>
      </c>
      <c r="C186" s="192" t="s">
        <v>1095</v>
      </c>
    </row>
    <row r="187" spans="1:3" ht="17" x14ac:dyDescent="0.2">
      <c r="A187" s="192" t="s">
        <v>740</v>
      </c>
      <c r="B187" s="192">
        <v>652</v>
      </c>
      <c r="C187" s="192" t="s">
        <v>1096</v>
      </c>
    </row>
    <row r="188" spans="1:3" ht="17" x14ac:dyDescent="0.2">
      <c r="A188" s="192" t="s">
        <v>845</v>
      </c>
      <c r="B188" s="192">
        <v>654</v>
      </c>
      <c r="C188" s="192" t="s">
        <v>1097</v>
      </c>
    </row>
    <row r="189" spans="1:3" ht="17" x14ac:dyDescent="0.2">
      <c r="A189" s="192" t="s">
        <v>741</v>
      </c>
      <c r="B189" s="192">
        <v>659</v>
      </c>
      <c r="C189" s="192" t="s">
        <v>1098</v>
      </c>
    </row>
    <row r="190" spans="1:3" ht="17" x14ac:dyDescent="0.2">
      <c r="A190" s="192" t="s">
        <v>742</v>
      </c>
      <c r="B190" s="192">
        <v>662</v>
      </c>
      <c r="C190" s="192" t="s">
        <v>1099</v>
      </c>
    </row>
    <row r="191" spans="1:3" ht="17" x14ac:dyDescent="0.2">
      <c r="A191" s="192" t="s">
        <v>1100</v>
      </c>
      <c r="B191" s="192">
        <v>663</v>
      </c>
      <c r="C191" s="192" t="s">
        <v>1101</v>
      </c>
    </row>
    <row r="192" spans="1:3" ht="17" x14ac:dyDescent="0.2">
      <c r="A192" s="192" t="s">
        <v>773</v>
      </c>
      <c r="B192" s="192">
        <v>666</v>
      </c>
      <c r="C192" s="192" t="s">
        <v>1102</v>
      </c>
    </row>
    <row r="193" spans="1:3" ht="17" x14ac:dyDescent="0.2">
      <c r="A193" s="192" t="s">
        <v>1103</v>
      </c>
      <c r="B193" s="192">
        <v>670</v>
      </c>
      <c r="C193" s="192" t="s">
        <v>1104</v>
      </c>
    </row>
    <row r="194" spans="1:3" ht="17" x14ac:dyDescent="0.2">
      <c r="A194" s="192" t="s">
        <v>784</v>
      </c>
      <c r="B194" s="192">
        <v>882</v>
      </c>
      <c r="C194" s="192" t="s">
        <v>1105</v>
      </c>
    </row>
    <row r="195" spans="1:3" ht="17" x14ac:dyDescent="0.2">
      <c r="A195" s="192" t="s">
        <v>811</v>
      </c>
      <c r="B195" s="192">
        <v>674</v>
      </c>
      <c r="C195" s="192" t="s">
        <v>1106</v>
      </c>
    </row>
    <row r="196" spans="1:3" ht="17" x14ac:dyDescent="0.2">
      <c r="A196" s="192" t="s">
        <v>846</v>
      </c>
      <c r="B196" s="192">
        <v>678</v>
      </c>
      <c r="C196" s="192" t="s">
        <v>1107</v>
      </c>
    </row>
    <row r="197" spans="1:3" ht="17" x14ac:dyDescent="0.2">
      <c r="A197" s="192" t="s">
        <v>1108</v>
      </c>
      <c r="B197" s="192">
        <v>680</v>
      </c>
      <c r="C197" s="192"/>
    </row>
    <row r="198" spans="1:3" ht="17" x14ac:dyDescent="0.2">
      <c r="A198" s="192" t="s">
        <v>132</v>
      </c>
      <c r="B198" s="192">
        <v>682</v>
      </c>
      <c r="C198" s="192" t="s">
        <v>1109</v>
      </c>
    </row>
    <row r="199" spans="1:3" ht="17" x14ac:dyDescent="0.2">
      <c r="A199" s="192" t="s">
        <v>847</v>
      </c>
      <c r="B199" s="192">
        <v>686</v>
      </c>
      <c r="C199" s="192" t="s">
        <v>1110</v>
      </c>
    </row>
    <row r="200" spans="1:3" ht="17" x14ac:dyDescent="0.2">
      <c r="A200" s="192" t="s">
        <v>133</v>
      </c>
      <c r="B200" s="192">
        <v>688</v>
      </c>
      <c r="C200" s="192" t="s">
        <v>1111</v>
      </c>
    </row>
    <row r="201" spans="1:3" ht="17" x14ac:dyDescent="0.2">
      <c r="A201" s="192" t="s">
        <v>848</v>
      </c>
      <c r="B201" s="192">
        <v>690</v>
      </c>
      <c r="C201" s="192" t="s">
        <v>1112</v>
      </c>
    </row>
    <row r="202" spans="1:3" ht="17" x14ac:dyDescent="0.2">
      <c r="A202" s="192" t="s">
        <v>849</v>
      </c>
      <c r="B202" s="192">
        <v>694</v>
      </c>
      <c r="C202" s="192" t="s">
        <v>1113</v>
      </c>
    </row>
    <row r="203" spans="1:3" ht="17" x14ac:dyDescent="0.2">
      <c r="A203" s="192" t="s">
        <v>794</v>
      </c>
      <c r="B203" s="192">
        <v>702</v>
      </c>
      <c r="C203" s="192" t="s">
        <v>1114</v>
      </c>
    </row>
    <row r="204" spans="1:3" ht="17" x14ac:dyDescent="0.2">
      <c r="A204" s="192" t="s">
        <v>745</v>
      </c>
      <c r="B204" s="192">
        <v>534</v>
      </c>
      <c r="C204" s="192" t="s">
        <v>1115</v>
      </c>
    </row>
    <row r="205" spans="1:3" ht="17" x14ac:dyDescent="0.2">
      <c r="A205" s="192" t="s">
        <v>705</v>
      </c>
      <c r="B205" s="192">
        <v>703</v>
      </c>
      <c r="C205" s="192" t="s">
        <v>1116</v>
      </c>
    </row>
    <row r="206" spans="1:3" ht="17" x14ac:dyDescent="0.2">
      <c r="A206" s="192" t="s">
        <v>134</v>
      </c>
      <c r="B206" s="192">
        <v>705</v>
      </c>
      <c r="C206" s="192" t="s">
        <v>1117</v>
      </c>
    </row>
    <row r="207" spans="1:3" ht="17" x14ac:dyDescent="0.2">
      <c r="A207" s="192" t="s">
        <v>755</v>
      </c>
      <c r="B207" s="192">
        <v>90</v>
      </c>
      <c r="C207" s="192" t="s">
        <v>1118</v>
      </c>
    </row>
    <row r="208" spans="1:3" ht="17" x14ac:dyDescent="0.2">
      <c r="A208" s="192" t="s">
        <v>850</v>
      </c>
      <c r="B208" s="192">
        <v>706</v>
      </c>
      <c r="C208" s="192" t="s">
        <v>1119</v>
      </c>
    </row>
    <row r="209" spans="1:3" ht="17" x14ac:dyDescent="0.2">
      <c r="A209" s="192" t="s">
        <v>135</v>
      </c>
      <c r="B209" s="192">
        <v>710</v>
      </c>
      <c r="C209" s="192" t="s">
        <v>1120</v>
      </c>
    </row>
    <row r="210" spans="1:3" ht="17" x14ac:dyDescent="0.2">
      <c r="A210" s="192" t="s">
        <v>1121</v>
      </c>
      <c r="B210" s="192">
        <v>239</v>
      </c>
      <c r="C210" s="192" t="s">
        <v>1122</v>
      </c>
    </row>
    <row r="211" spans="1:3" ht="17" x14ac:dyDescent="0.2">
      <c r="A211" s="192" t="s">
        <v>851</v>
      </c>
      <c r="B211" s="192">
        <v>728</v>
      </c>
      <c r="C211" s="192" t="s">
        <v>1123</v>
      </c>
    </row>
    <row r="212" spans="1:3" ht="17" x14ac:dyDescent="0.2">
      <c r="A212" s="192" t="s">
        <v>136</v>
      </c>
      <c r="B212" s="192">
        <v>724</v>
      </c>
      <c r="C212" s="192" t="s">
        <v>1124</v>
      </c>
    </row>
    <row r="213" spans="1:3" ht="17" x14ac:dyDescent="0.2">
      <c r="A213" s="192" t="s">
        <v>137</v>
      </c>
      <c r="B213" s="192">
        <v>144</v>
      </c>
      <c r="C213" s="192" t="s">
        <v>1125</v>
      </c>
    </row>
    <row r="214" spans="1:3" ht="17" x14ac:dyDescent="0.2">
      <c r="A214" s="192" t="s">
        <v>863</v>
      </c>
      <c r="B214" s="192">
        <v>275</v>
      </c>
      <c r="C214" s="192" t="s">
        <v>1126</v>
      </c>
    </row>
    <row r="215" spans="1:3" ht="17" x14ac:dyDescent="0.2">
      <c r="A215" s="192" t="s">
        <v>768</v>
      </c>
      <c r="B215" s="192">
        <v>729</v>
      </c>
      <c r="C215" s="192" t="s">
        <v>1127</v>
      </c>
    </row>
    <row r="216" spans="1:3" ht="17" x14ac:dyDescent="0.2">
      <c r="A216" s="192" t="s">
        <v>746</v>
      </c>
      <c r="B216" s="192">
        <v>740</v>
      </c>
      <c r="C216" s="192" t="s">
        <v>1128</v>
      </c>
    </row>
    <row r="217" spans="1:3" ht="17" x14ac:dyDescent="0.2">
      <c r="A217" s="192" t="s">
        <v>1129</v>
      </c>
      <c r="B217" s="192">
        <v>744</v>
      </c>
      <c r="C217" s="192" t="s">
        <v>1130</v>
      </c>
    </row>
    <row r="218" spans="1:3" ht="17" x14ac:dyDescent="0.2">
      <c r="A218" s="192" t="s">
        <v>138</v>
      </c>
      <c r="B218" s="192">
        <v>752</v>
      </c>
      <c r="C218" s="192" t="s">
        <v>1131</v>
      </c>
    </row>
    <row r="219" spans="1:3" ht="17" x14ac:dyDescent="0.2">
      <c r="A219" s="192" t="s">
        <v>139</v>
      </c>
      <c r="B219" s="192">
        <v>756</v>
      </c>
      <c r="C219" s="192" t="s">
        <v>1132</v>
      </c>
    </row>
    <row r="220" spans="1:3" ht="17" x14ac:dyDescent="0.2">
      <c r="A220" s="192" t="s">
        <v>864</v>
      </c>
      <c r="B220" s="192">
        <v>760</v>
      </c>
      <c r="C220" s="192" t="s">
        <v>1133</v>
      </c>
    </row>
    <row r="221" spans="1:3" ht="17" x14ac:dyDescent="0.2">
      <c r="A221" s="192" t="s">
        <v>692</v>
      </c>
      <c r="B221" s="192">
        <v>762</v>
      </c>
      <c r="C221" s="192" t="s">
        <v>1134</v>
      </c>
    </row>
    <row r="222" spans="1:3" ht="17" x14ac:dyDescent="0.2">
      <c r="A222" s="192" t="s">
        <v>795</v>
      </c>
      <c r="B222" s="192">
        <v>764</v>
      </c>
      <c r="C222" s="192" t="s">
        <v>1135</v>
      </c>
    </row>
    <row r="223" spans="1:3" ht="17" x14ac:dyDescent="0.2">
      <c r="A223" s="192" t="s">
        <v>796</v>
      </c>
      <c r="B223" s="192">
        <v>626</v>
      </c>
      <c r="C223" s="192" t="s">
        <v>1136</v>
      </c>
    </row>
    <row r="224" spans="1:3" ht="17" x14ac:dyDescent="0.2">
      <c r="A224" s="192" t="s">
        <v>852</v>
      </c>
      <c r="B224" s="192">
        <v>768</v>
      </c>
      <c r="C224" s="192" t="s">
        <v>1137</v>
      </c>
    </row>
    <row r="225" spans="1:3" ht="17" x14ac:dyDescent="0.2">
      <c r="A225" s="192" t="s">
        <v>785</v>
      </c>
      <c r="B225" s="192">
        <v>772</v>
      </c>
      <c r="C225" s="192" t="s">
        <v>1138</v>
      </c>
    </row>
    <row r="226" spans="1:3" ht="17" x14ac:dyDescent="0.2">
      <c r="A226" s="192" t="s">
        <v>786</v>
      </c>
      <c r="B226" s="192">
        <v>776</v>
      </c>
      <c r="C226" s="192" t="s">
        <v>1139</v>
      </c>
    </row>
    <row r="227" spans="1:3" ht="17" x14ac:dyDescent="0.2">
      <c r="A227" s="192" t="s">
        <v>747</v>
      </c>
      <c r="B227" s="192">
        <v>780</v>
      </c>
      <c r="C227" s="192" t="s">
        <v>1140</v>
      </c>
    </row>
    <row r="228" spans="1:3" ht="17" x14ac:dyDescent="0.2">
      <c r="A228" s="192" t="s">
        <v>769</v>
      </c>
      <c r="B228" s="192">
        <v>788</v>
      </c>
      <c r="C228" s="192" t="s">
        <v>1141</v>
      </c>
    </row>
    <row r="229" spans="1:3" ht="17" x14ac:dyDescent="0.2">
      <c r="A229" s="192" t="s">
        <v>1142</v>
      </c>
      <c r="B229" s="192">
        <v>792</v>
      </c>
      <c r="C229" s="192" t="s">
        <v>1143</v>
      </c>
    </row>
    <row r="230" spans="1:3" ht="17" x14ac:dyDescent="0.2">
      <c r="A230" s="192" t="s">
        <v>693</v>
      </c>
      <c r="B230" s="192">
        <v>795</v>
      </c>
      <c r="C230" s="192" t="s">
        <v>1144</v>
      </c>
    </row>
    <row r="231" spans="1:3" ht="17" x14ac:dyDescent="0.2">
      <c r="A231" s="192" t="s">
        <v>748</v>
      </c>
      <c r="B231" s="192">
        <v>796</v>
      </c>
      <c r="C231" s="192" t="s">
        <v>1145</v>
      </c>
    </row>
    <row r="232" spans="1:3" ht="17" x14ac:dyDescent="0.2">
      <c r="A232" s="192" t="s">
        <v>787</v>
      </c>
      <c r="B232" s="192">
        <v>798</v>
      </c>
      <c r="C232" s="192" t="s">
        <v>1146</v>
      </c>
    </row>
    <row r="233" spans="1:3" ht="17" x14ac:dyDescent="0.2">
      <c r="A233" s="192" t="s">
        <v>853</v>
      </c>
      <c r="B233" s="192">
        <v>800</v>
      </c>
      <c r="C233" s="192" t="s">
        <v>1147</v>
      </c>
    </row>
    <row r="234" spans="1:3" ht="17" x14ac:dyDescent="0.2">
      <c r="A234" s="192" t="s">
        <v>706</v>
      </c>
      <c r="B234" s="192">
        <v>804</v>
      </c>
      <c r="C234" s="192" t="s">
        <v>1148</v>
      </c>
    </row>
    <row r="235" spans="1:3" ht="17" x14ac:dyDescent="0.2">
      <c r="A235" s="192" t="s">
        <v>866</v>
      </c>
      <c r="B235" s="192">
        <v>784</v>
      </c>
      <c r="C235" s="192" t="s">
        <v>1149</v>
      </c>
    </row>
    <row r="236" spans="1:3" ht="17" x14ac:dyDescent="0.2">
      <c r="A236" s="192" t="s">
        <v>140</v>
      </c>
      <c r="B236" s="192">
        <v>826</v>
      </c>
      <c r="C236" s="192" t="s">
        <v>1150</v>
      </c>
    </row>
    <row r="237" spans="1:3" ht="17" x14ac:dyDescent="0.2">
      <c r="A237" s="192" t="s">
        <v>141</v>
      </c>
      <c r="B237" s="192">
        <v>834</v>
      </c>
      <c r="C237" s="192" t="s">
        <v>1151</v>
      </c>
    </row>
    <row r="238" spans="1:3" ht="17" x14ac:dyDescent="0.2">
      <c r="A238" s="192" t="s">
        <v>1152</v>
      </c>
      <c r="B238" s="192">
        <v>581</v>
      </c>
      <c r="C238" s="192" t="s">
        <v>1153</v>
      </c>
    </row>
    <row r="239" spans="1:3" ht="17" x14ac:dyDescent="0.2">
      <c r="A239" s="192" t="s">
        <v>142</v>
      </c>
      <c r="B239" s="192">
        <v>840</v>
      </c>
      <c r="C239" s="192" t="s">
        <v>1154</v>
      </c>
    </row>
    <row r="240" spans="1:3" ht="17" x14ac:dyDescent="0.2">
      <c r="A240" s="192" t="s">
        <v>749</v>
      </c>
      <c r="B240" s="192">
        <v>850</v>
      </c>
      <c r="C240" s="192" t="s">
        <v>1155</v>
      </c>
    </row>
    <row r="241" spans="1:3" ht="17" x14ac:dyDescent="0.2">
      <c r="A241" s="192" t="s">
        <v>750</v>
      </c>
      <c r="B241" s="192">
        <v>858</v>
      </c>
      <c r="C241" s="192" t="s">
        <v>1156</v>
      </c>
    </row>
    <row r="242" spans="1:3" ht="17" x14ac:dyDescent="0.2">
      <c r="A242" s="192" t="s">
        <v>694</v>
      </c>
      <c r="B242" s="192">
        <v>860</v>
      </c>
      <c r="C242" s="192" t="s">
        <v>1157</v>
      </c>
    </row>
    <row r="243" spans="1:3" ht="17" x14ac:dyDescent="0.2">
      <c r="A243" s="192" t="s">
        <v>756</v>
      </c>
      <c r="B243" s="192">
        <v>548</v>
      </c>
      <c r="C243" s="192" t="s">
        <v>1158</v>
      </c>
    </row>
    <row r="244" spans="1:3" ht="17" x14ac:dyDescent="0.2">
      <c r="A244" s="192" t="s">
        <v>1159</v>
      </c>
      <c r="B244" s="192">
        <v>862</v>
      </c>
      <c r="C244" s="192" t="s">
        <v>1160</v>
      </c>
    </row>
    <row r="245" spans="1:3" ht="17" x14ac:dyDescent="0.2">
      <c r="A245" s="192" t="s">
        <v>143</v>
      </c>
      <c r="B245" s="192">
        <v>704</v>
      </c>
      <c r="C245" s="192" t="s">
        <v>1161</v>
      </c>
    </row>
    <row r="246" spans="1:3" ht="17" x14ac:dyDescent="0.2">
      <c r="A246" s="192" t="s">
        <v>788</v>
      </c>
      <c r="B246" s="192">
        <v>876</v>
      </c>
      <c r="C246" s="192" t="s">
        <v>1162</v>
      </c>
    </row>
    <row r="247" spans="1:3" ht="17" x14ac:dyDescent="0.2">
      <c r="A247" s="192" t="s">
        <v>770</v>
      </c>
      <c r="B247" s="192">
        <v>732</v>
      </c>
      <c r="C247" s="192" t="s">
        <v>1163</v>
      </c>
    </row>
    <row r="248" spans="1:3" ht="17" x14ac:dyDescent="0.2">
      <c r="A248" s="192" t="s">
        <v>867</v>
      </c>
      <c r="B248" s="192">
        <v>887</v>
      </c>
      <c r="C248" s="192" t="s">
        <v>1164</v>
      </c>
    </row>
    <row r="249" spans="1:3" ht="17" x14ac:dyDescent="0.2">
      <c r="A249" s="192" t="s">
        <v>144</v>
      </c>
      <c r="B249" s="192">
        <v>894</v>
      </c>
      <c r="C249" s="192" t="s">
        <v>1165</v>
      </c>
    </row>
    <row r="250" spans="1:3" ht="17" x14ac:dyDescent="0.2">
      <c r="A250" s="192" t="s">
        <v>855</v>
      </c>
      <c r="B250" s="192">
        <v>716</v>
      </c>
      <c r="C250" s="192" t="s">
        <v>1166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CC31BECA045D469153F895080AAD4A" ma:contentTypeVersion="6" ma:contentTypeDescription="Create a new document." ma:contentTypeScope="" ma:versionID="6ff74e249da7ae9a047dc82a01a06856">
  <xsd:schema xmlns:xsd="http://www.w3.org/2001/XMLSchema" xmlns:xs="http://www.w3.org/2001/XMLSchema" xmlns:p="http://schemas.microsoft.com/office/2006/metadata/properties" xmlns:ns2="7b6a929c-cf2b-43e7-b50f-0c37dda043f3" xmlns:ns3="d2725b2f-f9fc-4de5-afd2-80312bc5b499" targetNamespace="http://schemas.microsoft.com/office/2006/metadata/properties" ma:root="true" ma:fieldsID="9624ca5cc449523ad2d77774fe08d324" ns2:_="" ns3:_="">
    <xsd:import namespace="7b6a929c-cf2b-43e7-b50f-0c37dda043f3"/>
    <xsd:import namespace="d2725b2f-f9fc-4de5-afd2-80312bc5b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6a929c-cf2b-43e7-b50f-0c37dda04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725b2f-f9fc-4de5-afd2-80312bc5b4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72EE0-14AD-457D-B96F-D124EADECDA2}">
  <ds:schemaRefs>
    <ds:schemaRef ds:uri="http://schemas.microsoft.com/sharepoint/v3/contenttype/forms"/>
  </ds:schemaRefs>
</ds:datastoreItem>
</file>

<file path=customXml/itemProps2.xml><?xml version="1.0" encoding="utf-8"?>
<ds:datastoreItem xmlns:ds="http://schemas.openxmlformats.org/officeDocument/2006/customXml" ds:itemID="{FD03BD18-68C3-458C-8D8A-6780B379578A}">
  <ds:schemaRefs>
    <ds:schemaRef ds:uri="http://purl.org/dc/terms/"/>
    <ds:schemaRef ds:uri="http://www.w3.org/XML/1998/namespace"/>
    <ds:schemaRef ds:uri="d2725b2f-f9fc-4de5-afd2-80312bc5b499"/>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7b6a929c-cf2b-43e7-b50f-0c37dda043f3"/>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81386F65-BA20-483F-B3AB-EB76CF17C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6a929c-cf2b-43e7-b50f-0c37dda043f3"/>
    <ds:schemaRef ds:uri="d2725b2f-f9fc-4de5-afd2-80312bc5b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Variables</vt:lpstr>
      <vt:lpstr>References</vt:lpstr>
      <vt:lpstr>Database</vt:lpstr>
      <vt:lpstr>Household Estimates</vt:lpstr>
      <vt:lpstr>Food Service Estimates</vt:lpstr>
      <vt:lpstr>Retail Estimates</vt:lpstr>
      <vt:lpstr>Country Code M49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Forbes</dc:creator>
  <cp:lastModifiedBy>Microsoft Office User</cp:lastModifiedBy>
  <dcterms:created xsi:type="dcterms:W3CDTF">2021-02-04T13:29:58Z</dcterms:created>
  <dcterms:modified xsi:type="dcterms:W3CDTF">2022-12-17T21:19:35Z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0x010100AFCC31BECA045D469153F895080AAD4A</vt:lpwstr>
  </property>
</Properties>
</file>