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comments2.xml" ContentType="application/vnd.openxmlformats-officedocument.spreadsheetml.comments+xml"/>
  <Override PartName="/xl/drawings/drawing4.xml" ContentType="application/vnd.openxmlformats-officedocument.drawing+xml"/>
  <Override PartName="/xl/ctrlProps/ctrlProp9.xml" ContentType="application/vnd.ms-excel.controlproperties+xml"/>
  <Override PartName="/xl/ctrlProps/ctrlProp10.xml" ContentType="application/vnd.ms-excel.controlpropertie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johnd\source\repos\johndavidpatino\Matrix\"/>
    </mc:Choice>
  </mc:AlternateContent>
  <xr:revisionPtr revIDLastSave="0" documentId="8_{CA1ED976-A355-4981-AB04-375605E72883}" xr6:coauthVersionLast="47" xr6:coauthVersionMax="47" xr10:uidLastSave="{00000000-0000-0000-0000-000000000000}"/>
  <bookViews>
    <workbookView xWindow="-120" yWindow="-120" windowWidth="29040" windowHeight="17520" tabRatio="744" firstSheet="3" activeTab="7" xr2:uid="{B2A2DA3C-9A71-4554-9844-0538DAB16068}"/>
  </bookViews>
  <sheets>
    <sheet name="Entradas" sheetId="22" r:id="rId1"/>
    <sheet name="Tarifario Estadistica" sheetId="28" state="veryHidden" r:id="rId2"/>
    <sheet name="Tarifario Estadistica2" sheetId="51" r:id="rId3"/>
    <sheet name="MuestraTec1" sheetId="34" r:id="rId4"/>
    <sheet name="MuestraTec2" sheetId="39" r:id="rId5"/>
    <sheet name="MYSTERY" sheetId="40" r:id="rId6"/>
    <sheet name="Costos Directos discriminados" sheetId="19" r:id="rId7"/>
    <sheet name="Valores Insumos reclutamiento" sheetId="18" r:id="rId8"/>
    <sheet name="Parametros" sheetId="17" r:id="rId9"/>
    <sheet name="Precios bases" sheetId="41" r:id="rId10"/>
    <sheet name="Horas" sheetId="23" r:id="rId11"/>
    <sheet name="Codificación" sheetId="20" r:id="rId12"/>
    <sheet name="Bitacora de ajustes" sheetId="33" state="hidden" r:id="rId13"/>
    <sheet name="Costa Rica " sheetId="45" state="hidden" r:id="rId14"/>
    <sheet name="Guatemala" sheetId="49" state="hidden" r:id="rId15"/>
    <sheet name="Rep. Dominicana" sheetId="48" state="hidden" r:id="rId16"/>
    <sheet name="Puerto Rico" sheetId="47" state="hidden" r:id="rId17"/>
    <sheet name="Panama" sheetId="42" state="hidden" r:id="rId18"/>
    <sheet name="El Salvador" sheetId="43" state="hidden" r:id="rId19"/>
    <sheet name="Nicaragua" sheetId="44" state="hidden" r:id="rId20"/>
    <sheet name="Honduras" sheetId="46" state="hidden" r:id="rId21"/>
    <sheet name="Estructura de costos - 2023" sheetId="27" state="hidden" r:id="rId22"/>
    <sheet name="Hoja1" sheetId="29" state="hidden" r:id="rId23"/>
    <sheet name="Valor Hora - Alternativas" sheetId="30" state="hidden" r:id="rId24"/>
    <sheet name="Hoja4" sheetId="31" state="hidden" r:id="rId25"/>
    <sheet name="Hoja2 (2)" sheetId="32" state="hidden" r:id="rId26"/>
    <sheet name="Valor por peso" sheetId="24" state="hidden" r:id="rId27"/>
    <sheet name="Hoja2" sheetId="26" state="hidden" r:id="rId28"/>
  </sheets>
  <externalReferences>
    <externalReference r:id="rId29"/>
    <externalReference r:id="rId30"/>
    <externalReference r:id="rId31"/>
  </externalReferences>
  <definedNames>
    <definedName name="_xlnm._FilterDatabase" localSheetId="21" hidden="1">'Estructura de costos - 2023'!$A$1:$AA$1</definedName>
    <definedName name="_xlnm._FilterDatabase" localSheetId="3" hidden="1">MuestraTec1!$A$61:$G$223</definedName>
    <definedName name="_xlnm._FilterDatabase" localSheetId="5" hidden="1">MYSTERY!$A$6:$BB$37</definedName>
    <definedName name="_xlnm._FilterDatabase" localSheetId="1" hidden="1">'Tarifario Estadistica'!$A$1:$K$82</definedName>
    <definedName name="_xlnm._FilterDatabase" localSheetId="2" hidden="1">'Tarifario Estadistica2'!$A$1:$K$82</definedName>
    <definedName name="BHT" localSheetId="9">'Precios bases'!$G$285:$G$299</definedName>
    <definedName name="BHT">Parametros!$G$288:$G$302</definedName>
    <definedName name="CAMPO">#REF!</definedName>
    <definedName name="CEX" localSheetId="9">'Precios bases'!$D$285:$D$299</definedName>
    <definedName name="CEX">Parametros!$D$288:$D$302</definedName>
    <definedName name="CRE">Parametros!$J$288:$J$302</definedName>
    <definedName name="CREATIVE" localSheetId="9">'Precios bases'!$J$285:$J$299</definedName>
    <definedName name="CREATIVE">Parametros!$J$288:$J$302</definedName>
    <definedName name="Guidelines_1" localSheetId="5">#REF!</definedName>
    <definedName name="Guidelines_1">#REF!</definedName>
    <definedName name="Guidelines_2" localSheetId="5">#REF!,#REF!,#REF!,#REF!</definedName>
    <definedName name="Guidelines_2" localSheetId="2">#REF!,#REF!,#REF!,#REF!</definedName>
    <definedName name="Guidelines_2">#REF!,#REF!,#REF!,#REF!</definedName>
    <definedName name="Guidelines10" localSheetId="5">'[1]Auxiliary Sheet'!$AA$2:$AA$11</definedName>
    <definedName name="Guidelines10">'[2]Auxiliary Sheet'!$AA$2:$AA$11</definedName>
    <definedName name="HEC" localSheetId="9">'Precios bases'!$F$285:$F$299</definedName>
    <definedName name="HEC">Parametros!$F$288:$F$302</definedName>
    <definedName name="Horas">Horas!$E$2:$E$1048576</definedName>
    <definedName name="INNO" localSheetId="9">'Precios bases'!$C$285:$C$299</definedName>
    <definedName name="INNO">Parametros!$C$288:$C$302</definedName>
    <definedName name="Metodologia">Horas!$D$2:$D$1048576</definedName>
    <definedName name="MSU" localSheetId="9">'Precios bases'!$E$285:$E$299</definedName>
    <definedName name="MSU">Parametros!$E$288:$E$302</definedName>
    <definedName name="N" localSheetId="2">#REF!,#REF!,#REF!,#REF!</definedName>
    <definedName name="N">#REF!,#REF!,#REF!,#REF!</definedName>
    <definedName name="OBS">Parametros!$K$288:$K$302</definedName>
    <definedName name="OPS">Parametros!$K$288:$K$302</definedName>
    <definedName name="PA" localSheetId="9">'Precios bases'!$H$285:$H$299</definedName>
    <definedName name="PA">Parametros!$H$288:$H$302</definedName>
    <definedName name="Record_Detail_Level">Horas!$C$2:$C$1048576</definedName>
    <definedName name="SL">Horas!$B$2:$B$1048576</definedName>
    <definedName name="UX" localSheetId="9">'Precios bases'!$I$285:$I$299</definedName>
    <definedName name="UX">Parametros!$I$288:$I$302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9" l="1"/>
  <c r="D119" i="19"/>
  <c r="E223" i="34"/>
  <c r="C222" i="34"/>
  <c r="E222" i="34" s="1"/>
  <c r="E221" i="34"/>
  <c r="C221" i="34"/>
  <c r="C220" i="34"/>
  <c r="E220" i="34" s="1"/>
  <c r="C219" i="34"/>
  <c r="E219" i="34" s="1"/>
  <c r="E218" i="34"/>
  <c r="C218" i="34"/>
  <c r="E217" i="34"/>
  <c r="C216" i="34"/>
  <c r="E216" i="34" s="1"/>
  <c r="C215" i="34"/>
  <c r="E215" i="34" s="1"/>
  <c r="E214" i="34"/>
  <c r="C214" i="34"/>
  <c r="C213" i="34"/>
  <c r="E213" i="34" s="1"/>
  <c r="C212" i="34"/>
  <c r="E212" i="34" s="1"/>
  <c r="C211" i="34"/>
  <c r="E211" i="34" s="1"/>
  <c r="E210" i="34"/>
  <c r="C210" i="34"/>
  <c r="C209" i="34"/>
  <c r="E209" i="34" s="1"/>
  <c r="E208" i="34"/>
  <c r="E207" i="34"/>
  <c r="E206" i="34"/>
  <c r="E205" i="34"/>
  <c r="E204" i="34"/>
  <c r="C204" i="34"/>
  <c r="C203" i="34"/>
  <c r="E203" i="34" s="1"/>
  <c r="E202" i="34"/>
  <c r="E201" i="34"/>
  <c r="E200" i="34"/>
  <c r="E199" i="34"/>
  <c r="E198" i="34"/>
  <c r="C198" i="34"/>
  <c r="E197" i="34"/>
  <c r="E196" i="34"/>
  <c r="E195" i="34"/>
  <c r="E194" i="34"/>
  <c r="E193" i="34"/>
  <c r="E192" i="34"/>
  <c r="E191" i="34"/>
  <c r="C191" i="34"/>
  <c r="E190" i="34"/>
  <c r="E189" i="34"/>
  <c r="E188" i="34"/>
  <c r="C188" i="34"/>
  <c r="E187" i="34"/>
  <c r="E186" i="34"/>
  <c r="E185" i="34"/>
  <c r="E184" i="34"/>
  <c r="E183" i="34"/>
  <c r="E182" i="34"/>
  <c r="E181" i="34"/>
  <c r="E180" i="34"/>
  <c r="E179" i="34"/>
  <c r="E178" i="34"/>
  <c r="E177" i="34"/>
  <c r="E176" i="34"/>
  <c r="E175" i="34"/>
  <c r="E174" i="34"/>
  <c r="E173" i="34"/>
  <c r="E172" i="34"/>
  <c r="E171" i="34"/>
  <c r="E170" i="34"/>
  <c r="E169" i="34"/>
  <c r="E168" i="34"/>
  <c r="C168" i="34"/>
  <c r="E167" i="34"/>
  <c r="E166" i="34"/>
  <c r="E165" i="34"/>
  <c r="E164" i="34"/>
  <c r="C163" i="34"/>
  <c r="E163" i="34" s="1"/>
  <c r="E162" i="34"/>
  <c r="E161" i="34"/>
  <c r="E160" i="34"/>
  <c r="E159" i="34"/>
  <c r="C159" i="34"/>
  <c r="C158" i="34"/>
  <c r="E158" i="34" s="1"/>
  <c r="C157" i="34"/>
  <c r="E157" i="34" s="1"/>
  <c r="C156" i="34"/>
  <c r="E156" i="34" s="1"/>
  <c r="E155" i="34"/>
  <c r="C155" i="34"/>
  <c r="C154" i="34"/>
  <c r="E154" i="34" s="1"/>
  <c r="C153" i="34"/>
  <c r="E153" i="34" s="1"/>
  <c r="C152" i="34"/>
  <c r="E152" i="34" s="1"/>
  <c r="E151" i="34"/>
  <c r="C150" i="34"/>
  <c r="E150" i="34" s="1"/>
  <c r="C149" i="34"/>
  <c r="E149" i="34" s="1"/>
  <c r="E148" i="34"/>
  <c r="C148" i="34"/>
  <c r="E147" i="34"/>
  <c r="C147" i="34"/>
  <c r="C146" i="34"/>
  <c r="E146" i="34" s="1"/>
  <c r="C145" i="34"/>
  <c r="E145" i="34" s="1"/>
  <c r="E144" i="34"/>
  <c r="C144" i="34"/>
  <c r="E143" i="34"/>
  <c r="C143" i="34"/>
  <c r="C142" i="34"/>
  <c r="E142" i="34" s="1"/>
  <c r="C141" i="34"/>
  <c r="E141" i="34" s="1"/>
  <c r="E140" i="34"/>
  <c r="C140" i="34"/>
  <c r="E139" i="34"/>
  <c r="C139" i="34"/>
  <c r="C138" i="34"/>
  <c r="E138" i="34" s="1"/>
  <c r="C137" i="34"/>
  <c r="E137" i="34" s="1"/>
  <c r="E136" i="34"/>
  <c r="C136" i="34"/>
  <c r="E135" i="34"/>
  <c r="C135" i="34"/>
  <c r="C134" i="34"/>
  <c r="E134" i="34" s="1"/>
  <c r="C133" i="34"/>
  <c r="E133" i="34" s="1"/>
  <c r="E132" i="34"/>
  <c r="C132" i="34"/>
  <c r="E131" i="34"/>
  <c r="C131" i="34"/>
  <c r="C130" i="34"/>
  <c r="E130" i="34" s="1"/>
  <c r="E129" i="34"/>
  <c r="C128" i="34"/>
  <c r="E128" i="34" s="1"/>
  <c r="C127" i="34"/>
  <c r="E127" i="34" s="1"/>
  <c r="C126" i="34"/>
  <c r="E126" i="34" s="1"/>
  <c r="C125" i="34"/>
  <c r="E125" i="34" s="1"/>
  <c r="E124" i="34"/>
  <c r="E123" i="34"/>
  <c r="C123" i="34"/>
  <c r="E122" i="34"/>
  <c r="C121" i="34"/>
  <c r="E121" i="34" s="1"/>
  <c r="C120" i="34"/>
  <c r="E120" i="34" s="1"/>
  <c r="C119" i="34"/>
  <c r="E119" i="34" s="1"/>
  <c r="C118" i="34"/>
  <c r="E118" i="34" s="1"/>
  <c r="C117" i="34"/>
  <c r="E117" i="34" s="1"/>
  <c r="E116" i="34"/>
  <c r="C115" i="34"/>
  <c r="E115" i="34" s="1"/>
  <c r="E114" i="34"/>
  <c r="C114" i="34"/>
  <c r="E113" i="34"/>
  <c r="C113" i="34"/>
  <c r="C112" i="34"/>
  <c r="E112" i="34" s="1"/>
  <c r="E111" i="34"/>
  <c r="E110" i="34"/>
  <c r="E109" i="34"/>
  <c r="E108" i="34"/>
  <c r="E107" i="34"/>
  <c r="E106" i="34"/>
  <c r="C106" i="34"/>
  <c r="E105" i="34"/>
  <c r="E104" i="34"/>
  <c r="E103" i="34"/>
  <c r="E102" i="34"/>
  <c r="C102" i="34"/>
  <c r="E101" i="34"/>
  <c r="E100" i="34"/>
  <c r="C100" i="34"/>
  <c r="C99" i="34"/>
  <c r="E99" i="34" s="1"/>
  <c r="E98" i="34"/>
  <c r="E97" i="34"/>
  <c r="C97" i="34"/>
  <c r="E96" i="34"/>
  <c r="E95" i="34"/>
  <c r="E94" i="34"/>
  <c r="C93" i="34"/>
  <c r="E93" i="34" s="1"/>
  <c r="E92" i="34"/>
  <c r="E91" i="34"/>
  <c r="E90" i="34"/>
  <c r="E89" i="34"/>
  <c r="E88" i="34"/>
  <c r="E87" i="34"/>
  <c r="E86" i="34"/>
  <c r="C85" i="34"/>
  <c r="E85" i="34" s="1"/>
  <c r="E84" i="34"/>
  <c r="C84" i="34"/>
  <c r="E83" i="34"/>
  <c r="C83" i="34"/>
  <c r="E82" i="34"/>
  <c r="C81" i="34"/>
  <c r="E81" i="34" s="1"/>
  <c r="E80" i="34"/>
  <c r="E79" i="34"/>
  <c r="E78" i="34"/>
  <c r="E77" i="34"/>
  <c r="E76" i="34"/>
  <c r="E75" i="34"/>
  <c r="E74" i="34"/>
  <c r="E73" i="34"/>
  <c r="E72" i="34"/>
  <c r="E71" i="34"/>
  <c r="E70" i="34"/>
  <c r="E69" i="34"/>
  <c r="E68" i="34"/>
  <c r="E67" i="34"/>
  <c r="E66" i="34"/>
  <c r="E65" i="34"/>
  <c r="E64" i="34"/>
  <c r="E63" i="34"/>
  <c r="E62" i="34"/>
  <c r="D72" i="19" l="1"/>
  <c r="F162" i="19"/>
  <c r="D157" i="19"/>
  <c r="F158" i="19" s="1"/>
  <c r="E36" i="34" l="1"/>
  <c r="E163" i="19" l="1"/>
  <c r="E161" i="19"/>
  <c r="E165" i="19" s="1"/>
  <c r="E166" i="19" s="1"/>
  <c r="C121" i="19"/>
  <c r="C119" i="19"/>
  <c r="E162" i="19" l="1"/>
  <c r="I39" i="34" l="1"/>
  <c r="I38" i="34"/>
  <c r="AI8" i="41"/>
  <c r="AF8" i="41"/>
  <c r="AC8" i="41"/>
  <c r="Z8" i="41"/>
  <c r="E39" i="34"/>
  <c r="I36" i="34"/>
  <c r="E38" i="34"/>
  <c r="D100" i="19"/>
  <c r="C53" i="19"/>
  <c r="E82" i="39"/>
  <c r="C82" i="39"/>
  <c r="E81" i="39"/>
  <c r="C81" i="39"/>
  <c r="E80" i="39"/>
  <c r="C80" i="39"/>
  <c r="C79" i="39"/>
  <c r="E79" i="39" s="1"/>
  <c r="E78" i="39"/>
  <c r="C78" i="39"/>
  <c r="E77" i="39"/>
  <c r="C77" i="39"/>
  <c r="E76" i="39"/>
  <c r="C76" i="39"/>
  <c r="E75" i="39"/>
  <c r="E74" i="39"/>
  <c r="E73" i="39"/>
  <c r="E72" i="39"/>
  <c r="E71" i="39"/>
  <c r="C70" i="39"/>
  <c r="E70" i="39" s="1"/>
  <c r="C69" i="39"/>
  <c r="E69" i="39" s="1"/>
  <c r="E68" i="39"/>
  <c r="E67" i="39"/>
  <c r="C67" i="39"/>
  <c r="E66" i="39"/>
  <c r="C66" i="39"/>
  <c r="E65" i="39"/>
  <c r="C65" i="39"/>
  <c r="C64" i="39"/>
  <c r="E64" i="39" s="1"/>
  <c r="E63" i="39"/>
  <c r="E62" i="39"/>
  <c r="C62" i="39"/>
  <c r="C61" i="39"/>
  <c r="E61" i="39" s="1"/>
  <c r="C60" i="39"/>
  <c r="E60" i="39" s="1"/>
  <c r="C59" i="39"/>
  <c r="E59" i="39" s="1"/>
  <c r="C60" i="19"/>
  <c r="I13" i="18"/>
  <c r="P41" i="39"/>
  <c r="Q41" i="39"/>
  <c r="O41" i="39"/>
  <c r="M41" i="39"/>
  <c r="L41" i="39"/>
  <c r="K41" i="39"/>
  <c r="I41" i="39"/>
  <c r="H41" i="39"/>
  <c r="G41" i="39"/>
  <c r="D41" i="39"/>
  <c r="P41" i="34"/>
  <c r="L41" i="34"/>
  <c r="H41" i="34"/>
  <c r="D41" i="34"/>
  <c r="L54" i="34"/>
  <c r="L49" i="34"/>
  <c r="L50" i="34"/>
  <c r="L51" i="34"/>
  <c r="L52" i="34"/>
  <c r="L53" i="34"/>
  <c r="K54" i="34"/>
  <c r="K53" i="34"/>
  <c r="K52" i="34"/>
  <c r="K51" i="34"/>
  <c r="K50" i="34"/>
  <c r="K49" i="34"/>
  <c r="Q68" i="41"/>
  <c r="O68" i="41"/>
  <c r="M68" i="41"/>
  <c r="J68" i="41"/>
  <c r="E37" i="34" l="1"/>
  <c r="I37" i="34"/>
  <c r="I40" i="34"/>
  <c r="E40" i="34"/>
  <c r="K57" i="34"/>
  <c r="H13" i="18"/>
  <c r="L57" i="34"/>
  <c r="L30" i="39"/>
  <c r="F46" i="18"/>
  <c r="F50" i="18"/>
  <c r="F51" i="18"/>
  <c r="F49" i="18"/>
  <c r="E61" i="22" a="1"/>
  <c r="E61" i="22" s="1"/>
  <c r="F44" i="18" s="1"/>
  <c r="D52" i="17"/>
  <c r="E52" i="17" s="1"/>
  <c r="F52" i="17" s="1"/>
  <c r="G52" i="17" s="1"/>
  <c r="H52" i="17" s="1"/>
  <c r="I52" i="17" s="1"/>
  <c r="J52" i="17" s="1"/>
  <c r="K52" i="17" s="1"/>
  <c r="L52" i="17" s="1"/>
  <c r="M52" i="17" s="1"/>
  <c r="D51" i="17"/>
  <c r="E51" i="17" s="1"/>
  <c r="F51" i="17" s="1"/>
  <c r="G51" i="17" s="1"/>
  <c r="H51" i="17" s="1"/>
  <c r="I51" i="17" s="1"/>
  <c r="J51" i="17" s="1"/>
  <c r="K51" i="17" s="1"/>
  <c r="L51" i="17" s="1"/>
  <c r="M51" i="17" s="1"/>
  <c r="D50" i="17"/>
  <c r="E50" i="17" s="1"/>
  <c r="F50" i="17" s="1"/>
  <c r="G50" i="17" s="1"/>
  <c r="H50" i="17" s="1"/>
  <c r="I50" i="17" s="1"/>
  <c r="J50" i="17" s="1"/>
  <c r="K50" i="17" s="1"/>
  <c r="L50" i="17" s="1"/>
  <c r="M50" i="17" s="1"/>
  <c r="D49" i="17"/>
  <c r="E49" i="17" s="1"/>
  <c r="F49" i="17" s="1"/>
  <c r="G49" i="17" s="1"/>
  <c r="H49" i="17" s="1"/>
  <c r="I49" i="17" s="1"/>
  <c r="J49" i="17" s="1"/>
  <c r="K49" i="17" s="1"/>
  <c r="L49" i="17" s="1"/>
  <c r="M49" i="17" s="1"/>
  <c r="D48" i="17"/>
  <c r="E48" i="17" s="1"/>
  <c r="F48" i="17" s="1"/>
  <c r="G48" i="17" s="1"/>
  <c r="H48" i="17" s="1"/>
  <c r="I48" i="17" s="1"/>
  <c r="J48" i="17" s="1"/>
  <c r="K48" i="17" s="1"/>
  <c r="L48" i="17" s="1"/>
  <c r="M48" i="17" s="1"/>
  <c r="D47" i="17"/>
  <c r="E47" i="17" s="1"/>
  <c r="F47" i="17" s="1"/>
  <c r="G47" i="17" s="1"/>
  <c r="H47" i="17" s="1"/>
  <c r="I47" i="17" s="1"/>
  <c r="J47" i="17" s="1"/>
  <c r="K47" i="17" s="1"/>
  <c r="L47" i="17" s="1"/>
  <c r="M47" i="17" s="1"/>
  <c r="D46" i="17"/>
  <c r="E46" i="17" s="1"/>
  <c r="F46" i="17" s="1"/>
  <c r="G46" i="17" s="1"/>
  <c r="H46" i="17" s="1"/>
  <c r="I46" i="17" s="1"/>
  <c r="J46" i="17" s="1"/>
  <c r="K46" i="17" s="1"/>
  <c r="L46" i="17" s="1"/>
  <c r="M46" i="17" s="1"/>
  <c r="D45" i="17"/>
  <c r="E45" i="17" s="1"/>
  <c r="F45" i="17" s="1"/>
  <c r="G45" i="17" s="1"/>
  <c r="H45" i="17" s="1"/>
  <c r="I45" i="17" s="1"/>
  <c r="J45" i="17" s="1"/>
  <c r="K45" i="17" s="1"/>
  <c r="L45" i="17" s="1"/>
  <c r="M45" i="17" s="1"/>
  <c r="D21" i="22"/>
  <c r="D20" i="22"/>
  <c r="L54" i="39"/>
  <c r="K54" i="39"/>
  <c r="P42" i="39"/>
  <c r="L42" i="39"/>
  <c r="H42" i="39"/>
  <c r="D42" i="39"/>
  <c r="C41" i="39"/>
  <c r="E41" i="39"/>
  <c r="Q41" i="34"/>
  <c r="P42" i="34"/>
  <c r="L42" i="34"/>
  <c r="O41" i="34"/>
  <c r="K41" i="34"/>
  <c r="G41" i="34"/>
  <c r="C41" i="34"/>
  <c r="N57" i="34" l="1"/>
  <c r="R41" i="34"/>
  <c r="R41" i="39"/>
  <c r="Q43" i="39"/>
  <c r="N54" i="39"/>
  <c r="M41" i="34"/>
  <c r="I41" i="34"/>
  <c r="E41" i="34"/>
  <c r="Q43" i="34" l="1"/>
  <c r="N58" i="34" s="1"/>
  <c r="N55" i="39"/>
  <c r="A199" i="23" l="1"/>
  <c r="A198" i="23"/>
  <c r="A197" i="23"/>
  <c r="A196" i="23"/>
  <c r="A195" i="23"/>
  <c r="A194" i="23"/>
  <c r="A193" i="23"/>
  <c r="A192" i="23"/>
  <c r="C18" i="22" l="1"/>
  <c r="D89" i="51"/>
  <c r="D90" i="51" s="1"/>
  <c r="G82" i="51"/>
  <c r="K80" i="51"/>
  <c r="L77" i="51"/>
  <c r="K77" i="51"/>
  <c r="L76" i="51"/>
  <c r="K76" i="51"/>
  <c r="L75" i="51"/>
  <c r="K75" i="51"/>
  <c r="L74" i="51"/>
  <c r="K74" i="51"/>
  <c r="L73" i="51"/>
  <c r="K73" i="51"/>
  <c r="L72" i="51"/>
  <c r="K72" i="51"/>
  <c r="L71" i="51"/>
  <c r="K71" i="51"/>
  <c r="L70" i="51"/>
  <c r="K70" i="51"/>
  <c r="L69" i="51"/>
  <c r="K69" i="51"/>
  <c r="L68" i="51"/>
  <c r="K68" i="51"/>
  <c r="L67" i="51"/>
  <c r="K67" i="51"/>
  <c r="L66" i="51"/>
  <c r="K66" i="51"/>
  <c r="L65" i="51"/>
  <c r="K65" i="51"/>
  <c r="L64" i="51"/>
  <c r="K64" i="51"/>
  <c r="L63" i="51"/>
  <c r="K63" i="51"/>
  <c r="L62" i="51"/>
  <c r="K62" i="51"/>
  <c r="L61" i="51"/>
  <c r="K61" i="51"/>
  <c r="L60" i="51"/>
  <c r="K60" i="51"/>
  <c r="L59" i="51"/>
  <c r="K59" i="51"/>
  <c r="L58" i="51"/>
  <c r="K58" i="51"/>
  <c r="L57" i="51"/>
  <c r="K57" i="51"/>
  <c r="L56" i="51"/>
  <c r="K56" i="51"/>
  <c r="L55" i="51"/>
  <c r="K55" i="51"/>
  <c r="L54" i="51"/>
  <c r="K54" i="51"/>
  <c r="L53" i="51"/>
  <c r="K53" i="51"/>
  <c r="L52" i="51"/>
  <c r="K52" i="51"/>
  <c r="L51" i="51"/>
  <c r="K51" i="51"/>
  <c r="L50" i="51"/>
  <c r="K50" i="51"/>
  <c r="L49" i="51"/>
  <c r="K49" i="51"/>
  <c r="L48" i="51"/>
  <c r="K48" i="51"/>
  <c r="L47" i="51"/>
  <c r="K47" i="51"/>
  <c r="L46" i="51"/>
  <c r="K46" i="51"/>
  <c r="L45" i="51"/>
  <c r="K45" i="51"/>
  <c r="L44" i="51"/>
  <c r="K44" i="51"/>
  <c r="L43" i="51"/>
  <c r="K43" i="51"/>
  <c r="L42" i="51"/>
  <c r="K42" i="51"/>
  <c r="L41" i="51"/>
  <c r="K41" i="51"/>
  <c r="L40" i="51"/>
  <c r="K40" i="51"/>
  <c r="L39" i="51"/>
  <c r="K39" i="51"/>
  <c r="L38" i="51"/>
  <c r="K38" i="51"/>
  <c r="L37" i="51"/>
  <c r="K37" i="51"/>
  <c r="L36" i="51"/>
  <c r="K36" i="51"/>
  <c r="L35" i="51"/>
  <c r="K35" i="51"/>
  <c r="L34" i="51"/>
  <c r="K34" i="51"/>
  <c r="L33" i="51"/>
  <c r="K33" i="51"/>
  <c r="L32" i="51"/>
  <c r="K32" i="51"/>
  <c r="L31" i="51"/>
  <c r="K31" i="51"/>
  <c r="L30" i="51"/>
  <c r="K30" i="51"/>
  <c r="L29" i="51"/>
  <c r="K29" i="51"/>
  <c r="L28" i="51"/>
  <c r="K28" i="51"/>
  <c r="L27" i="51"/>
  <c r="K27" i="51"/>
  <c r="L26" i="51"/>
  <c r="K26" i="51"/>
  <c r="L25" i="51"/>
  <c r="K25" i="51"/>
  <c r="L24" i="51"/>
  <c r="K24" i="51"/>
  <c r="L23" i="51"/>
  <c r="K23" i="51"/>
  <c r="L22" i="51"/>
  <c r="K22" i="51"/>
  <c r="L21" i="51"/>
  <c r="K21" i="51"/>
  <c r="L20" i="51"/>
  <c r="K20" i="51"/>
  <c r="L19" i="51"/>
  <c r="K19" i="51"/>
  <c r="L18" i="51"/>
  <c r="K18" i="51"/>
  <c r="L17" i="51"/>
  <c r="K17" i="51"/>
  <c r="L16" i="51"/>
  <c r="K16" i="51"/>
  <c r="L15" i="51"/>
  <c r="K15" i="51"/>
  <c r="L14" i="51"/>
  <c r="K14" i="51"/>
  <c r="L13" i="51"/>
  <c r="K13" i="51"/>
  <c r="L12" i="51"/>
  <c r="K12" i="51"/>
  <c r="L11" i="51"/>
  <c r="K11" i="51"/>
  <c r="L10" i="51"/>
  <c r="K10" i="51"/>
  <c r="L9" i="51"/>
  <c r="K9" i="51"/>
  <c r="L8" i="51"/>
  <c r="K8" i="51"/>
  <c r="L7" i="51"/>
  <c r="K7" i="51"/>
  <c r="L6" i="51"/>
  <c r="K6" i="51"/>
  <c r="L5" i="51"/>
  <c r="K5" i="51"/>
  <c r="L4" i="51"/>
  <c r="K4" i="51"/>
  <c r="L3" i="51"/>
  <c r="K3" i="51"/>
  <c r="K82" i="51" s="1"/>
  <c r="L2" i="51"/>
  <c r="K2" i="51"/>
  <c r="K81" i="51" l="1"/>
  <c r="N11" i="51"/>
  <c r="O11" i="51" s="1"/>
  <c r="K84" i="51"/>
  <c r="K78" i="51"/>
  <c r="C74" i="19" l="1"/>
  <c r="J22" i="34"/>
  <c r="H13" i="40"/>
  <c r="J13" i="40"/>
  <c r="J12" i="40"/>
  <c r="J11" i="40"/>
  <c r="H12" i="40"/>
  <c r="H11" i="40"/>
  <c r="F13" i="40"/>
  <c r="F12" i="40"/>
  <c r="F11" i="40"/>
  <c r="L24" i="40"/>
  <c r="L31" i="40" l="1"/>
  <c r="F32" i="40"/>
  <c r="G32" i="40" s="1"/>
  <c r="K2" i="40"/>
  <c r="I2" i="40"/>
  <c r="G2" i="40"/>
  <c r="J32" i="40"/>
  <c r="K32" i="40" s="1"/>
  <c r="J31" i="40"/>
  <c r="H32" i="40"/>
  <c r="I32" i="40" s="1"/>
  <c r="H31" i="40"/>
  <c r="F31" i="40"/>
  <c r="J29" i="40"/>
  <c r="H29" i="40"/>
  <c r="H30" i="40" s="1"/>
  <c r="F29" i="40"/>
  <c r="F30" i="40" s="1"/>
  <c r="J27" i="40"/>
  <c r="H27" i="40"/>
  <c r="F27" i="40"/>
  <c r="J24" i="40"/>
  <c r="J23" i="40"/>
  <c r="H24" i="40"/>
  <c r="H23" i="40"/>
  <c r="F24" i="40"/>
  <c r="F23" i="40"/>
  <c r="J9" i="40"/>
  <c r="J45" i="40" s="1"/>
  <c r="H8" i="40"/>
  <c r="H14" i="40" s="1"/>
  <c r="F7" i="40"/>
  <c r="C5" i="40"/>
  <c r="D5" i="40" s="1"/>
  <c r="C4" i="40"/>
  <c r="C3" i="40"/>
  <c r="E33" i="40" s="1"/>
  <c r="E18" i="22"/>
  <c r="E17" i="22"/>
  <c r="D14" i="19" s="1"/>
  <c r="C4" i="17"/>
  <c r="E21" i="40"/>
  <c r="E20" i="40"/>
  <c r="E19" i="40"/>
  <c r="E18" i="40"/>
  <c r="E17" i="40"/>
  <c r="E15" i="40"/>
  <c r="E14" i="40"/>
  <c r="E13" i="40"/>
  <c r="E12" i="40"/>
  <c r="E11" i="40"/>
  <c r="E10" i="40"/>
  <c r="C97" i="19"/>
  <c r="C94" i="19"/>
  <c r="C93" i="19"/>
  <c r="C92" i="19"/>
  <c r="C91" i="19"/>
  <c r="C90" i="19"/>
  <c r="C88" i="19"/>
  <c r="C87" i="19"/>
  <c r="C86" i="19"/>
  <c r="C85" i="19"/>
  <c r="C72" i="19"/>
  <c r="C115" i="19"/>
  <c r="C104" i="19"/>
  <c r="C103" i="19"/>
  <c r="C102" i="19"/>
  <c r="C101" i="19"/>
  <c r="C98" i="19"/>
  <c r="C95" i="19"/>
  <c r="C89" i="19"/>
  <c r="C84" i="19"/>
  <c r="C83" i="19"/>
  <c r="C82" i="19"/>
  <c r="C80" i="19"/>
  <c r="C79" i="19"/>
  <c r="C78" i="19"/>
  <c r="E27" i="40"/>
  <c r="D140" i="17"/>
  <c r="C140" i="17"/>
  <c r="E30" i="40" s="1"/>
  <c r="D139" i="17"/>
  <c r="C139" i="17"/>
  <c r="G135" i="17"/>
  <c r="F135" i="17"/>
  <c r="D122" i="17"/>
  <c r="C122" i="17"/>
  <c r="C121" i="17"/>
  <c r="C120" i="17"/>
  <c r="C119" i="17"/>
  <c r="C118" i="17"/>
  <c r="C117" i="17"/>
  <c r="C116" i="17"/>
  <c r="C112" i="17"/>
  <c r="C111" i="17"/>
  <c r="C110"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C104" i="17"/>
  <c r="C103" i="17"/>
  <c r="C102" i="17"/>
  <c r="C101" i="17"/>
  <c r="C100" i="17"/>
  <c r="C99" i="17"/>
  <c r="C98" i="17"/>
  <c r="C97"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C88" i="17"/>
  <c r="C87" i="17"/>
  <c r="C86" i="17"/>
  <c r="C85" i="17"/>
  <c r="C84" i="17"/>
  <c r="C83" i="17"/>
  <c r="C82" i="17"/>
  <c r="C81" i="17"/>
  <c r="F73" i="17"/>
  <c r="E73" i="17"/>
  <c r="D73" i="17"/>
  <c r="C73" i="17"/>
  <c r="F72" i="17"/>
  <c r="E72" i="17"/>
  <c r="D72" i="17"/>
  <c r="C72" i="17"/>
  <c r="F71" i="17"/>
  <c r="E71" i="17"/>
  <c r="D71" i="17"/>
  <c r="C71" i="17"/>
  <c r="F68" i="17"/>
  <c r="E68" i="17"/>
  <c r="D68" i="17"/>
  <c r="C68" i="17"/>
  <c r="F67" i="17"/>
  <c r="E67" i="17"/>
  <c r="D67" i="17"/>
  <c r="C67" i="17"/>
  <c r="F66" i="17"/>
  <c r="E66" i="17"/>
  <c r="D66" i="17"/>
  <c r="C66" i="17"/>
  <c r="F63" i="17"/>
  <c r="E63" i="17"/>
  <c r="D63" i="17"/>
  <c r="F62" i="17"/>
  <c r="E62" i="17"/>
  <c r="D62" i="17"/>
  <c r="F61" i="17"/>
  <c r="E61" i="17"/>
  <c r="D61" i="17"/>
  <c r="C63" i="17"/>
  <c r="C62" i="17"/>
  <c r="C61" i="17"/>
  <c r="AH11" i="17"/>
  <c r="AE11" i="17"/>
  <c r="AB11" i="17"/>
  <c r="Y11" i="17"/>
  <c r="W11" i="17"/>
  <c r="V11" i="17"/>
  <c r="U11" i="17"/>
  <c r="T11" i="17"/>
  <c r="S11" i="17"/>
  <c r="R11" i="17"/>
  <c r="Q11" i="17"/>
  <c r="P11" i="17"/>
  <c r="O11" i="17"/>
  <c r="N11" i="17"/>
  <c r="M11" i="17"/>
  <c r="L11" i="17"/>
  <c r="K11" i="17"/>
  <c r="J11" i="17"/>
  <c r="I11" i="17"/>
  <c r="H11" i="17"/>
  <c r="G11" i="17"/>
  <c r="F11" i="17"/>
  <c r="E11" i="17"/>
  <c r="D11" i="17"/>
  <c r="AH10" i="17"/>
  <c r="AE10" i="17"/>
  <c r="AB10" i="17"/>
  <c r="Y10" i="17"/>
  <c r="W10" i="17"/>
  <c r="V10" i="17"/>
  <c r="U10" i="17"/>
  <c r="T10" i="17"/>
  <c r="S10" i="17"/>
  <c r="R10" i="17"/>
  <c r="Q10" i="17"/>
  <c r="P10" i="17"/>
  <c r="O10" i="17"/>
  <c r="N10" i="17"/>
  <c r="M10" i="17"/>
  <c r="L10" i="17"/>
  <c r="K10" i="17"/>
  <c r="J10" i="17"/>
  <c r="I10" i="17"/>
  <c r="H10" i="17"/>
  <c r="G10" i="17"/>
  <c r="F10" i="17"/>
  <c r="E10" i="17"/>
  <c r="D10" i="17"/>
  <c r="AH9" i="17"/>
  <c r="AE9" i="17"/>
  <c r="AB9" i="17"/>
  <c r="Y9" i="17"/>
  <c r="W9" i="17"/>
  <c r="V9" i="17"/>
  <c r="U9" i="17"/>
  <c r="T9" i="17"/>
  <c r="S9" i="17"/>
  <c r="R9" i="17"/>
  <c r="Q9" i="17"/>
  <c r="P9" i="17"/>
  <c r="O9" i="17"/>
  <c r="N9" i="17"/>
  <c r="M9" i="17"/>
  <c r="L9" i="17"/>
  <c r="K9" i="17"/>
  <c r="J9" i="17"/>
  <c r="I9" i="17"/>
  <c r="H9" i="17"/>
  <c r="G9" i="17"/>
  <c r="F9" i="17"/>
  <c r="E9" i="17"/>
  <c r="D9" i="17"/>
  <c r="AI8" i="17"/>
  <c r="AH8" i="17"/>
  <c r="AF8" i="17"/>
  <c r="AE8" i="17"/>
  <c r="AC8" i="17"/>
  <c r="AB8" i="17"/>
  <c r="Z8" i="17"/>
  <c r="Y8" i="17"/>
  <c r="W8" i="17"/>
  <c r="V8" i="17"/>
  <c r="U8" i="17"/>
  <c r="T8" i="17"/>
  <c r="S8" i="17"/>
  <c r="R8" i="17"/>
  <c r="Q8" i="17"/>
  <c r="P8" i="17"/>
  <c r="O8" i="17"/>
  <c r="N8" i="17"/>
  <c r="M8" i="17"/>
  <c r="L8" i="17"/>
  <c r="K8" i="17"/>
  <c r="J8" i="17"/>
  <c r="I8" i="17"/>
  <c r="H8" i="17"/>
  <c r="G8" i="17"/>
  <c r="F8" i="17"/>
  <c r="E8" i="17"/>
  <c r="D8" i="17"/>
  <c r="AI7" i="17"/>
  <c r="AH7" i="17"/>
  <c r="AG7" i="17"/>
  <c r="AF7" i="17"/>
  <c r="AE7" i="17"/>
  <c r="AD7" i="17"/>
  <c r="AC7" i="17"/>
  <c r="AB7" i="17"/>
  <c r="AA7" i="17"/>
  <c r="Z7" i="17"/>
  <c r="Y7" i="17"/>
  <c r="X7" i="17"/>
  <c r="W7" i="17"/>
  <c r="V7" i="17"/>
  <c r="U7" i="17"/>
  <c r="T7" i="17"/>
  <c r="S7" i="17"/>
  <c r="R7" i="17"/>
  <c r="Q7" i="17"/>
  <c r="P7" i="17"/>
  <c r="O7" i="17"/>
  <c r="N7" i="17"/>
  <c r="M7" i="17"/>
  <c r="L7" i="17"/>
  <c r="K7" i="17"/>
  <c r="J7" i="17"/>
  <c r="I7" i="17"/>
  <c r="H7" i="17"/>
  <c r="G7" i="17"/>
  <c r="F7" i="17"/>
  <c r="E7" i="17"/>
  <c r="D7" i="17"/>
  <c r="AI6" i="17"/>
  <c r="AH6" i="17"/>
  <c r="AG6" i="17"/>
  <c r="AF6" i="17"/>
  <c r="AE6" i="17"/>
  <c r="AD6" i="17"/>
  <c r="AC6" i="17"/>
  <c r="AB6" i="17"/>
  <c r="AA6" i="17"/>
  <c r="Z6" i="17"/>
  <c r="Y6" i="17"/>
  <c r="X6" i="17"/>
  <c r="W6" i="17"/>
  <c r="V6" i="17"/>
  <c r="U6" i="17"/>
  <c r="T6" i="17"/>
  <c r="S6" i="17"/>
  <c r="R6" i="17"/>
  <c r="Q6" i="17"/>
  <c r="P6" i="17"/>
  <c r="O6" i="17"/>
  <c r="N6" i="17"/>
  <c r="M6" i="17"/>
  <c r="L6" i="17"/>
  <c r="K6" i="17"/>
  <c r="J6" i="17"/>
  <c r="I6" i="17"/>
  <c r="H6" i="17"/>
  <c r="G6" i="17"/>
  <c r="F6" i="17"/>
  <c r="E6" i="17"/>
  <c r="D6" i="17"/>
  <c r="AI5" i="17"/>
  <c r="AH5" i="17"/>
  <c r="AG5" i="17"/>
  <c r="AF5" i="17"/>
  <c r="AE5" i="17"/>
  <c r="AD5" i="17"/>
  <c r="AC5" i="17"/>
  <c r="AB5" i="17"/>
  <c r="AA5" i="17"/>
  <c r="Z5" i="17"/>
  <c r="Y5" i="17"/>
  <c r="X5" i="17"/>
  <c r="W5" i="17"/>
  <c r="V5" i="17"/>
  <c r="U5" i="17"/>
  <c r="T5" i="17"/>
  <c r="S5" i="17"/>
  <c r="R5" i="17"/>
  <c r="Q5" i="17"/>
  <c r="P5" i="17"/>
  <c r="O5" i="17"/>
  <c r="N5" i="17"/>
  <c r="M5" i="17"/>
  <c r="L5" i="17"/>
  <c r="K5" i="17"/>
  <c r="J5" i="17"/>
  <c r="I5" i="17"/>
  <c r="H5" i="17"/>
  <c r="G5" i="17"/>
  <c r="F5" i="17"/>
  <c r="E5" i="17"/>
  <c r="D5" i="17"/>
  <c r="AI4" i="17"/>
  <c r="AH4" i="17"/>
  <c r="AG4" i="17"/>
  <c r="AF4" i="17"/>
  <c r="AE4" i="17"/>
  <c r="AD4" i="17"/>
  <c r="AC4" i="17"/>
  <c r="AB4" i="17"/>
  <c r="AA4" i="17"/>
  <c r="Z4" i="17"/>
  <c r="Y4" i="17"/>
  <c r="X4" i="17"/>
  <c r="W4" i="17"/>
  <c r="V4" i="17"/>
  <c r="U4" i="17"/>
  <c r="T4" i="17"/>
  <c r="S4" i="17"/>
  <c r="R4" i="17"/>
  <c r="Q4" i="17"/>
  <c r="P4" i="17"/>
  <c r="O4" i="17"/>
  <c r="N4" i="17"/>
  <c r="M4" i="17"/>
  <c r="L4" i="17"/>
  <c r="K4" i="17"/>
  <c r="J4" i="17"/>
  <c r="I4" i="17"/>
  <c r="H4" i="17"/>
  <c r="G4" i="17"/>
  <c r="F4" i="17"/>
  <c r="E4" i="17"/>
  <c r="D4" i="17"/>
  <c r="C11" i="17"/>
  <c r="C10" i="17"/>
  <c r="C9" i="17"/>
  <c r="C8" i="17"/>
  <c r="C7" i="17"/>
  <c r="C6" i="17"/>
  <c r="C5" i="17"/>
  <c r="E183" i="41"/>
  <c r="E181" i="41"/>
  <c r="J126" i="41"/>
  <c r="M125" i="41"/>
  <c r="M124" i="41"/>
  <c r="M123" i="41"/>
  <c r="M122" i="41"/>
  <c r="AG104" i="41"/>
  <c r="AD104" i="41"/>
  <c r="AA104" i="41"/>
  <c r="X104" i="41"/>
  <c r="U104" i="41"/>
  <c r="R104" i="41"/>
  <c r="O104" i="41"/>
  <c r="L104" i="41"/>
  <c r="I104" i="41"/>
  <c r="F104" i="41"/>
  <c r="C104" i="41"/>
  <c r="AG103" i="41"/>
  <c r="AD103" i="41"/>
  <c r="AA103" i="41"/>
  <c r="X103" i="41"/>
  <c r="U103" i="41"/>
  <c r="R103" i="41"/>
  <c r="O103" i="41"/>
  <c r="L103" i="41"/>
  <c r="I103" i="41"/>
  <c r="F103" i="41"/>
  <c r="C103" i="41"/>
  <c r="AG102" i="41"/>
  <c r="AD102" i="41"/>
  <c r="AA102" i="41"/>
  <c r="X102" i="41"/>
  <c r="U102" i="41"/>
  <c r="R102" i="41"/>
  <c r="O102" i="41"/>
  <c r="L102" i="41"/>
  <c r="I102" i="41"/>
  <c r="F102" i="41"/>
  <c r="C102" i="41"/>
  <c r="AG101" i="41"/>
  <c r="AD101" i="41"/>
  <c r="AA101" i="41"/>
  <c r="X101" i="41"/>
  <c r="U101" i="41"/>
  <c r="R101" i="41"/>
  <c r="O101" i="41"/>
  <c r="L101" i="41"/>
  <c r="I101" i="41"/>
  <c r="F101" i="41"/>
  <c r="C101" i="41"/>
  <c r="AG100" i="41"/>
  <c r="AD100" i="41"/>
  <c r="AA100" i="41"/>
  <c r="X100" i="41"/>
  <c r="U100" i="41"/>
  <c r="R100" i="41"/>
  <c r="O100" i="41"/>
  <c r="L100" i="41"/>
  <c r="I100" i="41"/>
  <c r="F100" i="41"/>
  <c r="C100" i="41"/>
  <c r="AG99" i="41"/>
  <c r="AD99" i="41"/>
  <c r="AA99" i="41"/>
  <c r="X99" i="41"/>
  <c r="U99" i="41"/>
  <c r="R99" i="41"/>
  <c r="O99" i="41"/>
  <c r="L99" i="41"/>
  <c r="I99" i="41"/>
  <c r="F99" i="41"/>
  <c r="C99" i="41"/>
  <c r="AX98" i="41"/>
  <c r="AG98" i="41"/>
  <c r="AD98" i="41"/>
  <c r="AA98" i="41"/>
  <c r="X98" i="41"/>
  <c r="U98" i="41"/>
  <c r="R98" i="41"/>
  <c r="O98" i="41"/>
  <c r="L98" i="41"/>
  <c r="I98" i="41"/>
  <c r="F98" i="41"/>
  <c r="E98" i="41"/>
  <c r="E99" i="41" s="1"/>
  <c r="C98" i="41"/>
  <c r="AG97" i="41"/>
  <c r="AD97" i="41"/>
  <c r="AA97" i="41"/>
  <c r="X97" i="41"/>
  <c r="U97" i="41"/>
  <c r="R97" i="41"/>
  <c r="O97" i="41"/>
  <c r="L97" i="41"/>
  <c r="K97" i="41"/>
  <c r="AO97" i="41" s="1"/>
  <c r="I97" i="41"/>
  <c r="H97" i="41"/>
  <c r="AN97" i="41" s="1"/>
  <c r="F97" i="41"/>
  <c r="C97" i="41"/>
  <c r="AG96" i="41"/>
  <c r="AD96" i="41"/>
  <c r="AA96" i="41"/>
  <c r="X96" i="41"/>
  <c r="U96" i="41"/>
  <c r="AI94" i="41"/>
  <c r="AH94" i="41"/>
  <c r="AF94" i="41"/>
  <c r="AE94" i="41"/>
  <c r="AC94" i="41"/>
  <c r="AB94" i="41"/>
  <c r="Z94" i="41"/>
  <c r="Y94" i="41"/>
  <c r="W94" i="41"/>
  <c r="V94" i="41"/>
  <c r="U94" i="41"/>
  <c r="T94" i="41"/>
  <c r="S94" i="41"/>
  <c r="R94" i="41"/>
  <c r="Q94" i="41"/>
  <c r="P94" i="41"/>
  <c r="O94" i="41"/>
  <c r="N94" i="41"/>
  <c r="M94" i="41"/>
  <c r="L94" i="41"/>
  <c r="K94" i="41"/>
  <c r="J94" i="41"/>
  <c r="I94" i="41"/>
  <c r="H94" i="41"/>
  <c r="G94" i="41"/>
  <c r="F94" i="41"/>
  <c r="E94" i="41"/>
  <c r="D94" i="41"/>
  <c r="C94" i="41"/>
  <c r="B94" i="41"/>
  <c r="X88" i="41"/>
  <c r="AA88" i="41" s="1"/>
  <c r="AD88" i="41" s="1"/>
  <c r="AG88" i="41" s="1"/>
  <c r="U88" i="41"/>
  <c r="U87" i="41"/>
  <c r="X87" i="41" s="1"/>
  <c r="AA87" i="41" s="1"/>
  <c r="AD87" i="41" s="1"/>
  <c r="AG87" i="41" s="1"/>
  <c r="U86" i="41"/>
  <c r="X86" i="41" s="1"/>
  <c r="AA86" i="41" s="1"/>
  <c r="AD86" i="41" s="1"/>
  <c r="AG86" i="41" s="1"/>
  <c r="AG85" i="41"/>
  <c r="U85" i="41"/>
  <c r="X85" i="41" s="1"/>
  <c r="AA85" i="41" s="1"/>
  <c r="AD85" i="41" s="1"/>
  <c r="AG84" i="41"/>
  <c r="U84" i="41"/>
  <c r="X84" i="41" s="1"/>
  <c r="AA84" i="41" s="1"/>
  <c r="AD84" i="41" s="1"/>
  <c r="X83" i="41"/>
  <c r="AA83" i="41" s="1"/>
  <c r="AD83" i="41" s="1"/>
  <c r="AG83" i="41" s="1"/>
  <c r="U83" i="41"/>
  <c r="X82" i="41"/>
  <c r="AA82" i="41" s="1"/>
  <c r="AD82" i="41" s="1"/>
  <c r="AG82" i="41" s="1"/>
  <c r="U82" i="41"/>
  <c r="E82" i="41"/>
  <c r="AN81" i="41"/>
  <c r="AA81" i="41"/>
  <c r="AD81" i="41" s="1"/>
  <c r="AG81" i="41" s="1"/>
  <c r="X81" i="41"/>
  <c r="U81" i="41"/>
  <c r="K81" i="41"/>
  <c r="H81" i="41"/>
  <c r="AG80" i="41"/>
  <c r="AI78" i="41"/>
  <c r="AH78" i="41"/>
  <c r="AF78" i="41"/>
  <c r="AE78" i="41"/>
  <c r="AC78" i="41"/>
  <c r="AB78" i="41"/>
  <c r="Z78" i="41"/>
  <c r="Y78" i="41"/>
  <c r="W78" i="41"/>
  <c r="V78" i="41"/>
  <c r="U78" i="41"/>
  <c r="T78" i="41"/>
  <c r="S78" i="41"/>
  <c r="R78" i="41"/>
  <c r="Q78" i="41"/>
  <c r="P78" i="41"/>
  <c r="O78" i="41"/>
  <c r="N78" i="41"/>
  <c r="M78" i="41"/>
  <c r="L78" i="41"/>
  <c r="K78" i="41"/>
  <c r="J78" i="41"/>
  <c r="I78" i="41"/>
  <c r="H78" i="41"/>
  <c r="G78" i="41"/>
  <c r="F78" i="41"/>
  <c r="E78" i="41"/>
  <c r="D78" i="41"/>
  <c r="C78" i="41"/>
  <c r="B78" i="41"/>
  <c r="F75" i="41"/>
  <c r="E75" i="41"/>
  <c r="D75" i="41"/>
  <c r="C75" i="41"/>
  <c r="F74" i="41"/>
  <c r="E74" i="41"/>
  <c r="D74" i="41"/>
  <c r="C74" i="41"/>
  <c r="D52" i="41"/>
  <c r="E52" i="41" s="1"/>
  <c r="F52" i="41" s="1"/>
  <c r="G52" i="41" s="1"/>
  <c r="H52" i="41" s="1"/>
  <c r="I52" i="41" s="1"/>
  <c r="J52" i="41" s="1"/>
  <c r="K52" i="41" s="1"/>
  <c r="L52" i="41" s="1"/>
  <c r="M52" i="41" s="1"/>
  <c r="E51" i="41"/>
  <c r="F51" i="41" s="1"/>
  <c r="G51" i="41" s="1"/>
  <c r="H51" i="41" s="1"/>
  <c r="I51" i="41" s="1"/>
  <c r="J51" i="41" s="1"/>
  <c r="K51" i="41" s="1"/>
  <c r="L51" i="41" s="1"/>
  <c r="M51" i="41" s="1"/>
  <c r="D51" i="41"/>
  <c r="J50" i="41"/>
  <c r="K50" i="41" s="1"/>
  <c r="L50" i="41" s="1"/>
  <c r="M50" i="41" s="1"/>
  <c r="E50" i="41"/>
  <c r="F50" i="41" s="1"/>
  <c r="G50" i="41" s="1"/>
  <c r="H50" i="41" s="1"/>
  <c r="I50" i="41" s="1"/>
  <c r="D50" i="41"/>
  <c r="D49" i="41"/>
  <c r="E49" i="41" s="1"/>
  <c r="F49" i="41" s="1"/>
  <c r="G49" i="41" s="1"/>
  <c r="H49" i="41" s="1"/>
  <c r="I49" i="41" s="1"/>
  <c r="J49" i="41" s="1"/>
  <c r="K49" i="41" s="1"/>
  <c r="L49" i="41" s="1"/>
  <c r="M49" i="41" s="1"/>
  <c r="D48" i="41"/>
  <c r="E48" i="41" s="1"/>
  <c r="F48" i="41" s="1"/>
  <c r="G48" i="41" s="1"/>
  <c r="H48" i="41" s="1"/>
  <c r="I48" i="41" s="1"/>
  <c r="J48" i="41" s="1"/>
  <c r="K48" i="41" s="1"/>
  <c r="L48" i="41" s="1"/>
  <c r="M48" i="41" s="1"/>
  <c r="E47" i="41"/>
  <c r="F47" i="41" s="1"/>
  <c r="G47" i="41" s="1"/>
  <c r="H47" i="41" s="1"/>
  <c r="I47" i="41" s="1"/>
  <c r="J47" i="41" s="1"/>
  <c r="K47" i="41" s="1"/>
  <c r="L47" i="41" s="1"/>
  <c r="M47" i="41" s="1"/>
  <c r="D47" i="41"/>
  <c r="J46" i="41"/>
  <c r="K46" i="41" s="1"/>
  <c r="L46" i="41" s="1"/>
  <c r="M46" i="41" s="1"/>
  <c r="E46" i="41"/>
  <c r="F46" i="41" s="1"/>
  <c r="G46" i="41" s="1"/>
  <c r="H46" i="41" s="1"/>
  <c r="I46" i="41" s="1"/>
  <c r="D46" i="41"/>
  <c r="D45" i="41"/>
  <c r="E45" i="41" s="1"/>
  <c r="F45" i="41" s="1"/>
  <c r="G45" i="41" s="1"/>
  <c r="H45" i="41" s="1"/>
  <c r="I45" i="41" s="1"/>
  <c r="J45" i="41" s="1"/>
  <c r="K45" i="41" s="1"/>
  <c r="L45" i="41" s="1"/>
  <c r="M45" i="41" s="1"/>
  <c r="AD37" i="41"/>
  <c r="AC37" i="41"/>
  <c r="AE37" i="41" s="1"/>
  <c r="Q35" i="41"/>
  <c r="R35" i="41" s="1"/>
  <c r="Q34" i="41"/>
  <c r="R34" i="41" s="1"/>
  <c r="R33" i="41"/>
  <c r="Q33" i="41"/>
  <c r="R32" i="41"/>
  <c r="Q32" i="41"/>
  <c r="Q31" i="41"/>
  <c r="R31" i="41" s="1"/>
  <c r="Q30" i="41"/>
  <c r="R30" i="41" s="1"/>
  <c r="R29" i="41"/>
  <c r="Q29" i="41"/>
  <c r="AE19" i="41"/>
  <c r="AD19" i="41"/>
  <c r="AC19" i="41"/>
  <c r="Z19" i="41"/>
  <c r="AE18" i="41"/>
  <c r="AD18" i="41"/>
  <c r="AC18" i="41"/>
  <c r="Z18" i="41"/>
  <c r="AE17" i="41"/>
  <c r="AD17" i="41"/>
  <c r="AC17" i="41"/>
  <c r="Z17" i="41"/>
  <c r="AE16" i="41"/>
  <c r="AD16" i="41"/>
  <c r="AC16" i="41"/>
  <c r="Z16" i="41"/>
  <c r="AE15" i="41"/>
  <c r="AD15" i="41"/>
  <c r="AC15" i="41"/>
  <c r="Z15" i="41"/>
  <c r="E5" i="41"/>
  <c r="H4" i="41"/>
  <c r="C4" i="41"/>
  <c r="AG3" i="41"/>
  <c r="AD3" i="41"/>
  <c r="AD1" i="41" s="1"/>
  <c r="L42" i="41" s="1"/>
  <c r="AA3" i="41"/>
  <c r="X3" i="41"/>
  <c r="X1" i="41" s="1"/>
  <c r="J42" i="41" s="1"/>
  <c r="U3" i="41"/>
  <c r="AI1" i="41"/>
  <c r="AH1" i="41"/>
  <c r="AG1" i="41"/>
  <c r="M42" i="41" s="1"/>
  <c r="AF1" i="41"/>
  <c r="AE1" i="41"/>
  <c r="AC1" i="41"/>
  <c r="AB1" i="41"/>
  <c r="AA1" i="41"/>
  <c r="K42" i="41" s="1"/>
  <c r="Z1" i="41"/>
  <c r="Y1" i="41"/>
  <c r="W1" i="41"/>
  <c r="V1" i="41"/>
  <c r="U1" i="41"/>
  <c r="I42" i="41" s="1"/>
  <c r="T1" i="41"/>
  <c r="S1" i="41"/>
  <c r="R1" i="41"/>
  <c r="H42" i="41" s="1"/>
  <c r="Q1" i="41"/>
  <c r="P1" i="41"/>
  <c r="O1" i="41"/>
  <c r="G42" i="41" s="1"/>
  <c r="N1" i="41"/>
  <c r="M1" i="41"/>
  <c r="L1" i="41"/>
  <c r="F42" i="41" s="1"/>
  <c r="K1" i="41"/>
  <c r="J1" i="41"/>
  <c r="I1" i="41"/>
  <c r="E42" i="41" s="1"/>
  <c r="H1" i="41"/>
  <c r="G1" i="41"/>
  <c r="F1" i="41"/>
  <c r="D42" i="41" s="1"/>
  <c r="E1" i="41"/>
  <c r="D1" i="41"/>
  <c r="C1" i="41"/>
  <c r="C42" i="41" s="1"/>
  <c r="B1" i="41"/>
  <c r="D107" i="18"/>
  <c r="D106" i="18"/>
  <c r="C68" i="18"/>
  <c r="C69" i="18"/>
  <c r="C67"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20" i="18"/>
  <c r="A175" i="23"/>
  <c r="A174" i="23"/>
  <c r="A173" i="23"/>
  <c r="A172" i="23"/>
  <c r="J30" i="40"/>
  <c r="E29" i="40"/>
  <c r="H20" i="40"/>
  <c r="J20" i="40"/>
  <c r="M127" i="17"/>
  <c r="K31" i="40" l="1"/>
  <c r="E44" i="40"/>
  <c r="E35" i="40"/>
  <c r="H15" i="40"/>
  <c r="M2" i="40"/>
  <c r="M32" i="40"/>
  <c r="H16" i="40"/>
  <c r="L8" i="40"/>
  <c r="L7" i="40"/>
  <c r="L27" i="40"/>
  <c r="E45" i="40"/>
  <c r="K45" i="40" s="1"/>
  <c r="K46" i="40" s="1"/>
  <c r="L23" i="40"/>
  <c r="D4" i="40"/>
  <c r="I24" i="40" s="1"/>
  <c r="L9" i="40"/>
  <c r="J14" i="40"/>
  <c r="K14" i="40" s="1"/>
  <c r="J35" i="40"/>
  <c r="L35" i="40" s="1"/>
  <c r="E43" i="40"/>
  <c r="H18" i="40"/>
  <c r="F14" i="40"/>
  <c r="H34" i="40"/>
  <c r="L34" i="40" s="1"/>
  <c r="J19" i="40"/>
  <c r="L19" i="40" s="1"/>
  <c r="H21" i="40"/>
  <c r="E26" i="40"/>
  <c r="H26" i="40"/>
  <c r="K13" i="40"/>
  <c r="J21" i="40"/>
  <c r="K21" i="40" s="1"/>
  <c r="J26" i="40"/>
  <c r="J15" i="40"/>
  <c r="J16" i="40"/>
  <c r="J36" i="40" s="1"/>
  <c r="F15" i="40"/>
  <c r="F21" i="40"/>
  <c r="E5" i="40"/>
  <c r="F33" i="40"/>
  <c r="L33" i="40" s="1"/>
  <c r="E34" i="40"/>
  <c r="D3" i="40"/>
  <c r="AX5" i="41"/>
  <c r="C5" i="41"/>
  <c r="E6" i="41"/>
  <c r="F4" i="41"/>
  <c r="K4" i="41"/>
  <c r="AN4" i="41"/>
  <c r="H5" i="41"/>
  <c r="N81" i="41"/>
  <c r="AO81" i="41"/>
  <c r="H99" i="41"/>
  <c r="AX99" i="41"/>
  <c r="E100" i="41"/>
  <c r="E83" i="41"/>
  <c r="AX82" i="41"/>
  <c r="H82" i="41"/>
  <c r="N97" i="41"/>
  <c r="H98" i="41"/>
  <c r="K42" i="40"/>
  <c r="K30" i="40"/>
  <c r="K20" i="40"/>
  <c r="K23" i="40"/>
  <c r="K24" i="40"/>
  <c r="K47" i="40"/>
  <c r="K29" i="40"/>
  <c r="L29" i="40"/>
  <c r="L30" i="40"/>
  <c r="J129" i="17"/>
  <c r="M125" i="17"/>
  <c r="M128" i="17"/>
  <c r="M126" i="17"/>
  <c r="E7" i="40"/>
  <c r="E9" i="40"/>
  <c r="K9" i="40" s="1"/>
  <c r="E8" i="40"/>
  <c r="A3" i="40"/>
  <c r="F17" i="40"/>
  <c r="L17" i="40" s="1"/>
  <c r="I8" i="40" l="1"/>
  <c r="I31" i="40"/>
  <c r="L16" i="40"/>
  <c r="K26" i="40"/>
  <c r="I23" i="40"/>
  <c r="I25" i="40" s="1"/>
  <c r="K19" i="40"/>
  <c r="M19" i="40" s="1"/>
  <c r="I18" i="40"/>
  <c r="M18" i="40" s="1"/>
  <c r="I12" i="40"/>
  <c r="I47" i="40"/>
  <c r="I42" i="40"/>
  <c r="I15" i="40"/>
  <c r="I21" i="40"/>
  <c r="I26" i="40"/>
  <c r="I20" i="40"/>
  <c r="I29" i="40"/>
  <c r="I14" i="40"/>
  <c r="K35" i="40"/>
  <c r="M35" i="40" s="1"/>
  <c r="I13" i="40"/>
  <c r="L14" i="40"/>
  <c r="I30" i="40"/>
  <c r="L18" i="40"/>
  <c r="K25" i="40"/>
  <c r="I34" i="40"/>
  <c r="M34" i="40" s="1"/>
  <c r="L12" i="40"/>
  <c r="K12" i="40"/>
  <c r="L26" i="40"/>
  <c r="L13" i="40"/>
  <c r="L15" i="40"/>
  <c r="L21" i="40"/>
  <c r="K15" i="40"/>
  <c r="G33" i="40"/>
  <c r="G13" i="40"/>
  <c r="G26" i="40"/>
  <c r="G29" i="40"/>
  <c r="G24" i="40"/>
  <c r="M24" i="40" s="1"/>
  <c r="G15" i="40"/>
  <c r="G21" i="40"/>
  <c r="G47" i="40"/>
  <c r="G30" i="40"/>
  <c r="G42" i="40"/>
  <c r="G27" i="40"/>
  <c r="I27" i="40" s="1"/>
  <c r="K27" i="40" s="1"/>
  <c r="M27" i="40" s="1"/>
  <c r="G12" i="40"/>
  <c r="G14" i="40"/>
  <c r="G23" i="40"/>
  <c r="G7" i="40"/>
  <c r="G31" i="40"/>
  <c r="AY99" i="41"/>
  <c r="AN99" i="41"/>
  <c r="K99" i="41"/>
  <c r="AN98" i="41"/>
  <c r="K98" i="41"/>
  <c r="AY98" i="41"/>
  <c r="Q97" i="41"/>
  <c r="AP97" i="41"/>
  <c r="Q81" i="41"/>
  <c r="AP81" i="41"/>
  <c r="AY82" i="41"/>
  <c r="K82" i="41"/>
  <c r="AN82" i="41"/>
  <c r="F5" i="41"/>
  <c r="K5" i="41"/>
  <c r="AN5" i="41"/>
  <c r="AY5" i="41"/>
  <c r="H83" i="41"/>
  <c r="E84" i="41"/>
  <c r="AX83" i="41"/>
  <c r="AO4" i="41"/>
  <c r="N4" i="41"/>
  <c r="I4" i="41"/>
  <c r="E101" i="41"/>
  <c r="H100" i="41"/>
  <c r="K100" i="41" s="1"/>
  <c r="N100" i="41" s="1"/>
  <c r="Q100" i="41" s="1"/>
  <c r="T100" i="41" s="1"/>
  <c r="W100" i="41" s="1"/>
  <c r="E7" i="41"/>
  <c r="H6" i="41"/>
  <c r="AX6" i="41"/>
  <c r="C6" i="41"/>
  <c r="J48" i="40"/>
  <c r="K48" i="40" s="1"/>
  <c r="K49" i="40" s="1"/>
  <c r="H48" i="40"/>
  <c r="I48" i="40" s="1"/>
  <c r="F48" i="40"/>
  <c r="G48" i="40" s="1"/>
  <c r="G17" i="40"/>
  <c r="M17" i="40" s="1"/>
  <c r="G11" i="40"/>
  <c r="F10" i="40"/>
  <c r="G10" i="40" s="1"/>
  <c r="M9" i="40"/>
  <c r="A4" i="40"/>
  <c r="A5" i="40"/>
  <c r="I7" i="40"/>
  <c r="M42" i="40" l="1"/>
  <c r="M13" i="40"/>
  <c r="K22" i="40"/>
  <c r="M47" i="40"/>
  <c r="M26" i="40"/>
  <c r="M14" i="40"/>
  <c r="I22" i="40"/>
  <c r="M29" i="40"/>
  <c r="M21" i="40"/>
  <c r="M30" i="40"/>
  <c r="M12" i="40"/>
  <c r="M15" i="40"/>
  <c r="G25" i="40"/>
  <c r="M23" i="40"/>
  <c r="M25" i="40" s="1"/>
  <c r="M31" i="40"/>
  <c r="M48" i="40"/>
  <c r="T81" i="41"/>
  <c r="AQ81" i="41"/>
  <c r="AX101" i="41"/>
  <c r="H101" i="41"/>
  <c r="E102" i="41"/>
  <c r="AZ5" i="41"/>
  <c r="AO5" i="41"/>
  <c r="N5" i="41"/>
  <c r="I5" i="41"/>
  <c r="T97" i="41"/>
  <c r="AQ97" i="41"/>
  <c r="E8" i="41"/>
  <c r="C7" i="41"/>
  <c r="H7" i="41"/>
  <c r="AP4" i="41"/>
  <c r="L4" i="41"/>
  <c r="Q4" i="41"/>
  <c r="AZ98" i="41"/>
  <c r="AO98" i="41"/>
  <c r="N98" i="41"/>
  <c r="AN83" i="41"/>
  <c r="K83" i="41"/>
  <c r="AY83" i="41"/>
  <c r="AZ82" i="41"/>
  <c r="N82" i="41"/>
  <c r="AO82" i="41"/>
  <c r="K6" i="41"/>
  <c r="F6" i="41"/>
  <c r="AY6" i="41"/>
  <c r="AN6" i="41"/>
  <c r="H84" i="41"/>
  <c r="K84" i="41" s="1"/>
  <c r="N84" i="41" s="1"/>
  <c r="Q84" i="41" s="1"/>
  <c r="T84" i="41" s="1"/>
  <c r="W84" i="41" s="1"/>
  <c r="E85" i="41"/>
  <c r="AZ99" i="41"/>
  <c r="AO99" i="41"/>
  <c r="N99" i="41"/>
  <c r="J10" i="40"/>
  <c r="K10" i="40" s="1"/>
  <c r="K11" i="40"/>
  <c r="M7" i="40"/>
  <c r="H10" i="40"/>
  <c r="I10" i="40" s="1"/>
  <c r="I11" i="40"/>
  <c r="A2" i="40"/>
  <c r="O4" i="41" l="1"/>
  <c r="T4" i="41"/>
  <c r="AQ4" i="41"/>
  <c r="W81" i="41"/>
  <c r="AR81" i="41"/>
  <c r="AX85" i="41"/>
  <c r="H85" i="41"/>
  <c r="E86" i="41"/>
  <c r="AP5" i="41"/>
  <c r="L5" i="41"/>
  <c r="BA5" i="41"/>
  <c r="Q5" i="41"/>
  <c r="W97" i="41"/>
  <c r="AR97" i="41"/>
  <c r="BA82" i="41"/>
  <c r="Q82" i="41"/>
  <c r="AP82" i="41"/>
  <c r="AO83" i="41"/>
  <c r="AZ83" i="41"/>
  <c r="N83" i="41"/>
  <c r="F7" i="41"/>
  <c r="K7" i="41"/>
  <c r="E103" i="41"/>
  <c r="H102" i="41"/>
  <c r="AX102" i="41"/>
  <c r="BA98" i="41"/>
  <c r="Q98" i="41"/>
  <c r="AP98" i="41"/>
  <c r="AX8" i="41"/>
  <c r="H8" i="41"/>
  <c r="E9" i="41"/>
  <c r="C8" i="41"/>
  <c r="AY101" i="41"/>
  <c r="AN101" i="41"/>
  <c r="K101" i="41"/>
  <c r="BA99" i="41"/>
  <c r="Q99" i="41"/>
  <c r="AP99" i="41"/>
  <c r="AO6" i="41"/>
  <c r="N6" i="41"/>
  <c r="I6" i="41"/>
  <c r="AZ6" i="41"/>
  <c r="K16" i="40"/>
  <c r="K28" i="40" s="1"/>
  <c r="M10" i="40"/>
  <c r="L10" i="40"/>
  <c r="L11" i="40"/>
  <c r="L48" i="40"/>
  <c r="L46" i="40"/>
  <c r="M45" i="40"/>
  <c r="H44" i="40"/>
  <c r="I44" i="40" s="1"/>
  <c r="F43" i="40"/>
  <c r="G43" i="40" s="1"/>
  <c r="L42" i="40"/>
  <c r="E36" i="40"/>
  <c r="K36" i="40" s="1"/>
  <c r="K37" i="40" s="1"/>
  <c r="D22" i="40"/>
  <c r="F20" i="40"/>
  <c r="H36" i="40"/>
  <c r="I36" i="40" s="1"/>
  <c r="I37" i="40" s="1"/>
  <c r="F16" i="40"/>
  <c r="F36" i="40" s="1"/>
  <c r="I16" i="40"/>
  <c r="I28" i="40" s="1"/>
  <c r="I39" i="40" l="1"/>
  <c r="G36" i="40"/>
  <c r="G37" i="40" s="1"/>
  <c r="I46" i="40"/>
  <c r="I49" i="40" s="1"/>
  <c r="G46" i="40"/>
  <c r="G49" i="40" s="1"/>
  <c r="L20" i="40"/>
  <c r="G20" i="40"/>
  <c r="K39" i="40"/>
  <c r="BA6" i="41"/>
  <c r="Q6" i="41"/>
  <c r="AP6" i="41"/>
  <c r="L6" i="41"/>
  <c r="AN102" i="41"/>
  <c r="K102" i="41"/>
  <c r="AY102" i="41"/>
  <c r="BB82" i="41"/>
  <c r="T82" i="41"/>
  <c r="AQ82" i="41"/>
  <c r="E87" i="41"/>
  <c r="AX86" i="41"/>
  <c r="H86" i="41"/>
  <c r="H9" i="41"/>
  <c r="C9" i="41"/>
  <c r="E10" i="41"/>
  <c r="AX9" i="41"/>
  <c r="E104" i="41"/>
  <c r="H103" i="41"/>
  <c r="AX103" i="41"/>
  <c r="AY85" i="41"/>
  <c r="K85" i="41"/>
  <c r="AN85" i="41"/>
  <c r="I7" i="41"/>
  <c r="N7" i="41"/>
  <c r="BA83" i="41"/>
  <c r="Q83" i="41"/>
  <c r="AP83" i="41"/>
  <c r="AN8" i="41"/>
  <c r="F8" i="41"/>
  <c r="AY8" i="41"/>
  <c r="K8" i="41"/>
  <c r="T99" i="41"/>
  <c r="AQ99" i="41"/>
  <c r="BB99" i="41"/>
  <c r="AS97" i="41"/>
  <c r="Z97" i="41"/>
  <c r="O5" i="41"/>
  <c r="BB5" i="41"/>
  <c r="T5" i="41"/>
  <c r="AQ5" i="41"/>
  <c r="AS81" i="41"/>
  <c r="Z81" i="41"/>
  <c r="AZ101" i="41"/>
  <c r="AO101" i="41"/>
  <c r="N101" i="41"/>
  <c r="BB98" i="41"/>
  <c r="T98" i="41"/>
  <c r="AQ98" i="41"/>
  <c r="AR4" i="41"/>
  <c r="R4" i="41"/>
  <c r="W4" i="41"/>
  <c r="M8" i="40"/>
  <c r="L45" i="40"/>
  <c r="L44" i="40"/>
  <c r="L43" i="40"/>
  <c r="L36" i="40"/>
  <c r="M33" i="40"/>
  <c r="M36" i="40" l="1"/>
  <c r="M37" i="40" s="1"/>
  <c r="M20" i="40"/>
  <c r="M22" i="40" s="1"/>
  <c r="G22" i="40"/>
  <c r="BC98" i="41"/>
  <c r="W98" i="41"/>
  <c r="AR98" i="41"/>
  <c r="AR5" i="41"/>
  <c r="R5" i="41"/>
  <c r="W5" i="41"/>
  <c r="BC5" i="41"/>
  <c r="I8" i="41"/>
  <c r="AZ8" i="41"/>
  <c r="AO8" i="41"/>
  <c r="N8" i="41"/>
  <c r="AX10" i="41"/>
  <c r="H10" i="41"/>
  <c r="C10" i="41"/>
  <c r="E11" i="41"/>
  <c r="AO102" i="41"/>
  <c r="N102" i="41"/>
  <c r="AZ102" i="41"/>
  <c r="Z4" i="41"/>
  <c r="U4" i="41"/>
  <c r="AS4" i="41"/>
  <c r="Q101" i="41"/>
  <c r="AP101" i="41"/>
  <c r="BA101" i="41"/>
  <c r="AZ85" i="41"/>
  <c r="N85" i="41"/>
  <c r="AO85" i="41"/>
  <c r="AT81" i="41"/>
  <c r="Z82" i="41"/>
  <c r="AC81" i="41"/>
  <c r="BB83" i="41"/>
  <c r="T83" i="41"/>
  <c r="AQ83" i="41"/>
  <c r="AY103" i="41"/>
  <c r="K103" i="41"/>
  <c r="AN103" i="41"/>
  <c r="AX87" i="41"/>
  <c r="H87" i="41"/>
  <c r="E88" i="41"/>
  <c r="K9" i="41"/>
  <c r="AY9" i="41"/>
  <c r="AN9" i="41"/>
  <c r="F9" i="41"/>
  <c r="AT97" i="41"/>
  <c r="AC97" i="41"/>
  <c r="Z98" i="41"/>
  <c r="AY86" i="41"/>
  <c r="K86" i="41"/>
  <c r="AN86" i="41"/>
  <c r="AX104" i="41"/>
  <c r="H104" i="41"/>
  <c r="BB6" i="41"/>
  <c r="T6" i="41"/>
  <c r="AQ6" i="41"/>
  <c r="O6" i="41"/>
  <c r="AR99" i="41"/>
  <c r="W99" i="41"/>
  <c r="BC99" i="41"/>
  <c r="Q7" i="41"/>
  <c r="L7" i="41"/>
  <c r="AR82" i="41"/>
  <c r="BC82" i="41"/>
  <c r="W82" i="41"/>
  <c r="M44" i="40"/>
  <c r="M43" i="40"/>
  <c r="M11" i="40"/>
  <c r="M16" i="40" s="1"/>
  <c r="G16" i="40"/>
  <c r="M28" i="40" l="1"/>
  <c r="M39" i="40" s="1"/>
  <c r="G28" i="40"/>
  <c r="G39" i="40" s="1"/>
  <c r="AZ86" i="41"/>
  <c r="N86" i="41"/>
  <c r="AO86" i="41"/>
  <c r="AZ9" i="41"/>
  <c r="N9" i="41"/>
  <c r="I9" i="41"/>
  <c r="AO9" i="41"/>
  <c r="BC83" i="41"/>
  <c r="W83" i="41"/>
  <c r="AR83" i="41"/>
  <c r="AS82" i="41"/>
  <c r="BD82" i="41"/>
  <c r="AX88" i="41"/>
  <c r="H88" i="41"/>
  <c r="AX11" i="41"/>
  <c r="C11" i="41"/>
  <c r="H11" i="41"/>
  <c r="AU81" i="41"/>
  <c r="AC82" i="41"/>
  <c r="AF81" i="41"/>
  <c r="BD5" i="41"/>
  <c r="U5" i="41"/>
  <c r="AS5" i="41"/>
  <c r="BC6" i="41"/>
  <c r="W6" i="41"/>
  <c r="AR6" i="41"/>
  <c r="R6" i="41"/>
  <c r="Z83" i="41"/>
  <c r="AT82" i="41"/>
  <c r="BE82" i="41"/>
  <c r="K87" i="41"/>
  <c r="AN87" i="41"/>
  <c r="AY87" i="41"/>
  <c r="AU97" i="41"/>
  <c r="AF97" i="41"/>
  <c r="AC98" i="41"/>
  <c r="O7" i="41"/>
  <c r="T7" i="41"/>
  <c r="AY104" i="41"/>
  <c r="AN104" i="41"/>
  <c r="K104" i="41"/>
  <c r="AZ103" i="41"/>
  <c r="AO103" i="41"/>
  <c r="N103" i="41"/>
  <c r="Z5" i="41"/>
  <c r="X4" i="41"/>
  <c r="AT4" i="41"/>
  <c r="AC4" i="41"/>
  <c r="L8" i="41"/>
  <c r="Q8" i="41"/>
  <c r="BA8" i="41"/>
  <c r="AP8" i="41"/>
  <c r="AT98" i="41"/>
  <c r="Z99" i="41"/>
  <c r="BE98" i="41"/>
  <c r="AQ101" i="41"/>
  <c r="T101" i="41"/>
  <c r="BB101" i="41"/>
  <c r="F10" i="41"/>
  <c r="AY10" i="41"/>
  <c r="K10" i="41"/>
  <c r="AN10" i="41"/>
  <c r="Q85" i="41"/>
  <c r="AP85" i="41"/>
  <c r="BA85" i="41"/>
  <c r="BD98" i="41"/>
  <c r="AS98" i="41"/>
  <c r="AS99" i="41"/>
  <c r="BD99" i="41"/>
  <c r="BA102" i="41"/>
  <c r="AP102" i="41"/>
  <c r="Q102" i="41"/>
  <c r="M46" i="40"/>
  <c r="M49" i="40" s="1"/>
  <c r="BB102" i="41" l="1"/>
  <c r="T102" i="41"/>
  <c r="AQ102" i="41"/>
  <c r="AA4" i="41"/>
  <c r="AU4" i="41"/>
  <c r="AF4" i="41"/>
  <c r="AC5" i="41"/>
  <c r="AQ85" i="41"/>
  <c r="T85" i="41"/>
  <c r="BB85" i="41"/>
  <c r="AO87" i="41"/>
  <c r="N87" i="41"/>
  <c r="AZ87" i="41"/>
  <c r="R7" i="41"/>
  <c r="W7" i="41"/>
  <c r="U7" i="41" s="1"/>
  <c r="AY88" i="41"/>
  <c r="K88" i="41"/>
  <c r="AN88" i="41"/>
  <c r="Z6" i="41"/>
  <c r="BE5" i="41"/>
  <c r="X5" i="41"/>
  <c r="AT5" i="41"/>
  <c r="BA103" i="41"/>
  <c r="Q103" i="41"/>
  <c r="AP103" i="41"/>
  <c r="AU98" i="41"/>
  <c r="AC99" i="41"/>
  <c r="BF98" i="41"/>
  <c r="BE83" i="41"/>
  <c r="Z85" i="41"/>
  <c r="Z84" i="41"/>
  <c r="AT83" i="41"/>
  <c r="AV81" i="41"/>
  <c r="AF82" i="41"/>
  <c r="AI81" i="41"/>
  <c r="AZ10" i="41"/>
  <c r="AO10" i="41"/>
  <c r="I10" i="41"/>
  <c r="N10" i="41"/>
  <c r="AV97" i="41"/>
  <c r="AI97" i="41"/>
  <c r="AF98" i="41"/>
  <c r="BF82" i="41"/>
  <c r="AU82" i="41"/>
  <c r="AC83" i="41"/>
  <c r="Z100" i="41"/>
  <c r="Z101" i="41"/>
  <c r="BE99" i="41"/>
  <c r="AT99" i="41"/>
  <c r="AP9" i="41"/>
  <c r="L9" i="41"/>
  <c r="Q9" i="41"/>
  <c r="BA9" i="41"/>
  <c r="BB8" i="41"/>
  <c r="T8" i="41"/>
  <c r="AQ8" i="41"/>
  <c r="O8" i="41"/>
  <c r="BA86" i="41"/>
  <c r="Q86" i="41"/>
  <c r="AP86" i="41"/>
  <c r="AR101" i="41"/>
  <c r="BC101" i="41"/>
  <c r="W101" i="41"/>
  <c r="AO104" i="41"/>
  <c r="N104" i="41"/>
  <c r="AZ104" i="41"/>
  <c r="U6" i="41"/>
  <c r="AS6" i="41"/>
  <c r="BD6" i="41"/>
  <c r="F11" i="41"/>
  <c r="K11" i="41"/>
  <c r="AY11" i="41"/>
  <c r="AN11" i="41"/>
  <c r="BD83" i="41"/>
  <c r="AS83" i="41"/>
  <c r="BE85" i="41" l="1"/>
  <c r="Z86" i="41"/>
  <c r="BB103" i="41"/>
  <c r="T103" i="41"/>
  <c r="AQ103" i="41"/>
  <c r="AO11" i="41"/>
  <c r="N11" i="41"/>
  <c r="AZ11" i="41"/>
  <c r="I11" i="41"/>
  <c r="BD101" i="41"/>
  <c r="AS101" i="41"/>
  <c r="BC8" i="41"/>
  <c r="AR8" i="41"/>
  <c r="R8" i="41"/>
  <c r="W8" i="41"/>
  <c r="Z102" i="41"/>
  <c r="BE101" i="41"/>
  <c r="AT101" i="41"/>
  <c r="AP10" i="41"/>
  <c r="L10" i="41"/>
  <c r="Q10" i="41"/>
  <c r="BA10" i="41"/>
  <c r="BF5" i="41"/>
  <c r="AA5" i="41"/>
  <c r="AU5" i="41"/>
  <c r="AC6" i="41"/>
  <c r="T9" i="41"/>
  <c r="BB9" i="41"/>
  <c r="O9" i="41"/>
  <c r="AQ9" i="41"/>
  <c r="AP87" i="41"/>
  <c r="BA87" i="41"/>
  <c r="Q87" i="41"/>
  <c r="AD4" i="41"/>
  <c r="AI4" i="41"/>
  <c r="AV4" i="41"/>
  <c r="AF5" i="41"/>
  <c r="BB86" i="41"/>
  <c r="T86" i="41"/>
  <c r="AQ86" i="41"/>
  <c r="AI82" i="41"/>
  <c r="AW81" i="41"/>
  <c r="AC101" i="41"/>
  <c r="BF99" i="41"/>
  <c r="AC100" i="41"/>
  <c r="AU99" i="41"/>
  <c r="BE6" i="41"/>
  <c r="AT6" i="41"/>
  <c r="Z7" i="41"/>
  <c r="X7" i="41" s="1"/>
  <c r="X6" i="41"/>
  <c r="AC85" i="41"/>
  <c r="AC84" i="41"/>
  <c r="AU83" i="41"/>
  <c r="BF83" i="41"/>
  <c r="AF99" i="41"/>
  <c r="AV98" i="41"/>
  <c r="BG98" i="41"/>
  <c r="BG82" i="41"/>
  <c r="AF83" i="41"/>
  <c r="AV82" i="41"/>
  <c r="BC102" i="41"/>
  <c r="W102" i="41"/>
  <c r="AR102" i="41"/>
  <c r="Q104" i="41"/>
  <c r="AP104" i="41"/>
  <c r="BA104" i="41"/>
  <c r="AI98" i="41"/>
  <c r="AW97" i="41"/>
  <c r="AZ88" i="41"/>
  <c r="N88" i="41"/>
  <c r="AO88" i="41"/>
  <c r="AR85" i="41"/>
  <c r="BC85" i="41"/>
  <c r="W85" i="41"/>
  <c r="BD102" i="41" l="1"/>
  <c r="AS102" i="41"/>
  <c r="BC86" i="41"/>
  <c r="W86" i="41"/>
  <c r="AR86" i="41"/>
  <c r="U8" i="41"/>
  <c r="AS8" i="41"/>
  <c r="BD8" i="41"/>
  <c r="AP11" i="41"/>
  <c r="Q11" i="41"/>
  <c r="L11" i="41"/>
  <c r="BA11" i="41"/>
  <c r="BA88" i="41"/>
  <c r="Q88" i="41"/>
  <c r="AP88" i="41"/>
  <c r="BD85" i="41"/>
  <c r="AS85" i="41"/>
  <c r="BF101" i="41"/>
  <c r="AU101" i="41"/>
  <c r="AC102" i="41"/>
  <c r="AW4" i="41"/>
  <c r="AI5" i="41"/>
  <c r="AG4" i="41"/>
  <c r="BC9" i="41"/>
  <c r="W9" i="41"/>
  <c r="R9" i="41"/>
  <c r="AR9" i="41"/>
  <c r="AD5" i="41"/>
  <c r="AF6" i="41"/>
  <c r="AV5" i="41"/>
  <c r="BG5" i="41"/>
  <c r="BB10" i="41"/>
  <c r="O10" i="41"/>
  <c r="T10" i="41"/>
  <c r="AQ10" i="41"/>
  <c r="BH98" i="41"/>
  <c r="AW98" i="41"/>
  <c r="AI99" i="41"/>
  <c r="BF85" i="41"/>
  <c r="AC86" i="41"/>
  <c r="AU85" i="41"/>
  <c r="Z9" i="41"/>
  <c r="Z9" i="17" s="1"/>
  <c r="BE8" i="41"/>
  <c r="X8" i="41"/>
  <c r="X8" i="17" s="1"/>
  <c r="AT8" i="41"/>
  <c r="AU6" i="41"/>
  <c r="AC7" i="41"/>
  <c r="AA7" i="41" s="1"/>
  <c r="BF6" i="41"/>
  <c r="AA6" i="41"/>
  <c r="Z87" i="41"/>
  <c r="AT86" i="41"/>
  <c r="BE86" i="41"/>
  <c r="AI83" i="41"/>
  <c r="BH82" i="41"/>
  <c r="AW82" i="41"/>
  <c r="BB87" i="41"/>
  <c r="T87" i="41"/>
  <c r="AQ87" i="41"/>
  <c r="AT85" i="41"/>
  <c r="AV83" i="41"/>
  <c r="AF85" i="41"/>
  <c r="AF84" i="41"/>
  <c r="BG83" i="41"/>
  <c r="AR103" i="41"/>
  <c r="BC103" i="41"/>
  <c r="W103" i="41"/>
  <c r="AQ104" i="41"/>
  <c r="BB104" i="41"/>
  <c r="T104" i="41"/>
  <c r="BG99" i="41"/>
  <c r="AF100" i="41"/>
  <c r="AV99" i="41"/>
  <c r="AF101" i="41"/>
  <c r="BE102" i="41"/>
  <c r="AT102" i="41"/>
  <c r="Z103" i="41"/>
  <c r="H17" i="39"/>
  <c r="G17" i="39"/>
  <c r="F17" i="39"/>
  <c r="G16" i="39"/>
  <c r="F16" i="39"/>
  <c r="E16" i="39"/>
  <c r="D16" i="39"/>
  <c r="H15" i="39"/>
  <c r="E15" i="39"/>
  <c r="D15" i="39"/>
  <c r="C15" i="39"/>
  <c r="I4" i="39"/>
  <c r="G12" i="39" s="1"/>
  <c r="I5" i="39"/>
  <c r="I6" i="39"/>
  <c r="I7" i="39"/>
  <c r="G15" i="39" s="1"/>
  <c r="I8" i="39"/>
  <c r="C16" i="39" s="1"/>
  <c r="I9" i="39"/>
  <c r="E17" i="39" s="1"/>
  <c r="I4" i="34"/>
  <c r="D12" i="34" s="1"/>
  <c r="E24" i="34" s="1"/>
  <c r="I5" i="34"/>
  <c r="G13" i="34" s="1"/>
  <c r="H25" i="34" s="1"/>
  <c r="I6" i="34"/>
  <c r="D14" i="34" s="1"/>
  <c r="E26" i="34" s="1"/>
  <c r="I7" i="34"/>
  <c r="G15" i="34" s="1"/>
  <c r="H27" i="34" s="1"/>
  <c r="I8" i="34"/>
  <c r="E16" i="34" s="1"/>
  <c r="F28" i="34" s="1"/>
  <c r="I9" i="34"/>
  <c r="F17" i="34" s="1"/>
  <c r="G29" i="34" s="1"/>
  <c r="G14" i="39"/>
  <c r="F13" i="39"/>
  <c r="I3" i="39"/>
  <c r="D11" i="39" s="1"/>
  <c r="E186" i="17"/>
  <c r="E184" i="17"/>
  <c r="G14" i="34" l="1"/>
  <c r="H26" i="34" s="1"/>
  <c r="E15" i="34"/>
  <c r="F27" i="34" s="1"/>
  <c r="H14" i="34"/>
  <c r="I26" i="34" s="1"/>
  <c r="F14" i="34"/>
  <c r="G26" i="34" s="1"/>
  <c r="F15" i="34"/>
  <c r="G27" i="34" s="1"/>
  <c r="G12" i="34"/>
  <c r="H24" i="34" s="1"/>
  <c r="F12" i="34"/>
  <c r="G24" i="34" s="1"/>
  <c r="E14" i="34"/>
  <c r="F26" i="34" s="1"/>
  <c r="E12" i="34"/>
  <c r="F24" i="34" s="1"/>
  <c r="C12" i="34"/>
  <c r="D24" i="34" s="1"/>
  <c r="F13" i="34"/>
  <c r="G25" i="34" s="1"/>
  <c r="C13" i="34"/>
  <c r="D25" i="34" s="1"/>
  <c r="E13" i="34"/>
  <c r="F25" i="34" s="1"/>
  <c r="C14" i="34"/>
  <c r="D26" i="34" s="1"/>
  <c r="D13" i="34"/>
  <c r="E25" i="34" s="1"/>
  <c r="D16" i="34"/>
  <c r="E28" i="34" s="1"/>
  <c r="H12" i="34"/>
  <c r="I24" i="34" s="1"/>
  <c r="C17" i="34"/>
  <c r="D29" i="34" s="1"/>
  <c r="U9" i="41"/>
  <c r="AS9" i="41"/>
  <c r="BD9" i="41"/>
  <c r="BF8" i="41"/>
  <c r="AC9" i="41"/>
  <c r="AC9" i="17" s="1"/>
  <c r="AA8" i="41"/>
  <c r="AA8" i="17" s="1"/>
  <c r="AU8" i="41"/>
  <c r="AU86" i="41"/>
  <c r="BF86" i="41"/>
  <c r="AC87" i="41"/>
  <c r="AT103" i="41"/>
  <c r="Z104" i="41"/>
  <c r="BE103" i="41"/>
  <c r="BC104" i="41"/>
  <c r="W104" i="41"/>
  <c r="AR104" i="41"/>
  <c r="AW83" i="41"/>
  <c r="AI85" i="41"/>
  <c r="AI84" i="41"/>
  <c r="BH83" i="41"/>
  <c r="BH99" i="41"/>
  <c r="AI100" i="41"/>
  <c r="AW99" i="41"/>
  <c r="AI101" i="41"/>
  <c r="BH5" i="41"/>
  <c r="AI6" i="41"/>
  <c r="AW5" i="41"/>
  <c r="AG5" i="41"/>
  <c r="T88" i="41"/>
  <c r="AQ88" i="41"/>
  <c r="BB88" i="41"/>
  <c r="AD6" i="41"/>
  <c r="BG6" i="41"/>
  <c r="AV6" i="41"/>
  <c r="AF7" i="41"/>
  <c r="AD7" i="41" s="1"/>
  <c r="AU102" i="41"/>
  <c r="AC103" i="41"/>
  <c r="BF102" i="41"/>
  <c r="AS86" i="41"/>
  <c r="BD86" i="41"/>
  <c r="BG85" i="41"/>
  <c r="AF86" i="41"/>
  <c r="AV85" i="41"/>
  <c r="AS103" i="41"/>
  <c r="BD103" i="41"/>
  <c r="BE87" i="41"/>
  <c r="Z88" i="41"/>
  <c r="AT87" i="41"/>
  <c r="BG101" i="41"/>
  <c r="AF102" i="41"/>
  <c r="AV101" i="41"/>
  <c r="BC87" i="41"/>
  <c r="W87" i="41"/>
  <c r="AR87" i="41"/>
  <c r="Z10" i="41"/>
  <c r="Z10" i="17" s="1"/>
  <c r="BE9" i="41"/>
  <c r="AT9" i="41"/>
  <c r="X9" i="41"/>
  <c r="X9" i="17" s="1"/>
  <c r="AR10" i="41"/>
  <c r="R10" i="41"/>
  <c r="W10" i="41"/>
  <c r="BC10" i="41"/>
  <c r="BB11" i="41"/>
  <c r="AQ11" i="41"/>
  <c r="T11" i="41"/>
  <c r="O11" i="41"/>
  <c r="F15" i="39"/>
  <c r="I15" i="39" s="1"/>
  <c r="H16" i="39"/>
  <c r="I16" i="39" s="1"/>
  <c r="C17" i="39"/>
  <c r="D17" i="39"/>
  <c r="E29" i="39" s="1"/>
  <c r="E17" i="34"/>
  <c r="F29" i="34" s="1"/>
  <c r="D17" i="34"/>
  <c r="E29" i="34" s="1"/>
  <c r="H17" i="34"/>
  <c r="I29" i="34" s="1"/>
  <c r="C16" i="34"/>
  <c r="D28" i="34" s="1"/>
  <c r="G17" i="34"/>
  <c r="H16" i="34"/>
  <c r="I28" i="34" s="1"/>
  <c r="D15" i="34"/>
  <c r="E27" i="34" s="1"/>
  <c r="G16" i="34"/>
  <c r="H28" i="34" s="1"/>
  <c r="H13" i="34"/>
  <c r="I25" i="34" s="1"/>
  <c r="F16" i="34"/>
  <c r="G28" i="34" s="1"/>
  <c r="C15" i="34"/>
  <c r="H15" i="34"/>
  <c r="H12" i="39"/>
  <c r="E12" i="39"/>
  <c r="F12" i="39"/>
  <c r="G13" i="39"/>
  <c r="D14" i="39"/>
  <c r="E11" i="39"/>
  <c r="H14" i="39"/>
  <c r="H13" i="39"/>
  <c r="F11" i="39"/>
  <c r="H11" i="39"/>
  <c r="I23" i="39" s="1"/>
  <c r="C14" i="39"/>
  <c r="G11" i="39"/>
  <c r="C13" i="39"/>
  <c r="C12" i="39"/>
  <c r="D13" i="39"/>
  <c r="E14" i="39"/>
  <c r="C11" i="39"/>
  <c r="D12" i="39"/>
  <c r="E13" i="39"/>
  <c r="F14" i="39"/>
  <c r="C17" i="22"/>
  <c r="I29" i="39"/>
  <c r="H29" i="39"/>
  <c r="G29" i="39"/>
  <c r="F29" i="39"/>
  <c r="D29" i="39"/>
  <c r="I28" i="39"/>
  <c r="H28" i="39"/>
  <c r="G28" i="39"/>
  <c r="F28" i="39"/>
  <c r="E28" i="39"/>
  <c r="D28" i="39"/>
  <c r="I27" i="39"/>
  <c r="H27" i="39"/>
  <c r="G27" i="39"/>
  <c r="F27" i="39"/>
  <c r="E27" i="39"/>
  <c r="D27" i="39"/>
  <c r="J22" i="39"/>
  <c r="C21" i="39"/>
  <c r="G25" i="39"/>
  <c r="G24" i="39"/>
  <c r="G54" i="22"/>
  <c r="H55" i="22"/>
  <c r="H29" i="34" l="1"/>
  <c r="I55" i="22" s="1"/>
  <c r="I27" i="34"/>
  <c r="J53" i="22" s="1"/>
  <c r="D27" i="34"/>
  <c r="AI86" i="41"/>
  <c r="BH85" i="41"/>
  <c r="AW85" i="41"/>
  <c r="Z11" i="41"/>
  <c r="Z11" i="17" s="1"/>
  <c r="X10" i="41"/>
  <c r="X10" i="17" s="1"/>
  <c r="BE10" i="41"/>
  <c r="AT10" i="41"/>
  <c r="BH101" i="41"/>
  <c r="AI102" i="41"/>
  <c r="AW101" i="41"/>
  <c r="BD104" i="41"/>
  <c r="AS104" i="41"/>
  <c r="BD87" i="41"/>
  <c r="AS87" i="41"/>
  <c r="AR88" i="41"/>
  <c r="W88" i="41"/>
  <c r="BC88" i="41"/>
  <c r="AU9" i="41"/>
  <c r="AC10" i="41"/>
  <c r="AC10" i="17" s="1"/>
  <c r="BF9" i="41"/>
  <c r="AA9" i="41"/>
  <c r="AA9" i="17" s="1"/>
  <c r="BE104" i="41"/>
  <c r="AT104" i="41"/>
  <c r="BC11" i="41"/>
  <c r="AR11" i="41"/>
  <c r="W11" i="41"/>
  <c r="R11" i="41"/>
  <c r="AW6" i="41"/>
  <c r="AG6" i="41"/>
  <c r="BH6" i="41"/>
  <c r="AI7" i="41"/>
  <c r="AG7" i="41" s="1"/>
  <c r="BF87" i="41"/>
  <c r="AC88" i="41"/>
  <c r="AU87" i="41"/>
  <c r="AV8" i="41"/>
  <c r="AF9" i="41"/>
  <c r="AF9" i="17" s="1"/>
  <c r="AD8" i="41"/>
  <c r="AD8" i="17" s="1"/>
  <c r="BG8" i="41"/>
  <c r="BE88" i="41"/>
  <c r="AS10" i="41"/>
  <c r="U10" i="41"/>
  <c r="BD10" i="41"/>
  <c r="AC104" i="41"/>
  <c r="BF103" i="41"/>
  <c r="AU103" i="41"/>
  <c r="AF103" i="41"/>
  <c r="AV102" i="41"/>
  <c r="BG102" i="41"/>
  <c r="BG86" i="41"/>
  <c r="AF87" i="41"/>
  <c r="AV86" i="41"/>
  <c r="I17" i="39"/>
  <c r="E55" i="22"/>
  <c r="I17" i="34"/>
  <c r="I15" i="34"/>
  <c r="G55" i="22"/>
  <c r="I16" i="34"/>
  <c r="H54" i="22"/>
  <c r="J55" i="22"/>
  <c r="F55" i="22"/>
  <c r="I11" i="39"/>
  <c r="H53" i="22"/>
  <c r="I12" i="39"/>
  <c r="I13" i="39"/>
  <c r="F53" i="22"/>
  <c r="I14" i="39"/>
  <c r="F54" i="22"/>
  <c r="D23" i="39"/>
  <c r="E23" i="39"/>
  <c r="E54" i="22"/>
  <c r="I54" i="22"/>
  <c r="E24" i="39"/>
  <c r="C27" i="39"/>
  <c r="C29" i="39"/>
  <c r="G53" i="22"/>
  <c r="D24" i="39"/>
  <c r="C28" i="39"/>
  <c r="F24" i="39"/>
  <c r="H24" i="39"/>
  <c r="I24" i="39"/>
  <c r="J54" i="22"/>
  <c r="E26" i="39"/>
  <c r="I53" i="22"/>
  <c r="D26" i="39"/>
  <c r="H25" i="39"/>
  <c r="I26" i="39"/>
  <c r="E25" i="39"/>
  <c r="F26" i="39"/>
  <c r="G26" i="39"/>
  <c r="G23" i="39"/>
  <c r="I25" i="39"/>
  <c r="F25" i="39"/>
  <c r="H26" i="39"/>
  <c r="H23" i="39"/>
  <c r="C28" i="34"/>
  <c r="C29" i="34" l="1"/>
  <c r="C27" i="34"/>
  <c r="E53" i="22"/>
  <c r="BG103" i="41"/>
  <c r="AF104" i="41"/>
  <c r="AV103" i="41"/>
  <c r="AS88" i="41"/>
  <c r="BD88" i="41"/>
  <c r="BF104" i="41"/>
  <c r="AU104" i="41"/>
  <c r="BE11" i="41"/>
  <c r="AT11" i="41"/>
  <c r="X11" i="41"/>
  <c r="X11" i="17" s="1"/>
  <c r="AI9" i="41"/>
  <c r="AI9" i="17" s="1"/>
  <c r="AG8" i="41"/>
  <c r="AG8" i="17" s="1"/>
  <c r="BH8" i="41"/>
  <c r="AW8" i="41"/>
  <c r="AV9" i="41"/>
  <c r="AD9" i="41"/>
  <c r="AD9" i="17" s="1"/>
  <c r="AF10" i="41"/>
  <c r="AF10" i="17" s="1"/>
  <c r="BG9" i="41"/>
  <c r="AF88" i="41"/>
  <c r="AV87" i="41"/>
  <c r="BG87" i="41"/>
  <c r="AC11" i="41"/>
  <c r="AC11" i="17" s="1"/>
  <c r="BF10" i="41"/>
  <c r="AU10" i="41"/>
  <c r="AA10" i="41"/>
  <c r="AA10" i="17" s="1"/>
  <c r="BF88" i="41"/>
  <c r="AU88" i="41"/>
  <c r="U11" i="41"/>
  <c r="AS11" i="41"/>
  <c r="BD11" i="41"/>
  <c r="AT88" i="41"/>
  <c r="AW102" i="41"/>
  <c r="BH102" i="41"/>
  <c r="AI103" i="41"/>
  <c r="AI87" i="41"/>
  <c r="BH86" i="41"/>
  <c r="AW86" i="41"/>
  <c r="G21" i="39"/>
  <c r="E21" i="39"/>
  <c r="I21" i="39"/>
  <c r="C24" i="39"/>
  <c r="H21" i="39"/>
  <c r="F23" i="39"/>
  <c r="D25" i="39"/>
  <c r="C26" i="39"/>
  <c r="C15" i="19"/>
  <c r="BF11" i="41" l="1"/>
  <c r="AA11" i="41"/>
  <c r="AA11" i="17" s="1"/>
  <c r="AU11" i="41"/>
  <c r="AW87" i="41"/>
  <c r="BH87" i="41"/>
  <c r="AI88" i="41"/>
  <c r="BG88" i="41"/>
  <c r="AV88" i="41"/>
  <c r="BH9" i="41"/>
  <c r="AW9" i="41"/>
  <c r="AG9" i="41"/>
  <c r="AG9" i="17" s="1"/>
  <c r="AI10" i="41"/>
  <c r="AI10" i="17" s="1"/>
  <c r="BH103" i="41"/>
  <c r="AI104" i="41"/>
  <c r="AW103" i="41"/>
  <c r="BG104" i="41"/>
  <c r="AV104" i="41"/>
  <c r="AD10" i="41"/>
  <c r="AD10" i="17" s="1"/>
  <c r="AF11" i="41"/>
  <c r="AF11" i="17" s="1"/>
  <c r="AV10" i="41"/>
  <c r="BG10" i="41"/>
  <c r="C25" i="39"/>
  <c r="D21" i="39"/>
  <c r="F21" i="39"/>
  <c r="C23" i="39"/>
  <c r="C21" i="34"/>
  <c r="D15" i="19"/>
  <c r="BH88" i="41" l="1"/>
  <c r="AW88" i="41"/>
  <c r="AW104" i="41"/>
  <c r="BH104" i="41"/>
  <c r="BH10" i="41"/>
  <c r="AI11" i="41"/>
  <c r="AI11" i="17" s="1"/>
  <c r="AW10" i="41"/>
  <c r="AG10" i="41"/>
  <c r="AG10" i="17" s="1"/>
  <c r="AV11" i="41"/>
  <c r="AD11" i="41"/>
  <c r="AD11" i="17" s="1"/>
  <c r="BG11" i="41"/>
  <c r="C22" i="39"/>
  <c r="F15" i="19" s="1"/>
  <c r="G72" i="19"/>
  <c r="H72" i="19" s="1"/>
  <c r="AX98" i="17"/>
  <c r="AN97" i="17"/>
  <c r="AG96" i="17"/>
  <c r="AD96" i="17"/>
  <c r="AA96" i="17"/>
  <c r="X96" i="17"/>
  <c r="U96" i="17"/>
  <c r="U94" i="17" s="1"/>
  <c r="AI94" i="17"/>
  <c r="AH94" i="17"/>
  <c r="AF94" i="17"/>
  <c r="AE94" i="17"/>
  <c r="AC94" i="17"/>
  <c r="AB94" i="17"/>
  <c r="Z94" i="17"/>
  <c r="Y94" i="17"/>
  <c r="W94" i="17"/>
  <c r="V94" i="17"/>
  <c r="T94" i="17"/>
  <c r="S94" i="17"/>
  <c r="R94" i="17"/>
  <c r="Q94" i="17"/>
  <c r="P94" i="17"/>
  <c r="O94" i="17"/>
  <c r="N94" i="17"/>
  <c r="M94" i="17"/>
  <c r="L94" i="17"/>
  <c r="K94" i="17"/>
  <c r="J94" i="17"/>
  <c r="I94" i="17"/>
  <c r="H94" i="17"/>
  <c r="G94" i="17"/>
  <c r="F94" i="17"/>
  <c r="E94" i="17"/>
  <c r="D94" i="17"/>
  <c r="C94" i="17"/>
  <c r="B94" i="17"/>
  <c r="G113" i="22"/>
  <c r="H11" i="18"/>
  <c r="H10" i="18"/>
  <c r="H9" i="18"/>
  <c r="H8" i="18"/>
  <c r="H7" i="18"/>
  <c r="H6" i="18"/>
  <c r="G11" i="18"/>
  <c r="G10" i="18"/>
  <c r="G9" i="18"/>
  <c r="G8" i="18"/>
  <c r="G7" i="18"/>
  <c r="G6" i="18"/>
  <c r="F11" i="18"/>
  <c r="F10" i="18"/>
  <c r="F9" i="18"/>
  <c r="F8" i="18"/>
  <c r="F7" i="18"/>
  <c r="F6" i="18"/>
  <c r="AW11" i="41" l="1"/>
  <c r="AG11" i="41"/>
  <c r="AG11" i="17" s="1"/>
  <c r="BH11" i="41"/>
  <c r="AO97" i="17" l="1"/>
  <c r="AN98" i="17"/>
  <c r="AY98" i="17"/>
  <c r="AX99" i="17"/>
  <c r="H96" i="33"/>
  <c r="F48" i="18"/>
  <c r="F45" i="18"/>
  <c r="F47" i="18"/>
  <c r="AP97" i="17" l="1"/>
  <c r="AY99" i="17"/>
  <c r="AN99" i="17"/>
  <c r="AO98" i="17"/>
  <c r="AZ98" i="17"/>
  <c r="AQ97" i="17"/>
  <c r="D18" i="19"/>
  <c r="AX101" i="17" l="1"/>
  <c r="AR97" i="17"/>
  <c r="AZ99" i="17"/>
  <c r="AO99" i="17"/>
  <c r="BA98" i="17"/>
  <c r="AP98" i="17"/>
  <c r="AG80" i="17"/>
  <c r="C33" i="19"/>
  <c r="C32" i="19"/>
  <c r="AS97" i="17" l="1"/>
  <c r="AX102" i="17"/>
  <c r="BA99" i="17"/>
  <c r="AP99" i="17"/>
  <c r="AY101" i="17"/>
  <c r="AN101" i="17"/>
  <c r="BB98" i="17"/>
  <c r="AQ98" i="17"/>
  <c r="E16" i="22"/>
  <c r="AN102" i="17" l="1"/>
  <c r="AY102" i="17"/>
  <c r="AZ101" i="17"/>
  <c r="AO101" i="17"/>
  <c r="AX103" i="17"/>
  <c r="BC98" i="17"/>
  <c r="AR98" i="17"/>
  <c r="BB99" i="17"/>
  <c r="AQ99" i="17"/>
  <c r="AT97" i="17"/>
  <c r="F43" i="18"/>
  <c r="F41" i="18"/>
  <c r="AN81" i="17"/>
  <c r="U78" i="17"/>
  <c r="AI78" i="17"/>
  <c r="AH78" i="17"/>
  <c r="AF78" i="17"/>
  <c r="AE78" i="17"/>
  <c r="AC78" i="17"/>
  <c r="AB78" i="17"/>
  <c r="Z78" i="17"/>
  <c r="Y78" i="17"/>
  <c r="W78" i="17"/>
  <c r="V78" i="17"/>
  <c r="T78" i="17"/>
  <c r="S78" i="17"/>
  <c r="R78" i="17"/>
  <c r="Q78" i="17"/>
  <c r="P78" i="17"/>
  <c r="O78" i="17"/>
  <c r="N78" i="17"/>
  <c r="M78" i="17"/>
  <c r="L78" i="17"/>
  <c r="K78" i="17"/>
  <c r="J78" i="17"/>
  <c r="I78" i="17"/>
  <c r="H78" i="17"/>
  <c r="G78" i="17"/>
  <c r="F78" i="17"/>
  <c r="E78" i="17"/>
  <c r="D78" i="17"/>
  <c r="C78" i="17"/>
  <c r="B78" i="17"/>
  <c r="A176" i="23"/>
  <c r="A177" i="23"/>
  <c r="A178" i="23"/>
  <c r="A179" i="23"/>
  <c r="A180" i="23"/>
  <c r="A181" i="23"/>
  <c r="A182" i="23"/>
  <c r="A183" i="23"/>
  <c r="A184" i="23"/>
  <c r="A185" i="23"/>
  <c r="A186" i="23"/>
  <c r="A187" i="23"/>
  <c r="A188" i="23"/>
  <c r="A189" i="23"/>
  <c r="A190" i="23"/>
  <c r="A191" i="23"/>
  <c r="BD98" i="17" l="1"/>
  <c r="AS98" i="17"/>
  <c r="BE98" i="17"/>
  <c r="AT98" i="17"/>
  <c r="BA101" i="17"/>
  <c r="AP101" i="17"/>
  <c r="AR99" i="17"/>
  <c r="BC99" i="17"/>
  <c r="AU97" i="17"/>
  <c r="AX104" i="17"/>
  <c r="AY103" i="17"/>
  <c r="AN103" i="17"/>
  <c r="AO102" i="17"/>
  <c r="AZ102" i="17"/>
  <c r="AX83" i="17"/>
  <c r="AX82" i="17"/>
  <c r="C41" i="19"/>
  <c r="E60" i="22"/>
  <c r="D41" i="19" s="1"/>
  <c r="AY104" i="17" l="1"/>
  <c r="AN104" i="17"/>
  <c r="AP102" i="17"/>
  <c r="BA102" i="17"/>
  <c r="AT99" i="17"/>
  <c r="BE99" i="17"/>
  <c r="AV97" i="17"/>
  <c r="AS99" i="17"/>
  <c r="BD99" i="17"/>
  <c r="AU98" i="17"/>
  <c r="BF98" i="17"/>
  <c r="AZ103" i="17"/>
  <c r="AO103" i="17"/>
  <c r="AQ101" i="17"/>
  <c r="BB101" i="17"/>
  <c r="AN83" i="17"/>
  <c r="AY83" i="17"/>
  <c r="AO81" i="17"/>
  <c r="AN82" i="17"/>
  <c r="AY82" i="17"/>
  <c r="E41" i="19"/>
  <c r="AR101" i="17" l="1"/>
  <c r="BC101" i="17"/>
  <c r="AT101" i="17"/>
  <c r="AW97" i="17"/>
  <c r="BB102" i="17"/>
  <c r="AQ102" i="17"/>
  <c r="BF99" i="17"/>
  <c r="AU99" i="17"/>
  <c r="AZ104" i="17"/>
  <c r="AO104" i="17"/>
  <c r="BE101" i="17"/>
  <c r="AV98" i="17"/>
  <c r="BG98" i="17"/>
  <c r="BA103" i="17"/>
  <c r="AP103" i="17"/>
  <c r="AP81" i="17"/>
  <c r="AX85" i="17"/>
  <c r="AO83" i="17"/>
  <c r="AZ83" i="17"/>
  <c r="AZ82" i="17"/>
  <c r="AO82" i="17"/>
  <c r="K58" i="28"/>
  <c r="D26" i="22"/>
  <c r="E26" i="22" s="1"/>
  <c r="D42" i="19"/>
  <c r="C110" i="19"/>
  <c r="G63" i="18"/>
  <c r="G62" i="18"/>
  <c r="G61" i="18"/>
  <c r="G60" i="18"/>
  <c r="G59" i="18"/>
  <c r="G58" i="18"/>
  <c r="G57" i="18"/>
  <c r="G56" i="18"/>
  <c r="D34" i="19"/>
  <c r="C34" i="19"/>
  <c r="D99" i="19" s="1"/>
  <c r="G99" i="19" s="1"/>
  <c r="H99" i="19" s="1"/>
  <c r="E59" i="22"/>
  <c r="C16" i="19"/>
  <c r="E26" i="19"/>
  <c r="F26" i="19" s="1"/>
  <c r="D62" i="19"/>
  <c r="E19" i="22"/>
  <c r="G19" i="22" s="1"/>
  <c r="C40" i="19"/>
  <c r="B34" i="19"/>
  <c r="B33" i="19"/>
  <c r="B32" i="19"/>
  <c r="B31" i="19"/>
  <c r="D17" i="19"/>
  <c r="C36" i="19"/>
  <c r="C14" i="19"/>
  <c r="C13" i="19"/>
  <c r="D47" i="19"/>
  <c r="C8" i="19"/>
  <c r="D7" i="19"/>
  <c r="C7" i="19"/>
  <c r="C6" i="19"/>
  <c r="D73" i="19"/>
  <c r="C75" i="17"/>
  <c r="D75" i="17"/>
  <c r="E75" i="17"/>
  <c r="F75" i="17"/>
  <c r="C74" i="17"/>
  <c r="D74" i="17"/>
  <c r="E74" i="17"/>
  <c r="F74" i="17"/>
  <c r="E38" i="22"/>
  <c r="D33" i="19" s="1"/>
  <c r="D128" i="19" s="1"/>
  <c r="D105" i="22" s="1"/>
  <c r="E37" i="22"/>
  <c r="D32" i="19" s="1"/>
  <c r="D127" i="19" s="1"/>
  <c r="D104" i="22" s="1"/>
  <c r="E31" i="22"/>
  <c r="D75" i="19" l="1"/>
  <c r="D74" i="19"/>
  <c r="D70" i="19"/>
  <c r="D69" i="19"/>
  <c r="BB103" i="17"/>
  <c r="AQ103" i="17"/>
  <c r="AP104" i="17"/>
  <c r="BA104" i="17"/>
  <c r="AW98" i="17"/>
  <c r="BH98" i="17"/>
  <c r="BF101" i="17"/>
  <c r="AU101" i="17"/>
  <c r="BC102" i="17"/>
  <c r="AT102" i="17"/>
  <c r="AR102" i="17"/>
  <c r="BE102" i="17"/>
  <c r="AS101" i="17"/>
  <c r="BD101" i="17"/>
  <c r="BG99" i="17"/>
  <c r="AV99" i="17"/>
  <c r="G128" i="19"/>
  <c r="H128" i="19" s="1"/>
  <c r="G127" i="19"/>
  <c r="H127" i="19" s="1"/>
  <c r="E14" i="19"/>
  <c r="AX86" i="17"/>
  <c r="BA83" i="17"/>
  <c r="AP83" i="17"/>
  <c r="AQ81" i="17"/>
  <c r="BA82" i="17"/>
  <c r="AP82" i="17"/>
  <c r="AY85" i="17"/>
  <c r="AN85" i="17"/>
  <c r="E109" i="19"/>
  <c r="E105" i="19"/>
  <c r="E108" i="19"/>
  <c r="E106" i="19"/>
  <c r="E107" i="19"/>
  <c r="D16" i="19"/>
  <c r="D13" i="19"/>
  <c r="H57" i="18"/>
  <c r="H56" i="18"/>
  <c r="A157" i="23"/>
  <c r="A158" i="23"/>
  <c r="A159" i="23"/>
  <c r="A160" i="23"/>
  <c r="A161" i="23"/>
  <c r="A162" i="23"/>
  <c r="A163" i="23"/>
  <c r="A164" i="23"/>
  <c r="A165" i="23"/>
  <c r="A166" i="23"/>
  <c r="A167" i="23"/>
  <c r="A168" i="23"/>
  <c r="A169" i="23"/>
  <c r="A170" i="23"/>
  <c r="A171" i="23"/>
  <c r="A156" i="23"/>
  <c r="G69" i="19" l="1"/>
  <c r="H69" i="19" s="1"/>
  <c r="G74" i="19"/>
  <c r="H74" i="19" s="1"/>
  <c r="G75" i="19"/>
  <c r="H75" i="19" s="1"/>
  <c r="G73" i="19"/>
  <c r="H73" i="19" s="1"/>
  <c r="BF102" i="17"/>
  <c r="AU102" i="17"/>
  <c r="AQ104" i="17"/>
  <c r="BB104" i="17"/>
  <c r="BG101" i="17"/>
  <c r="AV101" i="17"/>
  <c r="BH99" i="17"/>
  <c r="AW99" i="17"/>
  <c r="BD102" i="17"/>
  <c r="AS102" i="17"/>
  <c r="BC103" i="17"/>
  <c r="AR103" i="17"/>
  <c r="BE103" i="17"/>
  <c r="G70" i="19"/>
  <c r="H70" i="19" s="1"/>
  <c r="D110" i="19"/>
  <c r="G110" i="19" s="1"/>
  <c r="H110" i="19" s="1"/>
  <c r="AQ82" i="17"/>
  <c r="BB82" i="17"/>
  <c r="AZ85" i="17"/>
  <c r="AO85" i="17"/>
  <c r="AQ83" i="17"/>
  <c r="BB83" i="17"/>
  <c r="AR81" i="17"/>
  <c r="AX87" i="17"/>
  <c r="AN86" i="17"/>
  <c r="AY86" i="17"/>
  <c r="I3" i="34"/>
  <c r="C50" i="19"/>
  <c r="E68" i="22" a="1"/>
  <c r="E68" i="22" s="1"/>
  <c r="D50" i="19" s="1"/>
  <c r="D96" i="19" s="1"/>
  <c r="E50" i="19" l="1"/>
  <c r="E11" i="34"/>
  <c r="F23" i="34" s="1"/>
  <c r="C11" i="34"/>
  <c r="D23" i="34" s="1"/>
  <c r="H50" i="22"/>
  <c r="C8" i="18" s="1"/>
  <c r="F51" i="22"/>
  <c r="D10" i="18" s="1"/>
  <c r="J52" i="22"/>
  <c r="E6" i="18" s="1"/>
  <c r="F11" i="34"/>
  <c r="G23" i="34" s="1"/>
  <c r="D11" i="34"/>
  <c r="E23" i="34" s="1"/>
  <c r="H11" i="34"/>
  <c r="I23" i="34" s="1"/>
  <c r="G11" i="34"/>
  <c r="H23" i="34" s="1"/>
  <c r="E50" i="22"/>
  <c r="C11" i="18" s="1"/>
  <c r="E52" i="22"/>
  <c r="E11" i="18" s="1"/>
  <c r="E51" i="22"/>
  <c r="D11" i="18" s="1"/>
  <c r="AU103" i="17"/>
  <c r="BF103" i="17"/>
  <c r="AR104" i="17"/>
  <c r="BC104" i="17"/>
  <c r="AV102" i="17"/>
  <c r="BG102" i="17"/>
  <c r="AS103" i="17"/>
  <c r="BD103" i="17"/>
  <c r="BE104" i="17"/>
  <c r="AT103" i="17"/>
  <c r="BH101" i="17"/>
  <c r="AW101" i="17"/>
  <c r="AY87" i="17"/>
  <c r="AN87" i="17"/>
  <c r="AP85" i="17"/>
  <c r="BA85" i="17"/>
  <c r="AS81" i="17"/>
  <c r="BC82" i="17"/>
  <c r="AR82" i="17"/>
  <c r="AO86" i="17"/>
  <c r="AZ86" i="17"/>
  <c r="AX88" i="17"/>
  <c r="AR83" i="17"/>
  <c r="BC83" i="17"/>
  <c r="E43" i="22"/>
  <c r="C54" i="18"/>
  <c r="A58" i="22"/>
  <c r="U12" i="20"/>
  <c r="U8" i="20"/>
  <c r="U4" i="20"/>
  <c r="U19" i="20" s="1"/>
  <c r="E13" i="22"/>
  <c r="C43" i="19"/>
  <c r="C39" i="19"/>
  <c r="G49" i="22" l="1"/>
  <c r="B9" i="18" s="1"/>
  <c r="E49" i="22"/>
  <c r="B11" i="18" s="1"/>
  <c r="J49" i="22"/>
  <c r="B6" i="18" s="1"/>
  <c r="I49" i="22"/>
  <c r="B7" i="18" s="1"/>
  <c r="H52" i="22"/>
  <c r="E8" i="18" s="1"/>
  <c r="I50" i="22"/>
  <c r="C7" i="18" s="1"/>
  <c r="H51" i="22"/>
  <c r="D8" i="18" s="1"/>
  <c r="I52" i="22"/>
  <c r="E7" i="18" s="1"/>
  <c r="G51" i="22"/>
  <c r="D9" i="18" s="1"/>
  <c r="J50" i="22"/>
  <c r="C6" i="18" s="1"/>
  <c r="G50" i="22"/>
  <c r="C9" i="18" s="1"/>
  <c r="F52" i="22"/>
  <c r="E10" i="18" s="1"/>
  <c r="G52" i="22"/>
  <c r="E9" i="18" s="1"/>
  <c r="F49" i="22"/>
  <c r="B10" i="18" s="1"/>
  <c r="J51" i="22"/>
  <c r="D6" i="18" s="1"/>
  <c r="I51" i="22"/>
  <c r="D7" i="18" s="1"/>
  <c r="H49" i="22"/>
  <c r="B8" i="18" s="1"/>
  <c r="I11" i="34"/>
  <c r="I14" i="34"/>
  <c r="I13" i="34"/>
  <c r="I12" i="34"/>
  <c r="BD104" i="17"/>
  <c r="AS104" i="17"/>
  <c r="AW102" i="17"/>
  <c r="BH102" i="17"/>
  <c r="AT104" i="17"/>
  <c r="BF104" i="17"/>
  <c r="AU104" i="17"/>
  <c r="BG103" i="17"/>
  <c r="AV103" i="17"/>
  <c r="D12" i="19"/>
  <c r="F24" i="18" s="1"/>
  <c r="AT81" i="17"/>
  <c r="AY88" i="17"/>
  <c r="AN88" i="17"/>
  <c r="AQ85" i="17"/>
  <c r="BB85" i="17"/>
  <c r="BD82" i="17"/>
  <c r="AS82" i="17"/>
  <c r="AS83" i="17"/>
  <c r="BD83" i="17"/>
  <c r="AO87" i="17"/>
  <c r="AZ87" i="17"/>
  <c r="BA86" i="17"/>
  <c r="AP86" i="17"/>
  <c r="F13" i="22"/>
  <c r="G39" i="32"/>
  <c r="F39" i="32"/>
  <c r="C37" i="32"/>
  <c r="B31" i="32" s="1"/>
  <c r="G32" i="32"/>
  <c r="F32" i="32"/>
  <c r="C32" i="32"/>
  <c r="G30" i="32"/>
  <c r="F30" i="32"/>
  <c r="C30" i="32"/>
  <c r="G29" i="32"/>
  <c r="F29" i="32"/>
  <c r="C29" i="32"/>
  <c r="G28" i="32"/>
  <c r="F28" i="32"/>
  <c r="C28" i="32"/>
  <c r="G26" i="32"/>
  <c r="F26" i="32"/>
  <c r="C26" i="32"/>
  <c r="G25" i="32"/>
  <c r="F25" i="32"/>
  <c r="C25" i="32"/>
  <c r="G24" i="32"/>
  <c r="F24" i="32"/>
  <c r="C24" i="32"/>
  <c r="G23" i="32"/>
  <c r="F23" i="32"/>
  <c r="C23" i="32"/>
  <c r="G22" i="32"/>
  <c r="G35" i="32" s="1"/>
  <c r="F22" i="32"/>
  <c r="C22" i="32"/>
  <c r="G21" i="32"/>
  <c r="F21" i="32"/>
  <c r="C21" i="32"/>
  <c r="G20" i="32"/>
  <c r="F20" i="32"/>
  <c r="C20" i="32"/>
  <c r="G19" i="32"/>
  <c r="G36" i="32" s="1"/>
  <c r="F19" i="32"/>
  <c r="C19" i="32"/>
  <c r="G18" i="32"/>
  <c r="F18" i="32"/>
  <c r="C18" i="32"/>
  <c r="G17" i="32"/>
  <c r="F17" i="32"/>
  <c r="C17" i="32"/>
  <c r="G16" i="32"/>
  <c r="F16" i="32"/>
  <c r="C16" i="32"/>
  <c r="C34" i="32" s="1"/>
  <c r="G15" i="32"/>
  <c r="F15" i="32"/>
  <c r="C15" i="32"/>
  <c r="G14" i="32"/>
  <c r="F14" i="32"/>
  <c r="C14" i="32"/>
  <c r="G13" i="32"/>
  <c r="F13" i="32"/>
  <c r="C13" i="32"/>
  <c r="G12" i="32"/>
  <c r="F12" i="32"/>
  <c r="C12" i="32"/>
  <c r="G11" i="32"/>
  <c r="F11" i="32"/>
  <c r="C11" i="32"/>
  <c r="G10" i="32"/>
  <c r="F10" i="32"/>
  <c r="C10" i="32"/>
  <c r="G9" i="32"/>
  <c r="F9" i="32"/>
  <c r="C9" i="32"/>
  <c r="G8" i="32"/>
  <c r="F8" i="32"/>
  <c r="C8" i="32"/>
  <c r="G7" i="32"/>
  <c r="F7" i="32"/>
  <c r="C7" i="32"/>
  <c r="G6" i="32"/>
  <c r="F6" i="32"/>
  <c r="C6" i="32"/>
  <c r="G5" i="32"/>
  <c r="F5" i="32"/>
  <c r="C5" i="32"/>
  <c r="G4" i="32"/>
  <c r="F4" i="32"/>
  <c r="C4" i="32"/>
  <c r="G3" i="32"/>
  <c r="F3" i="32"/>
  <c r="C3" i="32"/>
  <c r="G2" i="32"/>
  <c r="G33" i="32" s="1"/>
  <c r="F2" i="32"/>
  <c r="F33" i="32" s="1"/>
  <c r="C2" i="32"/>
  <c r="G13" i="31"/>
  <c r="N5" i="30"/>
  <c r="E4" i="30"/>
  <c r="D4" i="30"/>
  <c r="N3" i="30"/>
  <c r="O3" i="30" s="1"/>
  <c r="P3" i="30" s="1"/>
  <c r="E3" i="30"/>
  <c r="E2" i="30"/>
  <c r="D2" i="30"/>
  <c r="F26" i="29"/>
  <c r="F25" i="29"/>
  <c r="F12" i="29"/>
  <c r="E12" i="29"/>
  <c r="F13" i="29" s="1"/>
  <c r="I7" i="29"/>
  <c r="F7" i="29"/>
  <c r="D90" i="28"/>
  <c r="D89" i="28"/>
  <c r="G82" i="28"/>
  <c r="K80" i="28"/>
  <c r="L77" i="28"/>
  <c r="K77" i="28"/>
  <c r="L76" i="28"/>
  <c r="K76" i="28"/>
  <c r="L75" i="28"/>
  <c r="K75" i="28"/>
  <c r="L74" i="28"/>
  <c r="K74" i="28"/>
  <c r="L73" i="28"/>
  <c r="K73" i="28"/>
  <c r="L72" i="28"/>
  <c r="K72" i="28"/>
  <c r="L71" i="28"/>
  <c r="K71" i="28"/>
  <c r="L70" i="28"/>
  <c r="K70" i="28"/>
  <c r="L69" i="28"/>
  <c r="K69" i="28"/>
  <c r="L68" i="28"/>
  <c r="K68" i="28"/>
  <c r="L67" i="28"/>
  <c r="K67" i="28"/>
  <c r="L66" i="28"/>
  <c r="K66" i="28"/>
  <c r="L65" i="28"/>
  <c r="K65" i="28"/>
  <c r="L64" i="28"/>
  <c r="K64" i="28"/>
  <c r="L63" i="28"/>
  <c r="K63" i="28"/>
  <c r="L62" i="28"/>
  <c r="K62" i="28"/>
  <c r="L61" i="28"/>
  <c r="K61" i="28"/>
  <c r="L60" i="28"/>
  <c r="K60" i="28"/>
  <c r="L59" i="28"/>
  <c r="K59" i="28"/>
  <c r="L58" i="28"/>
  <c r="L57" i="28"/>
  <c r="K57" i="28"/>
  <c r="L56" i="28"/>
  <c r="K56" i="28"/>
  <c r="L55" i="28"/>
  <c r="K55" i="28"/>
  <c r="L54" i="28"/>
  <c r="K54" i="28"/>
  <c r="L53" i="28"/>
  <c r="K53" i="28"/>
  <c r="L52" i="28"/>
  <c r="K52" i="28"/>
  <c r="L51" i="28"/>
  <c r="K51" i="28"/>
  <c r="L50" i="28"/>
  <c r="K50" i="28"/>
  <c r="L49" i="28"/>
  <c r="K49" i="28"/>
  <c r="L48" i="28"/>
  <c r="K48" i="28"/>
  <c r="L47" i="28"/>
  <c r="K47" i="28"/>
  <c r="L46" i="28"/>
  <c r="K46" i="28"/>
  <c r="L45" i="28"/>
  <c r="K45" i="28"/>
  <c r="L44" i="28"/>
  <c r="K44" i="28"/>
  <c r="L43" i="28"/>
  <c r="K43" i="28"/>
  <c r="L42" i="28"/>
  <c r="K42" i="28"/>
  <c r="L41" i="28"/>
  <c r="K41" i="28"/>
  <c r="L40" i="28"/>
  <c r="K40" i="28"/>
  <c r="L39" i="28"/>
  <c r="K39" i="28"/>
  <c r="L38" i="28"/>
  <c r="K38" i="28"/>
  <c r="L37" i="28"/>
  <c r="K37" i="28"/>
  <c r="L36" i="28"/>
  <c r="K36" i="28"/>
  <c r="L35" i="28"/>
  <c r="K35" i="28"/>
  <c r="L34" i="28"/>
  <c r="K34" i="28"/>
  <c r="L33" i="28"/>
  <c r="K33" i="28"/>
  <c r="L32" i="28"/>
  <c r="K32" i="28"/>
  <c r="L31" i="28"/>
  <c r="K31" i="28"/>
  <c r="L30" i="28"/>
  <c r="K30" i="28"/>
  <c r="L29" i="28"/>
  <c r="K29" i="28"/>
  <c r="L28" i="28"/>
  <c r="K28" i="28"/>
  <c r="L27" i="28"/>
  <c r="K27" i="28"/>
  <c r="L26" i="28"/>
  <c r="K26" i="28"/>
  <c r="L25" i="28"/>
  <c r="K25" i="28"/>
  <c r="L24" i="28"/>
  <c r="K24" i="28"/>
  <c r="L23" i="28"/>
  <c r="K23" i="28"/>
  <c r="L22" i="28"/>
  <c r="K22" i="28"/>
  <c r="L21" i="28"/>
  <c r="K21" i="28"/>
  <c r="L20" i="28"/>
  <c r="K20" i="28"/>
  <c r="L19" i="28"/>
  <c r="K19" i="28"/>
  <c r="L18" i="28"/>
  <c r="K18" i="28"/>
  <c r="L17" i="28"/>
  <c r="K17" i="28"/>
  <c r="L16" i="28"/>
  <c r="K16" i="28"/>
  <c r="L15" i="28"/>
  <c r="K15" i="28"/>
  <c r="L14" i="28"/>
  <c r="K14" i="28"/>
  <c r="L13" i="28"/>
  <c r="K13" i="28"/>
  <c r="L12" i="28"/>
  <c r="K12" i="28"/>
  <c r="L11" i="28"/>
  <c r="K11" i="28"/>
  <c r="L10" i="28"/>
  <c r="K10" i="28"/>
  <c r="L9" i="28"/>
  <c r="K9" i="28"/>
  <c r="L8" i="28"/>
  <c r="K8" i="28"/>
  <c r="L7" i="28"/>
  <c r="K7" i="28"/>
  <c r="L6" i="28"/>
  <c r="K6" i="28"/>
  <c r="L5" i="28"/>
  <c r="K5" i="28"/>
  <c r="L4" i="28"/>
  <c r="K4" i="28"/>
  <c r="L3" i="28"/>
  <c r="K3" i="28"/>
  <c r="K82" i="28" s="1"/>
  <c r="L2" i="28"/>
  <c r="K2" i="28"/>
  <c r="Z46" i="27"/>
  <c r="Y46" i="27"/>
  <c r="K46" i="27"/>
  <c r="U46" i="27" s="1"/>
  <c r="V46" i="27" s="1"/>
  <c r="J46" i="27"/>
  <c r="D46" i="27"/>
  <c r="Z45" i="27"/>
  <c r="Y45" i="27"/>
  <c r="J45" i="27"/>
  <c r="K45" i="27" s="1"/>
  <c r="U45" i="27" s="1"/>
  <c r="V45" i="27" s="1"/>
  <c r="D45" i="27"/>
  <c r="Z44" i="27"/>
  <c r="Y44" i="27"/>
  <c r="J44" i="27"/>
  <c r="K44" i="27" s="1"/>
  <c r="U44" i="27" s="1"/>
  <c r="V44" i="27" s="1"/>
  <c r="D44" i="27"/>
  <c r="Z43" i="27"/>
  <c r="Y43" i="27"/>
  <c r="P43" i="27"/>
  <c r="N43" i="27"/>
  <c r="J43" i="27"/>
  <c r="K43" i="27" s="1"/>
  <c r="U43" i="27" s="1"/>
  <c r="V43" i="27" s="1"/>
  <c r="D43" i="27"/>
  <c r="Z42" i="27"/>
  <c r="Y42" i="27"/>
  <c r="I42" i="27"/>
  <c r="J42" i="27" s="1"/>
  <c r="K42" i="27" s="1"/>
  <c r="U42" i="27" s="1"/>
  <c r="V42" i="27" s="1"/>
  <c r="D42" i="27"/>
  <c r="Z41" i="27"/>
  <c r="Y41" i="27"/>
  <c r="N41" i="27"/>
  <c r="J41" i="27"/>
  <c r="K41" i="27" s="1"/>
  <c r="U41" i="27" s="1"/>
  <c r="V41" i="27" s="1"/>
  <c r="D41" i="27"/>
  <c r="Z40" i="27"/>
  <c r="Y40" i="27"/>
  <c r="N40" i="27"/>
  <c r="J40" i="27"/>
  <c r="K40" i="27" s="1"/>
  <c r="U40" i="27" s="1"/>
  <c r="V40" i="27" s="1"/>
  <c r="D40" i="27"/>
  <c r="Z39" i="27"/>
  <c r="Y39" i="27"/>
  <c r="P39" i="27"/>
  <c r="N39" i="27"/>
  <c r="K39" i="27"/>
  <c r="U39" i="27" s="1"/>
  <c r="V39" i="27" s="1"/>
  <c r="J39" i="27"/>
  <c r="D39" i="27"/>
  <c r="Z38" i="27"/>
  <c r="Y38" i="27"/>
  <c r="N38" i="27"/>
  <c r="K38" i="27"/>
  <c r="U38" i="27" s="1"/>
  <c r="V38" i="27" s="1"/>
  <c r="J38" i="27"/>
  <c r="D38" i="27"/>
  <c r="Z37" i="27"/>
  <c r="Y37" i="27"/>
  <c r="N37" i="27"/>
  <c r="K37" i="27"/>
  <c r="U37" i="27" s="1"/>
  <c r="V37" i="27" s="1"/>
  <c r="J37" i="27"/>
  <c r="D37" i="27"/>
  <c r="Z36" i="27"/>
  <c r="Y36" i="27"/>
  <c r="N36" i="27"/>
  <c r="K36" i="27"/>
  <c r="U36" i="27" s="1"/>
  <c r="V36" i="27" s="1"/>
  <c r="J36" i="27"/>
  <c r="D36" i="27"/>
  <c r="Z35" i="27"/>
  <c r="Y35" i="27"/>
  <c r="N35" i="27"/>
  <c r="K35" i="27"/>
  <c r="U35" i="27" s="1"/>
  <c r="V35" i="27" s="1"/>
  <c r="J35" i="27"/>
  <c r="D35" i="27"/>
  <c r="Z34" i="27"/>
  <c r="Y34" i="27"/>
  <c r="J34" i="27"/>
  <c r="K34" i="27" s="1"/>
  <c r="U34" i="27" s="1"/>
  <c r="V34" i="27" s="1"/>
  <c r="D34" i="27"/>
  <c r="Z33" i="27"/>
  <c r="Y33" i="27"/>
  <c r="J33" i="27"/>
  <c r="K33" i="27" s="1"/>
  <c r="U33" i="27" s="1"/>
  <c r="V33" i="27" s="1"/>
  <c r="D33" i="27"/>
  <c r="Z32" i="27"/>
  <c r="Y32" i="27"/>
  <c r="J32" i="27"/>
  <c r="K32" i="27" s="1"/>
  <c r="U32" i="27" s="1"/>
  <c r="V32" i="27" s="1"/>
  <c r="D32" i="27"/>
  <c r="Z31" i="27"/>
  <c r="Y31" i="27"/>
  <c r="J31" i="27"/>
  <c r="K31" i="27" s="1"/>
  <c r="U31" i="27" s="1"/>
  <c r="V31" i="27" s="1"/>
  <c r="D31" i="27"/>
  <c r="Z30" i="27"/>
  <c r="Y30" i="27"/>
  <c r="K30" i="27"/>
  <c r="U30" i="27" s="1"/>
  <c r="V30" i="27" s="1"/>
  <c r="J30" i="27"/>
  <c r="D30" i="27"/>
  <c r="Z29" i="27"/>
  <c r="Y29" i="27"/>
  <c r="J29" i="27"/>
  <c r="K29" i="27" s="1"/>
  <c r="U29" i="27" s="1"/>
  <c r="V29" i="27" s="1"/>
  <c r="D29" i="27"/>
  <c r="Z28" i="27"/>
  <c r="Y28" i="27"/>
  <c r="J28" i="27"/>
  <c r="D28" i="27"/>
  <c r="K28" i="27" s="1"/>
  <c r="U28" i="27" s="1"/>
  <c r="V28" i="27" s="1"/>
  <c r="Z27" i="27"/>
  <c r="Y27" i="27"/>
  <c r="N27" i="27"/>
  <c r="J27" i="27"/>
  <c r="D27" i="27"/>
  <c r="K27" i="27" s="1"/>
  <c r="U27" i="27" s="1"/>
  <c r="V27" i="27" s="1"/>
  <c r="Z26" i="27"/>
  <c r="Y26" i="27"/>
  <c r="N26" i="27"/>
  <c r="J26" i="27"/>
  <c r="D26" i="27"/>
  <c r="K26" i="27" s="1"/>
  <c r="U26" i="27" s="1"/>
  <c r="V26" i="27" s="1"/>
  <c r="Z25" i="27"/>
  <c r="Y25" i="27"/>
  <c r="P25" i="27"/>
  <c r="N25" i="27"/>
  <c r="J25" i="27"/>
  <c r="K25" i="27" s="1"/>
  <c r="U25" i="27" s="1"/>
  <c r="V25" i="27" s="1"/>
  <c r="D25" i="27"/>
  <c r="Z24" i="27"/>
  <c r="Y24" i="27"/>
  <c r="U24" i="27"/>
  <c r="V24" i="27" s="1"/>
  <c r="P24" i="27"/>
  <c r="N24" i="27"/>
  <c r="K24" i="27"/>
  <c r="J24" i="27"/>
  <c r="D24" i="27"/>
  <c r="Z23" i="27"/>
  <c r="Y23" i="27"/>
  <c r="P23" i="27"/>
  <c r="N23" i="27"/>
  <c r="J23" i="27"/>
  <c r="K23" i="27" s="1"/>
  <c r="U23" i="27" s="1"/>
  <c r="V23" i="27" s="1"/>
  <c r="D23" i="27"/>
  <c r="Z22" i="27"/>
  <c r="Y22" i="27"/>
  <c r="P22" i="27"/>
  <c r="N22" i="27"/>
  <c r="J22" i="27"/>
  <c r="K22" i="27" s="1"/>
  <c r="U22" i="27" s="1"/>
  <c r="V22" i="27" s="1"/>
  <c r="D22" i="27"/>
  <c r="Z21" i="27"/>
  <c r="Y21" i="27"/>
  <c r="P21" i="27"/>
  <c r="N21" i="27"/>
  <c r="J21" i="27"/>
  <c r="K21" i="27" s="1"/>
  <c r="U21" i="27" s="1"/>
  <c r="V21" i="27" s="1"/>
  <c r="D21" i="27"/>
  <c r="Z20" i="27"/>
  <c r="Y20" i="27"/>
  <c r="P20" i="27"/>
  <c r="N20" i="27"/>
  <c r="J20" i="27"/>
  <c r="K20" i="27" s="1"/>
  <c r="U20" i="27" s="1"/>
  <c r="V20" i="27" s="1"/>
  <c r="D20" i="27"/>
  <c r="Z19" i="27"/>
  <c r="Y19" i="27"/>
  <c r="P19" i="27"/>
  <c r="N19" i="27"/>
  <c r="K19" i="27"/>
  <c r="U19" i="27" s="1"/>
  <c r="V19" i="27" s="1"/>
  <c r="J19" i="27"/>
  <c r="D19" i="27"/>
  <c r="Z18" i="27"/>
  <c r="Y18" i="27"/>
  <c r="P18" i="27"/>
  <c r="N18" i="27"/>
  <c r="J18" i="27"/>
  <c r="D18" i="27"/>
  <c r="K18" i="27" s="1"/>
  <c r="U18" i="27" s="1"/>
  <c r="V18" i="27" s="1"/>
  <c r="Z17" i="27"/>
  <c r="Y17" i="27"/>
  <c r="P17" i="27"/>
  <c r="N17" i="27"/>
  <c r="J17" i="27"/>
  <c r="K17" i="27" s="1"/>
  <c r="U17" i="27" s="1"/>
  <c r="V17" i="27" s="1"/>
  <c r="D17" i="27"/>
  <c r="Z16" i="27"/>
  <c r="Y16" i="27"/>
  <c r="U16" i="27"/>
  <c r="V16" i="27" s="1"/>
  <c r="P16" i="27"/>
  <c r="N16" i="27"/>
  <c r="K16" i="27"/>
  <c r="J16" i="27"/>
  <c r="D16" i="27"/>
  <c r="Z15" i="27"/>
  <c r="Y15" i="27"/>
  <c r="P15" i="27"/>
  <c r="N15" i="27"/>
  <c r="J15" i="27"/>
  <c r="K15" i="27" s="1"/>
  <c r="U15" i="27" s="1"/>
  <c r="V15" i="27" s="1"/>
  <c r="D15" i="27"/>
  <c r="Z14" i="27"/>
  <c r="Y14" i="27"/>
  <c r="N14" i="27"/>
  <c r="J14" i="27"/>
  <c r="K14" i="27" s="1"/>
  <c r="U14" i="27" s="1"/>
  <c r="V14" i="27" s="1"/>
  <c r="D14" i="27"/>
  <c r="Z13" i="27"/>
  <c r="Y13" i="27"/>
  <c r="N13" i="27"/>
  <c r="J13" i="27"/>
  <c r="K13" i="27" s="1"/>
  <c r="U13" i="27" s="1"/>
  <c r="V13" i="27" s="1"/>
  <c r="D13" i="27"/>
  <c r="Z12" i="27"/>
  <c r="Y12" i="27"/>
  <c r="P12" i="27"/>
  <c r="N12" i="27"/>
  <c r="J12" i="27"/>
  <c r="K12" i="27" s="1"/>
  <c r="U12" i="27" s="1"/>
  <c r="V12" i="27" s="1"/>
  <c r="D12" i="27"/>
  <c r="Z11" i="27"/>
  <c r="Y11" i="27"/>
  <c r="P11" i="27"/>
  <c r="N11" i="27"/>
  <c r="J11" i="27"/>
  <c r="K11" i="27" s="1"/>
  <c r="U11" i="27" s="1"/>
  <c r="V11" i="27" s="1"/>
  <c r="D11" i="27"/>
  <c r="Z10" i="27"/>
  <c r="Y10" i="27"/>
  <c r="P10" i="27"/>
  <c r="N10" i="27"/>
  <c r="J10" i="27"/>
  <c r="K10" i="27" s="1"/>
  <c r="U10" i="27" s="1"/>
  <c r="V10" i="27" s="1"/>
  <c r="D10" i="27"/>
  <c r="Z9" i="27"/>
  <c r="Y9" i="27"/>
  <c r="P9" i="27"/>
  <c r="N9" i="27"/>
  <c r="K9" i="27"/>
  <c r="U9" i="27" s="1"/>
  <c r="V9" i="27" s="1"/>
  <c r="J9" i="27"/>
  <c r="D9" i="27"/>
  <c r="Z8" i="27"/>
  <c r="Y8" i="27"/>
  <c r="P8" i="27"/>
  <c r="N8" i="27"/>
  <c r="J8" i="27"/>
  <c r="D8" i="27"/>
  <c r="K8" i="27" s="1"/>
  <c r="U8" i="27" s="1"/>
  <c r="V8" i="27" s="1"/>
  <c r="Z7" i="27"/>
  <c r="Y7" i="27"/>
  <c r="P7" i="27"/>
  <c r="N7" i="27"/>
  <c r="J7" i="27"/>
  <c r="K7" i="27" s="1"/>
  <c r="U7" i="27" s="1"/>
  <c r="V7" i="27" s="1"/>
  <c r="D7" i="27"/>
  <c r="Z6" i="27"/>
  <c r="Y6" i="27"/>
  <c r="U6" i="27"/>
  <c r="V6" i="27" s="1"/>
  <c r="P6" i="27"/>
  <c r="N6" i="27"/>
  <c r="K6" i="27"/>
  <c r="J6" i="27"/>
  <c r="D6" i="27"/>
  <c r="Z5" i="27"/>
  <c r="Y5" i="27"/>
  <c r="P5" i="27"/>
  <c r="N5" i="27"/>
  <c r="J5" i="27"/>
  <c r="K5" i="27" s="1"/>
  <c r="U5" i="27" s="1"/>
  <c r="V5" i="27" s="1"/>
  <c r="D5" i="27"/>
  <c r="Z4" i="27"/>
  <c r="Y4" i="27"/>
  <c r="P4" i="27"/>
  <c r="N4" i="27"/>
  <c r="J4" i="27"/>
  <c r="K4" i="27" s="1"/>
  <c r="U4" i="27" s="1"/>
  <c r="V4" i="27" s="1"/>
  <c r="D4" i="27"/>
  <c r="Z3" i="27"/>
  <c r="Y3" i="27"/>
  <c r="P3" i="27"/>
  <c r="N3" i="27"/>
  <c r="J3" i="27"/>
  <c r="K3" i="27" s="1"/>
  <c r="U3" i="27" s="1"/>
  <c r="V3" i="27" s="1"/>
  <c r="D3" i="27"/>
  <c r="Z2" i="27"/>
  <c r="Y2" i="27"/>
  <c r="N2" i="27"/>
  <c r="J2" i="27"/>
  <c r="K2" i="27" s="1"/>
  <c r="U2" i="27" s="1"/>
  <c r="V2" i="27" s="1"/>
  <c r="D2" i="27"/>
  <c r="C23" i="34" l="1"/>
  <c r="E12" i="18"/>
  <c r="D12" i="18"/>
  <c r="C24" i="34"/>
  <c r="F50" i="22"/>
  <c r="C10" i="18" s="1"/>
  <c r="F21" i="34"/>
  <c r="C26" i="34"/>
  <c r="C25" i="34"/>
  <c r="E21" i="34"/>
  <c r="D21" i="34"/>
  <c r="G21" i="34"/>
  <c r="H21" i="34"/>
  <c r="I21" i="34"/>
  <c r="BG104" i="17"/>
  <c r="AV104" i="17"/>
  <c r="BH103" i="17"/>
  <c r="AW103" i="17"/>
  <c r="AO88" i="17"/>
  <c r="AZ88" i="17"/>
  <c r="AR85" i="17"/>
  <c r="BC85" i="17"/>
  <c r="AT82" i="17"/>
  <c r="BE82" i="17"/>
  <c r="BB86" i="17"/>
  <c r="AQ86" i="17"/>
  <c r="AU81" i="17"/>
  <c r="AP87" i="17"/>
  <c r="BA87" i="17"/>
  <c r="K81" i="28"/>
  <c r="K84" i="28"/>
  <c r="K78" i="28"/>
  <c r="N11" i="28"/>
  <c r="O11" i="28" s="1"/>
  <c r="F31" i="32"/>
  <c r="C31" i="32"/>
  <c r="G31" i="32" s="1"/>
  <c r="D18" i="18" l="1"/>
  <c r="D16" i="18"/>
  <c r="E18" i="18"/>
  <c r="E16" i="18"/>
  <c r="C22" i="34"/>
  <c r="F14" i="19" s="1"/>
  <c r="BH104" i="17"/>
  <c r="AW104" i="17"/>
  <c r="AP88" i="17"/>
  <c r="BA88" i="17"/>
  <c r="BD85" i="17"/>
  <c r="AS85" i="17"/>
  <c r="AU82" i="17"/>
  <c r="BF82" i="17"/>
  <c r="BE83" i="17"/>
  <c r="AT83" i="17"/>
  <c r="BB87" i="17"/>
  <c r="AQ87" i="17"/>
  <c r="AR86" i="17"/>
  <c r="BC86" i="17"/>
  <c r="AV81" i="17"/>
  <c r="F21" i="22"/>
  <c r="D71" i="19" l="1"/>
  <c r="G71" i="19" s="1"/>
  <c r="H71" i="19" s="1"/>
  <c r="BD86" i="17"/>
  <c r="AS86" i="17"/>
  <c r="AV82" i="17"/>
  <c r="BG82" i="17"/>
  <c r="AW81" i="17"/>
  <c r="AR87" i="17"/>
  <c r="BC87" i="17"/>
  <c r="BE85" i="17"/>
  <c r="AT85" i="17"/>
  <c r="BF83" i="17"/>
  <c r="AU83" i="17"/>
  <c r="AQ88" i="17"/>
  <c r="BB88" i="17"/>
  <c r="BG83" i="17" l="1"/>
  <c r="AV83" i="17"/>
  <c r="AU85" i="17"/>
  <c r="BF85" i="17"/>
  <c r="BH82" i="17"/>
  <c r="AW82" i="17"/>
  <c r="BE86" i="17"/>
  <c r="AT86" i="17"/>
  <c r="AS87" i="17"/>
  <c r="BD87" i="17"/>
  <c r="BC88" i="17"/>
  <c r="AR88" i="17"/>
  <c r="H61" i="26"/>
  <c r="K61" i="26"/>
  <c r="J61" i="26"/>
  <c r="I61" i="26"/>
  <c r="G61" i="26"/>
  <c r="K59" i="26"/>
  <c r="J59" i="26"/>
  <c r="I59" i="26"/>
  <c r="G59" i="26"/>
  <c r="K57" i="26"/>
  <c r="J57" i="26"/>
  <c r="I57" i="26"/>
  <c r="G57" i="26"/>
  <c r="K55" i="26"/>
  <c r="J55" i="26"/>
  <c r="I55" i="26"/>
  <c r="G55" i="26"/>
  <c r="G53" i="26"/>
  <c r="F53" i="26"/>
  <c r="J53" i="26"/>
  <c r="K53" i="26"/>
  <c r="I53" i="26"/>
  <c r="F61" i="26"/>
  <c r="K58" i="26"/>
  <c r="F58" i="26" s="1"/>
  <c r="J58" i="26"/>
  <c r="F57" i="26"/>
  <c r="F56" i="26"/>
  <c r="K54" i="26"/>
  <c r="J54" i="26"/>
  <c r="F54" i="26"/>
  <c r="J52" i="26"/>
  <c r="F52" i="26"/>
  <c r="F47" i="26"/>
  <c r="H47" i="26"/>
  <c r="I45" i="26"/>
  <c r="G45" i="26"/>
  <c r="K43" i="26"/>
  <c r="J43" i="26"/>
  <c r="I43" i="26"/>
  <c r="G43" i="26"/>
  <c r="J41" i="26"/>
  <c r="I41" i="26"/>
  <c r="G41" i="26"/>
  <c r="I39" i="26"/>
  <c r="K39" i="26"/>
  <c r="G39" i="26"/>
  <c r="G33" i="26"/>
  <c r="H29" i="26"/>
  <c r="H30" i="26" s="1"/>
  <c r="K40" i="26" s="1"/>
  <c r="K41" i="26" s="1"/>
  <c r="L29" i="26"/>
  <c r="L30" i="26" s="1"/>
  <c r="J29" i="26"/>
  <c r="J30" i="26" s="1"/>
  <c r="G34" i="26"/>
  <c r="K29" i="26"/>
  <c r="K30" i="26" s="1"/>
  <c r="K44" i="26" s="1"/>
  <c r="K45" i="26" s="1"/>
  <c r="I29" i="26"/>
  <c r="I30" i="26" s="1"/>
  <c r="G29" i="26"/>
  <c r="G30" i="26" s="1"/>
  <c r="J40" i="26" s="1"/>
  <c r="K17" i="26"/>
  <c r="K18" i="26" s="1"/>
  <c r="L17" i="26"/>
  <c r="L18" i="26" s="1"/>
  <c r="J17" i="26"/>
  <c r="G17" i="26"/>
  <c r="G18" i="26" s="1"/>
  <c r="I17" i="26"/>
  <c r="I18" i="26" s="1"/>
  <c r="J18" i="26"/>
  <c r="F42" i="26"/>
  <c r="H5" i="26"/>
  <c r="I5" i="26" s="1"/>
  <c r="H6" i="26"/>
  <c r="J6" i="26" s="1"/>
  <c r="K6" i="26" s="1"/>
  <c r="H8" i="26"/>
  <c r="I8" i="26" s="1"/>
  <c r="H4" i="26"/>
  <c r="I4" i="26" s="1"/>
  <c r="G21" i="26"/>
  <c r="G22" i="26" s="1"/>
  <c r="G7" i="26"/>
  <c r="H7" i="26" s="1"/>
  <c r="J7" i="26" s="1"/>
  <c r="K7" i="26" s="1"/>
  <c r="H17" i="26"/>
  <c r="H18" i="26" s="1"/>
  <c r="AV85" i="17" l="1"/>
  <c r="BG85" i="17"/>
  <c r="BH83" i="17"/>
  <c r="AW83" i="17"/>
  <c r="BD88" i="17"/>
  <c r="AS88" i="17"/>
  <c r="AT87" i="17"/>
  <c r="BE87" i="17"/>
  <c r="AU86" i="17"/>
  <c r="BF86" i="17"/>
  <c r="F55" i="26"/>
  <c r="F59" i="26"/>
  <c r="F43" i="26"/>
  <c r="F41" i="26"/>
  <c r="J5" i="26"/>
  <c r="K5" i="26" s="1"/>
  <c r="F40" i="26"/>
  <c r="J38" i="26"/>
  <c r="I6" i="26"/>
  <c r="I9" i="26" s="1"/>
  <c r="J44" i="26"/>
  <c r="G9" i="26"/>
  <c r="I7" i="26"/>
  <c r="J4" i="26"/>
  <c r="K4" i="26" s="1"/>
  <c r="H9" i="26"/>
  <c r="J9" i="26" s="1"/>
  <c r="K9" i="26" s="1"/>
  <c r="J8" i="26"/>
  <c r="K8" i="26" s="1"/>
  <c r="E47" i="22"/>
  <c r="I47" i="22"/>
  <c r="BH85" i="17" l="1"/>
  <c r="AW85" i="17"/>
  <c r="AT88" i="17"/>
  <c r="BE88" i="17"/>
  <c r="BF87" i="17"/>
  <c r="AU87" i="17"/>
  <c r="AV86" i="17"/>
  <c r="BG86" i="17"/>
  <c r="F44" i="26"/>
  <c r="J45" i="26"/>
  <c r="F45" i="26" s="1"/>
  <c r="F38" i="26"/>
  <c r="J39" i="26"/>
  <c r="F39" i="26" s="1"/>
  <c r="C25" i="19"/>
  <c r="D25" i="19" s="1" a="1"/>
  <c r="D25" i="19" s="1"/>
  <c r="E28" i="22" a="1"/>
  <c r="E28" i="22" s="1"/>
  <c r="D123" i="19" l="1"/>
  <c r="G123" i="19" s="1"/>
  <c r="H123" i="19" s="1"/>
  <c r="BF88" i="17"/>
  <c r="AU88" i="17"/>
  <c r="BG87" i="17"/>
  <c r="AV87" i="17"/>
  <c r="AW86" i="17"/>
  <c r="BH86" i="17"/>
  <c r="D28" i="19"/>
  <c r="C51" i="19"/>
  <c r="C101" i="18"/>
  <c r="C30" i="19"/>
  <c r="BG88" i="17" l="1"/>
  <c r="AV88" i="17"/>
  <c r="AW87" i="17"/>
  <c r="BH87" i="17"/>
  <c r="E116" i="22"/>
  <c r="D116" i="22" s="1"/>
  <c r="AW88" i="17" l="1"/>
  <c r="BH88" i="17"/>
  <c r="D49" i="22"/>
  <c r="B49" i="22" s="1"/>
  <c r="H47" i="22"/>
  <c r="F47" i="22"/>
  <c r="I11" i="18" l="1"/>
  <c r="I8" i="18"/>
  <c r="I9" i="18"/>
  <c r="D58" i="18" s="1"/>
  <c r="I10" i="18"/>
  <c r="I7" i="18"/>
  <c r="G12" i="18"/>
  <c r="G18" i="18" l="1"/>
  <c r="G16" i="18"/>
  <c r="D59" i="18"/>
  <c r="D57" i="18"/>
  <c r="D61" i="18"/>
  <c r="D63" i="18"/>
  <c r="E25" i="22" a="1"/>
  <c r="E25" i="22" s="1"/>
  <c r="D20" i="19"/>
  <c r="D30" i="19" a="1"/>
  <c r="D30" i="19" s="1"/>
  <c r="E33" i="22" a="1"/>
  <c r="E33" i="22" s="1"/>
  <c r="D99" i="22" s="1"/>
  <c r="F20" i="22"/>
  <c r="B17" i="18"/>
  <c r="D121" i="19" l="1"/>
  <c r="E99" i="22"/>
  <c r="F33" i="22"/>
  <c r="D51" i="19"/>
  <c r="E69" i="22"/>
  <c r="E153" i="19" l="1"/>
  <c r="G102" i="22" s="1"/>
  <c r="D153" i="19"/>
  <c r="G121" i="19"/>
  <c r="G1" i="18"/>
  <c r="C1" i="18"/>
  <c r="C2" i="18"/>
  <c r="I14" i="18"/>
  <c r="C17" i="18"/>
  <c r="D17" i="18"/>
  <c r="E17" i="18"/>
  <c r="F17" i="18"/>
  <c r="G17" i="18"/>
  <c r="H17" i="18"/>
  <c r="K22" i="23"/>
  <c r="K23" i="23"/>
  <c r="K24" i="23"/>
  <c r="K25" i="23"/>
  <c r="K26" i="23"/>
  <c r="K27" i="23"/>
  <c r="K21" i="23"/>
  <c r="L21" i="23" s="1"/>
  <c r="T9" i="23"/>
  <c r="T8" i="23"/>
  <c r="T7" i="23"/>
  <c r="T6" i="23"/>
  <c r="T5" i="23"/>
  <c r="T4" i="23"/>
  <c r="T3" i="23"/>
  <c r="C46" i="19"/>
  <c r="C45" i="19"/>
  <c r="D45" i="19" s="1"/>
  <c r="C44" i="19"/>
  <c r="C37" i="19"/>
  <c r="D37" i="19" s="1"/>
  <c r="F42" i="18" s="1"/>
  <c r="C11" i="19"/>
  <c r="C12" i="19"/>
  <c r="C10" i="19"/>
  <c r="D10" i="19" s="1"/>
  <c r="C9" i="19"/>
  <c r="C5" i="19"/>
  <c r="C4" i="19"/>
  <c r="C3" i="19"/>
  <c r="D51" i="22"/>
  <c r="B51" i="22" s="1"/>
  <c r="D55" i="22"/>
  <c r="D54" i="22"/>
  <c r="B54" i="22" s="1"/>
  <c r="D53" i="22"/>
  <c r="B53" i="22" s="1"/>
  <c r="D52" i="22"/>
  <c r="B52" i="22" s="1"/>
  <c r="D50" i="22"/>
  <c r="B50" i="22" s="1"/>
  <c r="J47" i="22"/>
  <c r="G47" i="22"/>
  <c r="H121" i="19" l="1"/>
  <c r="D47" i="22"/>
  <c r="C38" i="19" s="1"/>
  <c r="L55" i="22"/>
  <c r="B55" i="22"/>
  <c r="D48" i="22"/>
  <c r="C52" i="19" s="1"/>
  <c r="C28" i="19"/>
  <c r="I17" i="18"/>
  <c r="I6" i="18"/>
  <c r="H12" i="18"/>
  <c r="F12" i="18"/>
  <c r="D35" i="19"/>
  <c r="D29" i="19"/>
  <c r="C27" i="19"/>
  <c r="C26" i="19"/>
  <c r="C24" i="19"/>
  <c r="C22" i="19"/>
  <c r="D21" i="19"/>
  <c r="D48" i="19"/>
  <c r="D19" i="19"/>
  <c r="C100" i="18"/>
  <c r="N12" i="24"/>
  <c r="M12" i="24"/>
  <c r="O12" i="24" s="1"/>
  <c r="G12" i="24"/>
  <c r="N11" i="24"/>
  <c r="O11" i="24" s="1"/>
  <c r="M11" i="24"/>
  <c r="G11" i="24"/>
  <c r="O10" i="24"/>
  <c r="N10" i="24"/>
  <c r="M10" i="24"/>
  <c r="G10" i="24"/>
  <c r="E72" i="19" l="1"/>
  <c r="E71" i="19"/>
  <c r="E73" i="19"/>
  <c r="E70" i="19"/>
  <c r="E69" i="19"/>
  <c r="E74" i="19"/>
  <c r="E75" i="19"/>
  <c r="D134" i="19"/>
  <c r="E158" i="19"/>
  <c r="H18" i="18"/>
  <c r="H16" i="18"/>
  <c r="F18" i="18"/>
  <c r="F16" i="18"/>
  <c r="D84" i="19"/>
  <c r="E1" i="18"/>
  <c r="E31" i="18" s="1"/>
  <c r="F31" i="18" s="1"/>
  <c r="D85" i="19"/>
  <c r="G85" i="19" s="1"/>
  <c r="H85" i="19" s="1"/>
  <c r="D49" i="19"/>
  <c r="E67" i="22" s="1"/>
  <c r="D112" i="22"/>
  <c r="D89" i="19"/>
  <c r="G89" i="19" s="1"/>
  <c r="H89" i="19" s="1"/>
  <c r="D126" i="19"/>
  <c r="D56" i="18"/>
  <c r="D60" i="18"/>
  <c r="G15" i="18"/>
  <c r="F15" i="18"/>
  <c r="H15" i="18"/>
  <c r="U3" i="20"/>
  <c r="L22" i="23"/>
  <c r="G126" i="19" l="1"/>
  <c r="H126" i="19" s="1"/>
  <c r="E36" i="18"/>
  <c r="F36" i="18" s="1"/>
  <c r="E38" i="18"/>
  <c r="F38" i="18" s="1"/>
  <c r="E26" i="18"/>
  <c r="F26" i="18" s="1"/>
  <c r="E32" i="18"/>
  <c r="F32" i="18" s="1"/>
  <c r="E37" i="18"/>
  <c r="F37" i="18" s="1"/>
  <c r="U15" i="20"/>
  <c r="U5" i="20"/>
  <c r="D53" i="19"/>
  <c r="C54" i="19" s="1"/>
  <c r="G84" i="19"/>
  <c r="H84" i="19" s="1"/>
  <c r="L23" i="23"/>
  <c r="F90" i="22"/>
  <c r="D115" i="19" l="1"/>
  <c r="D83" i="19"/>
  <c r="G83" i="19" s="1"/>
  <c r="H83" i="19" s="1"/>
  <c r="L24"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E27" i="22" a="1"/>
  <c r="E27" i="22" s="1"/>
  <c r="D1" i="17"/>
  <c r="E30" i="22" a="1"/>
  <c r="E30" i="22" s="1"/>
  <c r="E29" i="22" a="1"/>
  <c r="E29" i="22" s="1"/>
  <c r="D94" i="22" l="1"/>
  <c r="D91" i="22"/>
  <c r="D92" i="22"/>
  <c r="D93" i="22"/>
  <c r="L25" i="23"/>
  <c r="F94" i="22"/>
  <c r="F91" i="22"/>
  <c r="F92" i="22"/>
  <c r="F93" i="22"/>
  <c r="F95" i="22" l="1"/>
  <c r="D117" i="22" s="1"/>
  <c r="L27" i="23"/>
  <c r="L26" i="23"/>
  <c r="U7" i="20"/>
  <c r="D95" i="22"/>
  <c r="E95" i="22"/>
  <c r="C23" i="19" l="1"/>
  <c r="AD37" i="17"/>
  <c r="AC37" i="17"/>
  <c r="Q30" i="17"/>
  <c r="R30" i="17" s="1"/>
  <c r="Q31" i="17"/>
  <c r="R31" i="17" s="1"/>
  <c r="Q32" i="17"/>
  <c r="R32" i="17" s="1"/>
  <c r="Q33" i="17"/>
  <c r="R33" i="17" s="1"/>
  <c r="Q34" i="17"/>
  <c r="R34" i="17" s="1"/>
  <c r="Q35" i="17"/>
  <c r="R35" i="17" s="1"/>
  <c r="Q29" i="17"/>
  <c r="R29" i="17" s="1"/>
  <c r="D23" i="19" l="1"/>
  <c r="AE37" i="17"/>
  <c r="D138" i="19"/>
  <c r="D103" i="22" l="1"/>
  <c r="D22" i="19" a="1"/>
  <c r="D22" i="19" s="1"/>
  <c r="D27" i="19" a="1"/>
  <c r="D27" i="19" s="1"/>
  <c r="D26" i="19" a="1"/>
  <c r="D26" i="19" s="1"/>
  <c r="D122" i="19" s="1"/>
  <c r="D124" i="19" s="1"/>
  <c r="D24" i="19" a="1"/>
  <c r="D24" i="19" s="1"/>
  <c r="F130" i="19" l="1"/>
  <c r="D120" i="19"/>
  <c r="D100" i="22"/>
  <c r="D125" i="19"/>
  <c r="G125" i="19" s="1"/>
  <c r="H125" i="19" s="1"/>
  <c r="G124" i="19" l="1"/>
  <c r="H124" i="19" s="1"/>
  <c r="G120" i="19"/>
  <c r="H120" i="19" s="1"/>
  <c r="G122" i="19"/>
  <c r="H122" i="19" s="1"/>
  <c r="D102" i="22"/>
  <c r="D101" i="22"/>
  <c r="R22" i="20"/>
  <c r="N20" i="20"/>
  <c r="J18" i="20"/>
  <c r="Q15" i="20"/>
  <c r="AC13" i="20"/>
  <c r="AC12" i="20"/>
  <c r="U11" i="20"/>
  <c r="U13" i="20" s="1"/>
  <c r="Q11" i="20"/>
  <c r="Q13" i="20" s="1"/>
  <c r="M11" i="20"/>
  <c r="M13" i="20" s="1"/>
  <c r="I11" i="20"/>
  <c r="I9" i="20"/>
  <c r="C8" i="20"/>
  <c r="C10" i="20" s="1"/>
  <c r="C12" i="20" s="1"/>
  <c r="C14" i="20" s="1"/>
  <c r="Z7" i="20"/>
  <c r="AC7" i="20" s="1"/>
  <c r="U9" i="20"/>
  <c r="Q7" i="20"/>
  <c r="Q9" i="20" s="1"/>
  <c r="M7" i="20"/>
  <c r="M9" i="20" s="1"/>
  <c r="I7" i="20"/>
  <c r="F7" i="20"/>
  <c r="F8" i="20" s="1"/>
  <c r="F10" i="20" s="1"/>
  <c r="AC6" i="20"/>
  <c r="C6" i="20"/>
  <c r="B6" i="20"/>
  <c r="B8" i="20" s="1"/>
  <c r="B10" i="20" s="1"/>
  <c r="B12" i="20" s="1"/>
  <c r="B14" i="20" s="1"/>
  <c r="AC5" i="20"/>
  <c r="Q5" i="20"/>
  <c r="M5" i="20"/>
  <c r="I5" i="20"/>
  <c r="I12" i="20" s="1"/>
  <c r="I14" i="20" s="1"/>
  <c r="I16" i="20" s="1"/>
  <c r="F5" i="20"/>
  <c r="AC4" i="20"/>
  <c r="AC3" i="20"/>
  <c r="E40" i="18"/>
  <c r="F40" i="18" s="1"/>
  <c r="E39" i="18"/>
  <c r="F39" i="18" s="1"/>
  <c r="U16" i="20" l="1"/>
  <c r="U18" i="20" s="1"/>
  <c r="U20" i="20" s="1"/>
  <c r="V20" i="20" s="1"/>
  <c r="V22" i="20" s="1"/>
  <c r="D94" i="19" s="1"/>
  <c r="E94" i="19" s="1"/>
  <c r="F11" i="20"/>
  <c r="F13" i="20" s="1"/>
  <c r="F15" i="20" s="1"/>
  <c r="F17" i="20" s="1"/>
  <c r="Q16" i="20"/>
  <c r="Q18" i="20" s="1"/>
  <c r="Q20" i="20" s="1"/>
  <c r="M14" i="20"/>
  <c r="M16" i="20" s="1"/>
  <c r="M18" i="20" s="1"/>
  <c r="Z8" i="20"/>
  <c r="G94" i="19" l="1"/>
  <c r="H94" i="19" s="1"/>
  <c r="AC8" i="20"/>
  <c r="Z9" i="20"/>
  <c r="AC9" i="20" l="1"/>
  <c r="Z10" i="20"/>
  <c r="AC10" i="20" s="1"/>
  <c r="C12" i="18" l="1"/>
  <c r="C16" i="18" s="1"/>
  <c r="AG3" i="17"/>
  <c r="AG1" i="17" s="1"/>
  <c r="M42" i="17" s="1"/>
  <c r="AD3" i="17"/>
  <c r="AD1" i="17" s="1"/>
  <c r="L42" i="17" s="1"/>
  <c r="AA3" i="17"/>
  <c r="AA1" i="17" s="1"/>
  <c r="K42" i="17" s="1"/>
  <c r="X3" i="17"/>
  <c r="X1" i="17" s="1"/>
  <c r="J42" i="17" s="1"/>
  <c r="U3" i="17"/>
  <c r="U1" i="17" s="1"/>
  <c r="I42" i="17" s="1"/>
  <c r="AI1" i="17"/>
  <c r="AH1" i="17"/>
  <c r="AF1" i="17"/>
  <c r="AE1" i="17"/>
  <c r="AC1" i="17"/>
  <c r="AB1" i="17"/>
  <c r="Z1" i="17"/>
  <c r="Y1" i="17"/>
  <c r="W1" i="17"/>
  <c r="V1" i="17"/>
  <c r="T1" i="17"/>
  <c r="S1" i="17"/>
  <c r="R1" i="17"/>
  <c r="H42" i="17" s="1"/>
  <c r="Q1" i="17"/>
  <c r="P1" i="17"/>
  <c r="O1" i="17"/>
  <c r="G42" i="17" s="1"/>
  <c r="N1" i="17"/>
  <c r="M1" i="17"/>
  <c r="L1" i="17"/>
  <c r="F42" i="17" s="1"/>
  <c r="K1" i="17"/>
  <c r="J1" i="17"/>
  <c r="I1" i="17"/>
  <c r="E42" i="17" s="1"/>
  <c r="H1" i="17"/>
  <c r="G1" i="17"/>
  <c r="F1" i="17"/>
  <c r="D42" i="17" s="1"/>
  <c r="E1" i="17"/>
  <c r="C1" i="17"/>
  <c r="C42" i="17" s="1"/>
  <c r="B1" i="17"/>
  <c r="D98" i="22"/>
  <c r="D106" i="22" s="1"/>
  <c r="F106" i="18"/>
  <c r="D96" i="18"/>
  <c r="H94" i="18"/>
  <c r="H93" i="18"/>
  <c r="H92" i="18"/>
  <c r="H91" i="18"/>
  <c r="H90" i="18"/>
  <c r="H89" i="18"/>
  <c r="H88" i="18"/>
  <c r="H87" i="18"/>
  <c r="H86" i="18"/>
  <c r="H85" i="18"/>
  <c r="H84" i="18"/>
  <c r="H83" i="18"/>
  <c r="H82" i="18"/>
  <c r="H81" i="18"/>
  <c r="I80" i="18"/>
  <c r="H80" i="18"/>
  <c r="H79" i="18"/>
  <c r="H78" i="18"/>
  <c r="H76" i="18"/>
  <c r="B12" i="18"/>
  <c r="B18" i="18" l="1"/>
  <c r="B16" i="18"/>
  <c r="I16" i="18" s="1"/>
  <c r="D68" i="19"/>
  <c r="E68" i="19" s="1"/>
  <c r="C102" i="18"/>
  <c r="C103" i="18" s="1"/>
  <c r="C18" i="18"/>
  <c r="I12" i="18"/>
  <c r="E20" i="18" s="1"/>
  <c r="F20" i="18" s="1"/>
  <c r="D78" i="19"/>
  <c r="G115" i="19"/>
  <c r="H115" i="19" s="1"/>
  <c r="D97" i="19"/>
  <c r="D93" i="19"/>
  <c r="E93" i="19" s="1"/>
  <c r="D95" i="19"/>
  <c r="D98" i="19"/>
  <c r="D82" i="19"/>
  <c r="G82" i="19" s="1"/>
  <c r="H82" i="19" s="1"/>
  <c r="H56" i="22"/>
  <c r="G56" i="22"/>
  <c r="C58" i="18" s="1"/>
  <c r="I57" i="22"/>
  <c r="I56" i="22"/>
  <c r="C56" i="18" s="1"/>
  <c r="H57" i="22"/>
  <c r="G57" i="22"/>
  <c r="E56" i="22"/>
  <c r="E57" i="22"/>
  <c r="D103" i="18"/>
  <c r="E15" i="18"/>
  <c r="D15" i="18"/>
  <c r="C15" i="18"/>
  <c r="B15" i="18"/>
  <c r="C81" i="19"/>
  <c r="D62" i="18"/>
  <c r="I79" i="18"/>
  <c r="D71" i="18"/>
  <c r="E71" i="18" s="1"/>
  <c r="G95" i="19" l="1"/>
  <c r="H95" i="19" s="1"/>
  <c r="E95" i="19"/>
  <c r="G97" i="19"/>
  <c r="H97" i="19" s="1"/>
  <c r="E97" i="19"/>
  <c r="E98" i="19" s="1"/>
  <c r="G135" i="19" s="1"/>
  <c r="H135" i="19" s="1"/>
  <c r="G98" i="19"/>
  <c r="H98" i="19" s="1"/>
  <c r="E115" i="19"/>
  <c r="G93" i="19"/>
  <c r="H93" i="19" s="1"/>
  <c r="J84" i="19"/>
  <c r="K84" i="19" s="1"/>
  <c r="C61" i="19"/>
  <c r="H77" i="18"/>
  <c r="G68" i="19"/>
  <c r="H68" i="19" s="1"/>
  <c r="E21" i="18"/>
  <c r="F21" i="18" s="1"/>
  <c r="E25" i="18"/>
  <c r="F25" i="18" s="1"/>
  <c r="E24" i="18"/>
  <c r="G78" i="19"/>
  <c r="H78" i="19" s="1"/>
  <c r="C59" i="18"/>
  <c r="E59" i="18" s="1"/>
  <c r="C61" i="18"/>
  <c r="E61" i="18" s="1"/>
  <c r="E58" i="18"/>
  <c r="C62" i="18"/>
  <c r="E62" i="18" s="1"/>
  <c r="E56" i="18"/>
  <c r="C60" i="18"/>
  <c r="E60" i="18" s="1"/>
  <c r="C63" i="18"/>
  <c r="E63" i="18" s="1"/>
  <c r="C57" i="18"/>
  <c r="E57" i="18" s="1"/>
  <c r="E33" i="18"/>
  <c r="F33" i="18" s="1"/>
  <c r="E23" i="18"/>
  <c r="F23" i="18" s="1"/>
  <c r="E22" i="18"/>
  <c r="F22" i="18" s="1"/>
  <c r="E34" i="18"/>
  <c r="F34" i="18" s="1"/>
  <c r="I15" i="18"/>
  <c r="E29" i="18" s="1"/>
  <c r="E103" i="18"/>
  <c r="E35" i="18"/>
  <c r="F35" i="18" s="1"/>
  <c r="D64" i="18"/>
  <c r="D92" i="19" l="1"/>
  <c r="G92" i="19" s="1"/>
  <c r="H92" i="19" s="1"/>
  <c r="E104" i="18"/>
  <c r="E105" i="18" s="1"/>
  <c r="E107" i="18" s="1"/>
  <c r="F107" i="18" s="1"/>
  <c r="E30" i="18"/>
  <c r="F30" i="18" s="1"/>
  <c r="E28" i="18"/>
  <c r="F28" i="18" s="1"/>
  <c r="E27" i="18"/>
  <c r="F27" i="18" s="1"/>
  <c r="F29" i="18"/>
  <c r="F59" i="18"/>
  <c r="D76" i="19" s="1"/>
  <c r="E64" i="18"/>
  <c r="D70" i="18"/>
  <c r="D69" i="18"/>
  <c r="E69" i="18" s="1"/>
  <c r="D68" i="18"/>
  <c r="E68" i="18" s="1"/>
  <c r="C58" i="19"/>
  <c r="C57" i="19" s="1"/>
  <c r="D67" i="18"/>
  <c r="E67" i="18" s="1"/>
  <c r="I76" i="18"/>
  <c r="E119" i="19" l="1"/>
  <c r="D91" i="19"/>
  <c r="D90" i="19"/>
  <c r="D80" i="19"/>
  <c r="G80" i="19" s="1"/>
  <c r="H80" i="19" s="1"/>
  <c r="D79" i="19"/>
  <c r="G79" i="19" s="1"/>
  <c r="H79" i="19" s="1"/>
  <c r="G91" i="19"/>
  <c r="H91" i="19" s="1"/>
  <c r="G67" i="18"/>
  <c r="D101" i="19"/>
  <c r="G101" i="19" s="1"/>
  <c r="H101" i="19" s="1"/>
  <c r="E76" i="19"/>
  <c r="F52" i="18"/>
  <c r="G52" i="18" s="1"/>
  <c r="C77" i="19" s="1"/>
  <c r="D77" i="19" s="1"/>
  <c r="E78" i="19" s="1"/>
  <c r="E70" i="18"/>
  <c r="G70" i="18" s="1"/>
  <c r="E104" i="19" s="1"/>
  <c r="D104" i="19" s="1"/>
  <c r="G104" i="19" s="1"/>
  <c r="H104" i="19" s="1"/>
  <c r="G68" i="18"/>
  <c r="E102" i="19" s="1"/>
  <c r="D102" i="19" s="1"/>
  <c r="D81" i="19"/>
  <c r="G81" i="19" s="1"/>
  <c r="H81" i="19" s="1"/>
  <c r="D113" i="19"/>
  <c r="G113" i="19" s="1"/>
  <c r="H113" i="19" s="1"/>
  <c r="D87" i="19"/>
  <c r="G87" i="19" s="1"/>
  <c r="H87" i="19" s="1"/>
  <c r="D88" i="19"/>
  <c r="G88" i="19" s="1"/>
  <c r="H88" i="19" s="1"/>
  <c r="G69" i="18"/>
  <c r="D103" i="19" s="1"/>
  <c r="G76" i="19"/>
  <c r="H76" i="19" s="1"/>
  <c r="G108" i="19"/>
  <c r="H108" i="19" s="1"/>
  <c r="G105" i="19"/>
  <c r="H105" i="19" s="1"/>
  <c r="G106" i="19"/>
  <c r="H106" i="19" s="1"/>
  <c r="G107" i="19"/>
  <c r="H107" i="19" s="1"/>
  <c r="G109" i="19"/>
  <c r="H109" i="19" s="1"/>
  <c r="D86" i="19"/>
  <c r="G86" i="19" s="1"/>
  <c r="H86" i="19" s="1"/>
  <c r="E66" i="18"/>
  <c r="D114" i="19" s="1"/>
  <c r="E36" i="22"/>
  <c r="G90" i="19" l="1"/>
  <c r="H90" i="19" s="1"/>
  <c r="E90" i="19"/>
  <c r="D152" i="19"/>
  <c r="E152" i="19"/>
  <c r="G101" i="22" s="1"/>
  <c r="E72" i="18"/>
  <c r="G119" i="19"/>
  <c r="H119" i="19" s="1"/>
  <c r="D129" i="19"/>
  <c r="E129" i="19" s="1"/>
  <c r="G77" i="19"/>
  <c r="G103" i="19"/>
  <c r="H103" i="19" s="1"/>
  <c r="G102" i="19"/>
  <c r="H102" i="19" s="1"/>
  <c r="E65" i="18"/>
  <c r="G114" i="19"/>
  <c r="I85" i="18"/>
  <c r="K85" i="18" s="1"/>
  <c r="AE19" i="17"/>
  <c r="AD19" i="17"/>
  <c r="Z19" i="17"/>
  <c r="AE18" i="17"/>
  <c r="AD18" i="17"/>
  <c r="Z18" i="17"/>
  <c r="AE17" i="17"/>
  <c r="Z17" i="17"/>
  <c r="AE16" i="17"/>
  <c r="AD16" i="17"/>
  <c r="Z16" i="17"/>
  <c r="AE15" i="17"/>
  <c r="Z15" i="17"/>
  <c r="AX6" i="17"/>
  <c r="AN4" i="17"/>
  <c r="E151" i="19" l="1"/>
  <c r="G100" i="22" s="1"/>
  <c r="D151" i="19"/>
  <c r="H164" i="19"/>
  <c r="H114" i="19"/>
  <c r="C132" i="19"/>
  <c r="D139" i="19"/>
  <c r="AC17" i="17"/>
  <c r="AD17" i="17"/>
  <c r="AC18" i="17"/>
  <c r="AC19" i="17"/>
  <c r="AY5" i="17"/>
  <c r="AN5" i="17"/>
  <c r="AC16" i="17"/>
  <c r="AD15" i="17"/>
  <c r="AC15" i="17"/>
  <c r="AO4" i="17"/>
  <c r="AX5" i="17"/>
  <c r="AX8" i="17" l="1"/>
  <c r="AO5" i="17"/>
  <c r="AZ5" i="17"/>
  <c r="AP4" i="17"/>
  <c r="AN6" i="17"/>
  <c r="AY6" i="17"/>
  <c r="AQ4" i="17" l="1"/>
  <c r="AX9" i="17"/>
  <c r="AP5" i="17"/>
  <c r="BA5" i="17"/>
  <c r="AN8" i="17"/>
  <c r="AY8" i="17"/>
  <c r="AZ6" i="17"/>
  <c r="AO6" i="17"/>
  <c r="BB5" i="17" l="1"/>
  <c r="AQ5" i="17"/>
  <c r="AX10" i="17"/>
  <c r="AZ8" i="17"/>
  <c r="AO8" i="17"/>
  <c r="AR4" i="17"/>
  <c r="BA6" i="17"/>
  <c r="AP6" i="17"/>
  <c r="AY9" i="17"/>
  <c r="AN9" i="17"/>
  <c r="BC5" i="17" l="1"/>
  <c r="AR5" i="17"/>
  <c r="AO9" i="17"/>
  <c r="AZ9" i="17"/>
  <c r="BA8" i="17"/>
  <c r="AP8" i="17"/>
  <c r="BB6" i="17"/>
  <c r="AQ6" i="17"/>
  <c r="AS4" i="17"/>
  <c r="AN10" i="17"/>
  <c r="AY10" i="17"/>
  <c r="AX11" i="17"/>
  <c r="BD5" i="17" l="1"/>
  <c r="AS5" i="17"/>
  <c r="AT4" i="17"/>
  <c r="BC6" i="17"/>
  <c r="AR6" i="17"/>
  <c r="AP9" i="17"/>
  <c r="BA9" i="17"/>
  <c r="AQ8" i="17"/>
  <c r="BB8" i="17"/>
  <c r="AY11" i="17"/>
  <c r="AN11" i="17"/>
  <c r="AZ10" i="17"/>
  <c r="AO10" i="17"/>
  <c r="BD6" i="17" l="1"/>
  <c r="AS6" i="17"/>
  <c r="BB9" i="17"/>
  <c r="AQ9" i="17"/>
  <c r="AZ11" i="17"/>
  <c r="AO11" i="17"/>
  <c r="AR8" i="17"/>
  <c r="BC8" i="17"/>
  <c r="BA10" i="17"/>
  <c r="AP10" i="17"/>
  <c r="AU4" i="17"/>
  <c r="BE5" i="17"/>
  <c r="AT5" i="17"/>
  <c r="AP11" i="17" l="1"/>
  <c r="BA11" i="17"/>
  <c r="AT6" i="17"/>
  <c r="BE6" i="17"/>
  <c r="BF5" i="17"/>
  <c r="AU5" i="17"/>
  <c r="BC9" i="17"/>
  <c r="AR9" i="17"/>
  <c r="AV4" i="17"/>
  <c r="BB10" i="17"/>
  <c r="AQ10" i="17"/>
  <c r="AS8" i="17"/>
  <c r="BD8" i="17"/>
  <c r="AW4" i="17" l="1"/>
  <c r="BC10" i="17"/>
  <c r="AR10" i="17"/>
  <c r="BE8" i="17"/>
  <c r="AT8" i="17"/>
  <c r="C63" i="19"/>
  <c r="D63" i="19" s="1"/>
  <c r="AQ11" i="17"/>
  <c r="BB11" i="17"/>
  <c r="AS9" i="17"/>
  <c r="BD9" i="17"/>
  <c r="AU6" i="17"/>
  <c r="BF6" i="17"/>
  <c r="BG5" i="17"/>
  <c r="AV5" i="17"/>
  <c r="D64" i="19" l="1"/>
  <c r="D67" i="19" s="1"/>
  <c r="BE9" i="17"/>
  <c r="AT9" i="17"/>
  <c r="BG6" i="17"/>
  <c r="AV6" i="17"/>
  <c r="AS10" i="17"/>
  <c r="BD10" i="17"/>
  <c r="AR11" i="17"/>
  <c r="BC11" i="17"/>
  <c r="BF8" i="17"/>
  <c r="AU8" i="17"/>
  <c r="AW5" i="17"/>
  <c r="BH5" i="17"/>
  <c r="D112" i="19" l="1"/>
  <c r="B132" i="19" s="1"/>
  <c r="E67" i="19"/>
  <c r="BG8" i="17"/>
  <c r="AV8" i="17"/>
  <c r="BH6" i="17"/>
  <c r="AW6" i="17"/>
  <c r="AT10" i="17"/>
  <c r="BE10" i="17"/>
  <c r="AS11" i="17"/>
  <c r="BD11" i="17"/>
  <c r="BF9" i="17"/>
  <c r="AU9" i="17"/>
  <c r="D116" i="19" l="1"/>
  <c r="D150" i="19" s="1"/>
  <c r="D154" i="19" s="1"/>
  <c r="D132" i="19"/>
  <c r="G132" i="19" s="1"/>
  <c r="H132" i="19" s="1"/>
  <c r="G67" i="19"/>
  <c r="H67" i="19" s="1"/>
  <c r="BH8" i="17"/>
  <c r="AW8" i="17"/>
  <c r="BE11" i="17"/>
  <c r="AT11" i="17"/>
  <c r="AU10" i="17"/>
  <c r="BF10" i="17"/>
  <c r="BG9" i="17"/>
  <c r="AV9" i="17"/>
  <c r="E150" i="19" l="1"/>
  <c r="G99" i="22" s="1"/>
  <c r="F163" i="19"/>
  <c r="E132" i="19"/>
  <c r="AV10" i="17"/>
  <c r="BG10" i="17"/>
  <c r="AW9" i="17"/>
  <c r="BH9" i="17"/>
  <c r="BF11" i="17"/>
  <c r="AU11" i="17"/>
  <c r="E154" i="19" l="1"/>
  <c r="G103" i="22" s="1"/>
  <c r="F161" i="19"/>
  <c r="H163" i="19"/>
  <c r="G159" i="19"/>
  <c r="G160" i="19" s="1"/>
  <c r="H160" i="19" s="1"/>
  <c r="BH10" i="17"/>
  <c r="AW10" i="17"/>
  <c r="BG11" i="17"/>
  <c r="AV11" i="17"/>
  <c r="F165" i="19" l="1"/>
  <c r="F166" i="19" s="1"/>
  <c r="H159" i="19"/>
  <c r="H158" i="19" s="1"/>
  <c r="H161" i="19"/>
  <c r="BH11" i="17"/>
  <c r="AW11" i="17"/>
  <c r="H77" i="19"/>
  <c r="H165" i="19" l="1"/>
  <c r="H166" i="19" s="1"/>
  <c r="H162" i="19"/>
  <c r="E112" i="19"/>
  <c r="D136" i="19" l="1"/>
  <c r="D137" i="19" l="1"/>
  <c r="D140" i="19" s="1"/>
  <c r="D141" i="19" s="1"/>
  <c r="D114" i="22"/>
  <c r="E116" i="19"/>
  <c r="D115" i="22" l="1"/>
  <c r="D118" i="22" s="1"/>
  <c r="D119" i="22" s="1"/>
  <c r="G114" i="22"/>
  <c r="E137" i="19"/>
  <c r="E115"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tc={4C7640E0-455B-4F8E-B963-E70DB26FB952}</author>
    <author>tc={CD8E7AA3-7CDB-4256-84CB-34602499E165}</author>
    <author>Fabiola Marin</author>
    <author>tc={226BB861-57D5-4CFB-8F8C-95396BA65857}</author>
    <author>tc={502ACB76-9DB8-4174-BF37-BE2651FBBB0F}</author>
    <author>tc={C9EC846B-F668-4DEB-933F-A1503F11B862}</author>
    <author>tc={61622E54-0165-4485-88C0-A72BDED065CE}</author>
  </authors>
  <commentList>
    <comment ref="E14" authorId="0" shapeId="0" xr:uid="{4C7640E0-455B-4F8E-B963-E70DB26FB952}">
      <text>
        <t>[Comentario encadenado]
Tu versión de Excel te permite leer este comentario encadenado; sin embargo, las ediciones que se apliquen se quitarán si el archivo se abre en una versión más reciente de Excel. Más información: https://go.microsoft.com/fwlink/?linkid=870924
Comentario:
    PROVEEDOR CON EL QUE REALIZA EL CAMPO</t>
      </text>
    </comment>
    <comment ref="E15" authorId="1" shapeId="0" xr:uid="{CD8E7AA3-7CDB-4256-84CB-34602499E165}">
      <text>
        <t>[Comentario encadenado]
Tu versión de Excel te permite leer este comentario encadenado; sin embargo, las ediciones que se apliquen se quitarán si el archivo se abre en una versión más reciente de Excel. Más información: https://go.microsoft.com/fwlink/?linkid=870924
Comentario:
    PROVEEDOR CON EL QUE REALIZA EL CAMPO</t>
      </text>
    </comment>
    <comment ref="G16" authorId="2" shapeId="0" xr:uid="{794F8D87-6649-44C6-9F37-CD573EABDAEA}">
      <text>
        <r>
          <rPr>
            <b/>
            <sz val="9"/>
            <color indexed="81"/>
            <rFont val="Tahoma"/>
            <family val="2"/>
          </rPr>
          <t>Fabiola Marin:</t>
        </r>
        <r>
          <rPr>
            <sz val="9"/>
            <color indexed="81"/>
            <rFont val="Tahoma"/>
            <family val="2"/>
          </rPr>
          <t xml:space="preserve">
Seleccione el tipo de visita a realizar</t>
        </r>
      </text>
    </comment>
    <comment ref="H16" authorId="2" shapeId="0" xr:uid="{196D31DA-5E45-4C3B-9645-F051700DE016}">
      <text>
        <r>
          <rPr>
            <b/>
            <sz val="9"/>
            <color indexed="81"/>
            <rFont val="Tahoma"/>
            <family val="2"/>
          </rPr>
          <t>Fabiola Marin:</t>
        </r>
        <r>
          <rPr>
            <sz val="9"/>
            <color indexed="81"/>
            <rFont val="Tahoma"/>
            <family val="2"/>
          </rPr>
          <t xml:space="preserve">
Muestra a realizar</t>
        </r>
      </text>
    </comment>
    <comment ref="E39" authorId="2" shapeId="0" xr:uid="{FCA2844B-BC1E-4124-9CEC-CE5A5C559745}">
      <text>
        <r>
          <rPr>
            <b/>
            <sz val="9"/>
            <color indexed="81"/>
            <rFont val="Tahoma"/>
            <family val="2"/>
          </rPr>
          <t>Fabiola Marin:</t>
        </r>
        <r>
          <rPr>
            <sz val="9"/>
            <color indexed="81"/>
            <rFont val="Tahoma"/>
            <family val="2"/>
          </rPr>
          <t xml:space="preserve">
Ingresar la descripción a que corresponde el valor</t>
        </r>
      </text>
    </comment>
    <comment ref="C56" authorId="3" shapeId="0" xr:uid="{226BB861-57D5-4CFB-8F8C-95396BA65857}">
      <text>
        <t>[Comentario encadenado]
Tu versión de Excel te permite leer este comentario encadenado; sin embargo, las ediciones que se apliquen se quitarán si el archivo se abre en una versión más reciente de Excel. Más información: https://go.microsoft.com/fwlink/?linkid=870924
Comentario:
    Para Mystery y Shopper no se debe Marcarlo aquí</t>
      </text>
    </comment>
    <comment ref="C57" authorId="4" shapeId="0" xr:uid="{502ACB76-9DB8-4174-BF37-BE2651FBBB0F}">
      <text>
        <t>[Comentario encadenado]
Tu versión de Excel te permite leer este comentario encadenado; sin embargo, las ediciones que se apliquen se quitarán si el archivo se abre en una versión más reciente de Excel. Más información: https://go.microsoft.com/fwlink/?linkid=870924
Comentario:
    Para Mystery y Shopper no se debe Marcarlo aquí</t>
      </text>
    </comment>
    <comment ref="D79" authorId="5" shapeId="0" xr:uid="{C9EC846B-F668-4DEB-933F-A1503F11B862}">
      <text>
        <t>[Comentario encadenado]
Tu versión de Excel te permite leer este comentario encadenado; sin embargo, las ediciones que se apliquen se quitarán si el archivo se abre en una versión más reciente de Excel. Más información: https://go.microsoft.com/fwlink/?linkid=870924
Comentario:
    Se recomienda mínimo 4 horas</t>
      </text>
    </comment>
    <comment ref="D80" authorId="6" shapeId="0" xr:uid="{61622E54-0165-4485-88C0-A72BDED065CE}">
      <text>
        <t>[Comentario encadenado]
Tu versión de Excel te permite leer este comentario encadenado; sin embargo, las ediciones que se apliquen se quitarán si el archivo se abre en una versión más reciente de Excel. Más información: https://go.microsoft.com/fwlink/?linkid=870924
Comentario:
    Mínimo 3 por cada 2 Mysterys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Luisa Lozada</author>
    <author>Fabiola Marin</author>
  </authors>
  <commentList>
    <comment ref="F17" authorId="0" shapeId="0" xr:uid="{40D3A26C-43C4-49D4-B51B-A0D87976EBE1}">
      <text>
        <r>
          <rPr>
            <b/>
            <sz val="9"/>
            <color indexed="81"/>
            <rFont val="Tahoma"/>
            <family val="2"/>
          </rPr>
          <t>Luisa Lozada:</t>
        </r>
        <r>
          <rPr>
            <sz val="9"/>
            <color indexed="81"/>
            <rFont val="Tahoma"/>
            <family val="2"/>
          </rPr>
          <t xml:space="preserve">
Cuantas visitas por hora</t>
        </r>
      </text>
    </comment>
    <comment ref="H18" authorId="0" shapeId="0" xr:uid="{DCBEDAA6-02D4-4835-8BE2-603C289A571A}">
      <text>
        <r>
          <rPr>
            <b/>
            <sz val="9"/>
            <color indexed="81"/>
            <rFont val="Tahoma"/>
            <family val="2"/>
          </rPr>
          <t>Luisa Lozada:</t>
        </r>
        <r>
          <rPr>
            <sz val="9"/>
            <color indexed="81"/>
            <rFont val="Tahoma"/>
            <family val="2"/>
          </rPr>
          <t xml:space="preserve">
Cuantas visitas por hora</t>
        </r>
      </text>
    </comment>
    <comment ref="J19" authorId="0" shapeId="0" xr:uid="{6B417851-BD21-4EE8-B741-20FBA6AD5E60}">
      <text>
        <r>
          <rPr>
            <b/>
            <sz val="9"/>
            <color indexed="81"/>
            <rFont val="Tahoma"/>
            <family val="2"/>
          </rPr>
          <t>Luisa Lozada:</t>
        </r>
        <r>
          <rPr>
            <sz val="9"/>
            <color indexed="81"/>
            <rFont val="Tahoma"/>
            <family val="2"/>
          </rPr>
          <t xml:space="preserve">
Cuantas visitas por hora</t>
        </r>
      </text>
    </comment>
    <comment ref="F23" authorId="0" shapeId="0" xr:uid="{19757C1F-AB79-4FCC-B00D-0CA59B59833A}">
      <text>
        <r>
          <rPr>
            <b/>
            <sz val="9"/>
            <color indexed="81"/>
            <rFont val="Tahoma"/>
            <family val="2"/>
          </rPr>
          <t>Luisa Lozada:</t>
        </r>
        <r>
          <rPr>
            <sz val="9"/>
            <color indexed="81"/>
            <rFont val="Tahoma"/>
            <family val="2"/>
          </rPr>
          <t xml:space="preserve">
Aquí se debe poner el valor de viáticos reportado por coordinación</t>
        </r>
      </text>
    </comment>
    <comment ref="H23" authorId="0" shapeId="0" xr:uid="{82F441E1-3B3D-4529-B511-E433B4335263}">
      <text>
        <r>
          <rPr>
            <b/>
            <sz val="9"/>
            <color indexed="81"/>
            <rFont val="Tahoma"/>
            <family val="2"/>
          </rPr>
          <t>Luisa Lozada:</t>
        </r>
        <r>
          <rPr>
            <sz val="9"/>
            <color indexed="81"/>
            <rFont val="Tahoma"/>
            <family val="2"/>
          </rPr>
          <t xml:space="preserve">
Aquí se debe poner el valor de viáticos reportado por coordinación</t>
        </r>
      </text>
    </comment>
    <comment ref="J23" authorId="0" shapeId="0" xr:uid="{7EE65BF7-4F2A-4F50-9C28-7F3AF2A232B8}">
      <text>
        <r>
          <rPr>
            <b/>
            <sz val="9"/>
            <color indexed="81"/>
            <rFont val="Tahoma"/>
            <family val="2"/>
          </rPr>
          <t>Luisa Lozada:</t>
        </r>
        <r>
          <rPr>
            <sz val="9"/>
            <color indexed="81"/>
            <rFont val="Tahoma"/>
            <family val="2"/>
          </rPr>
          <t xml:space="preserve">
Aquí se debe poner el valor de viáticos reportado por coordinación</t>
        </r>
      </text>
    </comment>
    <comment ref="F24" authorId="0" shapeId="0" xr:uid="{4E338466-F627-46E0-A85D-1043C6F48E28}">
      <text>
        <r>
          <rPr>
            <b/>
            <sz val="9"/>
            <color indexed="81"/>
            <rFont val="Tahoma"/>
            <family val="2"/>
          </rPr>
          <t>Luisa Lozada:</t>
        </r>
        <r>
          <rPr>
            <sz val="9"/>
            <color indexed="81"/>
            <rFont val="Tahoma"/>
            <family val="2"/>
          </rPr>
          <t xml:space="preserve">
Aquí se debe poner el valor de viáticos reportado por coordinación</t>
        </r>
      </text>
    </comment>
    <comment ref="H24" authorId="0" shapeId="0" xr:uid="{F69CF515-5B3C-4D7E-BB37-AAA8680778DD}">
      <text>
        <r>
          <rPr>
            <b/>
            <sz val="9"/>
            <color indexed="81"/>
            <rFont val="Tahoma"/>
            <family val="2"/>
          </rPr>
          <t>Luisa Lozada:</t>
        </r>
        <r>
          <rPr>
            <sz val="9"/>
            <color indexed="81"/>
            <rFont val="Tahoma"/>
            <family val="2"/>
          </rPr>
          <t xml:space="preserve">
Aquí se debe poner el valor de viáticos reportado por coordinación</t>
        </r>
      </text>
    </comment>
    <comment ref="J24" authorId="0" shapeId="0" xr:uid="{06568C55-F100-488B-9969-AC489DAA924D}">
      <text>
        <r>
          <rPr>
            <b/>
            <sz val="9"/>
            <color indexed="81"/>
            <rFont val="Tahoma"/>
            <family val="2"/>
          </rPr>
          <t>Luisa Lozada:</t>
        </r>
        <r>
          <rPr>
            <sz val="9"/>
            <color indexed="81"/>
            <rFont val="Tahoma"/>
            <family val="2"/>
          </rPr>
          <t xml:space="preserve">
Aquí se debe poner el valor de viáticos reportado por coordinación</t>
        </r>
      </text>
    </comment>
    <comment ref="F26" authorId="1" shapeId="0" xr:uid="{7B4AE019-1EE3-4721-A27D-5FC8F7E00B9C}">
      <text>
        <r>
          <rPr>
            <b/>
            <sz val="9"/>
            <color indexed="81"/>
            <rFont val="Tahoma"/>
            <family val="2"/>
          </rPr>
          <t>Fabiola Marin:</t>
        </r>
        <r>
          <rPr>
            <sz val="9"/>
            <color indexed="81"/>
            <rFont val="Tahoma"/>
            <family val="2"/>
          </rPr>
          <t xml:space="preserve">
Si coloca No multiplicar por uno
</t>
        </r>
      </text>
    </comment>
    <comment ref="E42" authorId="0" shapeId="0" xr:uid="{5C77F4AA-D5B4-4DDE-A9F0-6289AC737F6F}">
      <text>
        <r>
          <rPr>
            <b/>
            <sz val="9"/>
            <color indexed="81"/>
            <rFont val="Tahoma"/>
            <family val="2"/>
          </rPr>
          <t>Luisa Lozada:</t>
        </r>
        <r>
          <rPr>
            <sz val="9"/>
            <color indexed="81"/>
            <rFont val="Tahoma"/>
            <family val="2"/>
          </rPr>
          <t xml:space="preserve">
CONFIRMAR PLAN ANUAL CLEMENCIA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tc={D428A22D-0B06-4B73-A443-85213C3BAB3C}</author>
    <author>tc={75877C52-18FF-4D4C-BA59-17F15E0418B1}</author>
    <author>tc={FE22CC1A-6923-4CA8-91BA-6BD7F1F2D64C}</author>
    <author>tc={75259F7F-8167-455C-93E4-5052F2F15F58}</author>
    <author>tc={E84C1B86-AD5E-472D-A152-078B589007D2}</author>
    <author>tc={E9A0EE0E-3723-47C4-8A24-F2CE600A7AD3}</author>
    <author>tc={D31EA2FD-2198-4405-86B0-8679E3CE440E}</author>
    <author>tc={02B4E172-E108-4B8C-B607-2798F9F0EFB5}</author>
    <author>tc={32817303-790C-48D8-A9BC-7E1A1E4BC93F}</author>
    <author>tc={4DB6728E-3942-4945-9D52-F76998D043C6}</author>
    <author>tc={A507CDC0-F237-45B9-8A0C-1C34D0691C50}</author>
    <author>tc={173C568E-5805-4B2A-B3B4-85C8ABBFE6BA}</author>
    <author>tc={F124ADE4-8789-4C4B-91B0-CFA8A2CF5B81}</author>
    <author>tc={CA41ED6B-5EB8-43AF-9071-940C8537F973}</author>
    <author>tc={E3C40D6D-4EA5-4AE4-9418-53D9AA939F74}</author>
    <author>tc={4EF3C593-0880-473F-A036-98854FF96AF6}</author>
    <author>tc={0974AE8B-871C-4711-8162-CB380B015589}</author>
    <author>tc={9FDA844D-C769-4096-8DDE-6A5F8032909F}</author>
    <author>tc={F4C151E4-9055-4EB8-A3B1-8A996BC121E4}</author>
  </authors>
  <commentList>
    <comment ref="C79" authorId="0" shapeId="0" xr:uid="{D428A22D-0B06-4B73-A443-85213C3BAB3C}">
      <text>
        <t>[Comentario encadenado]
Tu versión de Excel te permite leer este comentario encadenado; sin embargo, las ediciones que se apliquen se quitarán si el archivo se abre en una versión más reciente de Excel. Más información: https://go.microsoft.com/fwlink/?linkid=870924
Comentario:
    3261 valor del transporte/5 encuestas</t>
      </text>
    </comment>
    <comment ref="B85" authorId="1" shapeId="0" xr:uid="{75877C52-18FF-4D4C-BA59-17F15E0418B1}">
      <text>
        <t>[Comentario encadenado]
Tu versión de Excel te permite leer este comentario encadenado; sin embargo, las ediciones que se apliquen se quitarán si el archivo se abre en una versión más reciente de Excel. Más información: https://go.microsoft.com/fwlink/?linkid=870924
Comentario:
    2 días por cada estudio</t>
      </text>
    </comment>
    <comment ref="B86" authorId="2" shapeId="0" xr:uid="{FE22CC1A-6923-4CA8-91BA-6BD7F1F2D64C}">
      <text>
        <t>[Comentario encadenado]
Tu versión de Excel te permite leer este comentario encadenado; sin embargo, las ediciones que se apliquen se quitarán si el archivo se abre en una versión más reciente de Excel. Más información: https://go.microsoft.com/fwlink/?linkid=870924
Comentario:
    Solo si no se recluta el 100%, se utiliza como apoyo para falla del reclutamiento, $81.000 por día</t>
      </text>
    </comment>
    <comment ref="B87" authorId="3" shapeId="0" xr:uid="{75259F7F-8167-455C-93E4-5052F2F15F58}">
      <text>
        <t>[Comentario encadenado]
Tu versión de Excel te permite leer este comentario encadenado; sin embargo, las ediciones que se apliquen se quitarán si el archivo se abre en una versión más reciente de Excel. Más información: https://go.microsoft.com/fwlink/?linkid=870924
Comentario:
    Personas de apoyo para servir y pasar producto, $81.000 día, se sugiere mínimo 2 por estudio</t>
      </text>
    </comment>
    <comment ref="C89" authorId="4" shapeId="0" xr:uid="{E84C1B86-AD5E-472D-A152-078B589007D2}">
      <text>
        <t>[Comentario encadenado]
Tu versión de Excel te permite leer este comentario encadenado; sin embargo, las ediciones que se apliquen se quitarán si el archivo se abre en una versión más reciente de Excel. Más información: https://go.microsoft.com/fwlink/?linkid=870924
Comentario:
    Valor por hoja</t>
      </text>
    </comment>
    <comment ref="B92" authorId="5" shapeId="0" xr:uid="{E9A0EE0E-3723-47C4-8A24-F2CE600A7AD3}">
      <text>
        <t>[Comentario encadenado]
Tu versión de Excel te permite leer este comentario encadenado; sin embargo, las ediciones que se apliquen se quitarán si el archivo se abre en una versión más reciente de Excel. Más información: https://go.microsoft.com/fwlink/?linkid=870924
Comentario:
    3 Horas
Respuesta:
    Incluye parafiscales</t>
      </text>
    </comment>
    <comment ref="B93" authorId="6" shapeId="0" xr:uid="{D31EA2FD-2198-4405-86B0-8679E3CE440E}">
      <text>
        <t>[Comentario encadenado]
Tu versión de Excel te permite leer este comentario encadenado; sin embargo, las ediciones que se apliquen se quitarán si el archivo se abre en una versión más reciente de Excel. Más información: https://go.microsoft.com/fwlink/?linkid=870924
Comentario:
    8 horas, 20% de encuestas</t>
      </text>
    </comment>
    <comment ref="B94" authorId="7" shapeId="0" xr:uid="{02B4E172-E108-4B8C-B607-2798F9F0EFB5}">
      <text>
        <t>[Comentario encadenado]
Tu versión de Excel te permite leer este comentario encadenado; sin embargo, las ediciones que se apliquen se quitarán si el archivo se abre en una versión más reciente de Excel. Más información: https://go.microsoft.com/fwlink/?linkid=870924
Comentario:
    31 Horas</t>
      </text>
    </comment>
    <comment ref="B95" authorId="8" shapeId="0" xr:uid="{32817303-790C-48D8-A9BC-7E1A1E4BC93F}">
      <text>
        <t>[Comentario encadenado]
Tu versión de Excel te permite leer este comentario encadenado; sin embargo, las ediciones que se apliquen se quitarán si el archivo se abre en una versión más reciente de Excel. Más información: https://go.microsoft.com/fwlink/?linkid=870924
Comentario:
    165 Minutos</t>
      </text>
    </comment>
    <comment ref="D95" authorId="9" shapeId="0" xr:uid="{4DB6728E-3942-4945-9D52-F76998D043C6}">
      <text>
        <t>[Comentario encadenado]
Tu versión de Excel te permite leer este comentario encadenado; sin embargo, las ediciones que se apliquen se quitarán si el archivo se abre en una versión más reciente de Excel. Más información: https://go.microsoft.com/fwlink/?linkid=870924
Comentario:
    5 min por encuesta</t>
      </text>
    </comment>
    <comment ref="B97" authorId="10" shapeId="0" xr:uid="{A507CDC0-F237-45B9-8A0C-1C34D0691C50}">
      <text>
        <t>[Comentario encadenado]
Tu versión de Excel te permite leer este comentario encadenado; sin embargo, las ediciones que se apliquen se quitarán si el archivo se abre en una versión más reciente de Excel. Más información: https://go.microsoft.com/fwlink/?linkid=870924
Comentario:
    100% de la muestra y realizan 300 encuestas en 4 horas</t>
      </text>
    </comment>
    <comment ref="B119" authorId="11" shapeId="0" xr:uid="{173C568E-5805-4B2A-B3B4-85C8ABBFE6BA}">
      <text>
        <t>[Comentario encadenado]
Tu versión de Excel te permite leer este comentario encadenado; sin embargo, las ediciones que se apliquen se quitarán si el archivo se abre en una versión más reciente de Excel. Más información: https://go.microsoft.com/fwlink/?linkid=870924
Comentario:
    Valor Hora</t>
      </text>
    </comment>
    <comment ref="B120" authorId="12" shapeId="0" xr:uid="{F124ADE4-8789-4C4B-91B0-CFA8A2CF5B8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18 Horas
</t>
      </text>
    </comment>
    <comment ref="B121" authorId="13" shapeId="0" xr:uid="{CA41ED6B-5EB8-43AF-9071-940C8537F97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18 Horas
</t>
      </text>
    </comment>
    <comment ref="B122" authorId="14" shapeId="0" xr:uid="{E3C40D6D-4EA5-4AE4-9418-53D9AA939F74}">
      <text>
        <t>[Comentario encadenado]
Tu versión de Excel te permite leer este comentario encadenado; sin embargo, las ediciones que se apliquen se quitarán si el archivo se abre en una versión más reciente de Excel. Más información: https://go.microsoft.com/fwlink/?linkid=870924
Comentario:
    41 Horas</t>
      </text>
    </comment>
    <comment ref="B123" authorId="15" shapeId="0" xr:uid="{4EF3C593-0880-473F-A036-98854FF96AF6}">
      <text>
        <t>[Comentario encadenado]
Tu versión de Excel te permite leer este comentario encadenado; sin embargo, las ediciones que se apliquen se quitarán si el archivo se abre en una versión más reciente de Excel. Más información: https://go.microsoft.com/fwlink/?linkid=870924
Comentario:
    41 Horas</t>
      </text>
    </comment>
    <comment ref="B124" authorId="16" shapeId="0" xr:uid="{0974AE8B-871C-4711-8162-CB380B015589}">
      <text>
        <t>[Comentario encadenado]
Tu versión de Excel te permite leer este comentario encadenado; sin embargo, las ediciones que se apliquen se quitarán si el archivo se abre en una versión más reciente de Excel. Más información: https://go.microsoft.com/fwlink/?linkid=870924
Comentario:
    18 Horas</t>
      </text>
    </comment>
    <comment ref="B125" authorId="17" shapeId="0" xr:uid="{9FDA844D-C769-4096-8DDE-6A5F8032909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18 Horas
</t>
      </text>
    </comment>
    <comment ref="B126" authorId="18" shapeId="0" xr:uid="{F4C151E4-9055-4EB8-A3B1-8A996BC121E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18 Horas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tc={8937AD7D-854F-4E87-99FD-A1216397A1A9}</author>
    <author>tc={97500F29-C51E-4A1C-9BAB-5E8C7D439323}</author>
    <author>tc={064ED248-A0B0-4A14-8066-643BD9D60573}</author>
    <author>tc={B1FACB93-64E7-4F82-978B-E03543D5A627}</author>
    <author>tc={6F96FE4C-8843-43C0-A3FC-200457C2C85B}</author>
    <author>tc={6BC26A80-226B-4D3C-BB7E-9018A09F35A2}</author>
  </authors>
  <commentList>
    <comment ref="B21" authorId="0" shapeId="0" xr:uid="{8937AD7D-854F-4E87-99FD-A1216397A1A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5 por ciudad </t>
      </text>
    </comment>
    <comment ref="B22" authorId="1" shapeId="0" xr:uid="{97500F29-C51E-4A1C-9BAB-5E8C7D439323}">
      <text>
        <t>[Comentario encadenado]
Tu versión de Excel te permite leer este comentario encadenado; sin embargo, las ediciones que se apliquen se quitarán si el archivo se abre en una versión más reciente de Excel. Más información: https://go.microsoft.com/fwlink/?linkid=870924
Comentario:
    5 por ciudad</t>
      </text>
    </comment>
    <comment ref="B23" authorId="2" shapeId="0" xr:uid="{064ED248-A0B0-4A14-8066-643BD9D60573}">
      <text>
        <t>[Comentario encadenado]
Tu versión de Excel te permite leer este comentario encadenado; sin embargo, las ediciones que se apliquen se quitarán si el archivo se abre en una versión más reciente de Excel. Más información: https://go.microsoft.com/fwlink/?linkid=870924
Comentario:
    4 por ciudad</t>
      </text>
    </comment>
    <comment ref="B24" authorId="3" shapeId="0" xr:uid="{B1FACB93-64E7-4F82-978B-E03543D5A627}">
      <text>
        <t>[Comentario encadenado]
Tu versión de Excel te permite leer este comentario encadenado; sin embargo, las ediciones que se apliquen se quitarán si el archivo se abre en una versión más reciente de Excel. Más información: https://go.microsoft.com/fwlink/?linkid=870924
Comentario:
    8 por ciudad</t>
      </text>
    </comment>
    <comment ref="B25" authorId="4" shapeId="0" xr:uid="{6F96FE4C-8843-43C0-A3FC-200457C2C85B}">
      <text>
        <t>[Comentario encadenado]
Tu versión de Excel te permite leer este comentario encadenado; sin embargo, las ediciones que se apliquen se quitarán si el archivo se abre en una versión más reciente de Excel. Más información: https://go.microsoft.com/fwlink/?linkid=870924
Comentario:
    1 paq. Por ciudad</t>
      </text>
    </comment>
    <comment ref="D101" authorId="5" shapeId="0" xr:uid="{6BC26A80-226B-4D3C-BB7E-9018A09F35A2}">
      <text>
        <t>[Comentario encadenado]
Tu versión de Excel te permite leer este comentario encadenado; sin embargo, las ediciones que se apliquen se quitarán si el archivo se abre en una versión más reciente de Excel. Más información: https://go.microsoft.com/fwlink/?linkid=870924
Comentario:
    Adicional grms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<sst xmlns="http://schemas.openxmlformats.org/spreadsheetml/2006/main" count="6352" uniqueCount="2457">
  <si>
    <t>Nombre Propuesta</t>
  </si>
  <si>
    <t>Grupo Objetivo</t>
  </si>
  <si>
    <t>Cliente</t>
  </si>
  <si>
    <t>SL</t>
  </si>
  <si>
    <t>INNO</t>
  </si>
  <si>
    <t>Metodología</t>
  </si>
  <si>
    <t>IPD001  Product Test</t>
  </si>
  <si>
    <t>Record Detail</t>
  </si>
  <si>
    <t>Ops</t>
  </si>
  <si>
    <t>Producto</t>
  </si>
  <si>
    <t>Laundry</t>
  </si>
  <si>
    <t>Envío a ciudades</t>
  </si>
  <si>
    <t>No</t>
  </si>
  <si>
    <t>Ciudades</t>
  </si>
  <si>
    <t xml:space="preserve">Muestra </t>
  </si>
  <si>
    <t>NSE 1</t>
  </si>
  <si>
    <t>NSE 2</t>
  </si>
  <si>
    <t>NSE 3</t>
  </si>
  <si>
    <t>NSE 4</t>
  </si>
  <si>
    <t>NSE 5</t>
  </si>
  <si>
    <t>NSE 6</t>
  </si>
  <si>
    <t>Bogota</t>
  </si>
  <si>
    <t>B/quilla</t>
  </si>
  <si>
    <t>M/llin</t>
  </si>
  <si>
    <t>Cali</t>
  </si>
  <si>
    <t>B/manga</t>
  </si>
  <si>
    <t>C/gena</t>
  </si>
  <si>
    <t>Otras Ciudades</t>
  </si>
  <si>
    <t>Etiquetado o Empaque(Dosificarlo),blind, o prueba a ciegas</t>
  </si>
  <si>
    <t xml:space="preserve">Etiquetado </t>
  </si>
  <si>
    <t xml:space="preserve">Embalaje </t>
  </si>
  <si>
    <t># Producto a testear</t>
  </si>
  <si>
    <t># Product por respondiente</t>
  </si>
  <si>
    <t># Patinadores por ciudad</t>
  </si>
  <si>
    <t>Requiere Script para reclutamiento</t>
  </si>
  <si>
    <t>Si</t>
  </si>
  <si>
    <t>Apoyo Reclutamiento en sitio</t>
  </si>
  <si>
    <t>Parcial</t>
  </si>
  <si>
    <t>Duracion</t>
  </si>
  <si>
    <t>6-10 minutos</t>
  </si>
  <si>
    <t># Preguntas abiertas</t>
  </si>
  <si>
    <t># Preguntas abiertas Multiples</t>
  </si>
  <si>
    <t>Otros</t>
  </si>
  <si>
    <t>Top line</t>
  </si>
  <si>
    <t>Datacleaning</t>
  </si>
  <si>
    <t>Conversión/generación archivos ASCII y otros</t>
  </si>
  <si>
    <t>Scripting</t>
  </si>
  <si>
    <t>Codificación</t>
  </si>
  <si>
    <t>Procesamiento</t>
  </si>
  <si>
    <t># Procesamientos</t>
  </si>
  <si>
    <t>Requiere proceso Estadistico</t>
  </si>
  <si>
    <t>Días de Set up</t>
  </si>
  <si>
    <t>#Días de campo</t>
  </si>
  <si>
    <t># Pag. Reprografia/ Tarjetas</t>
  </si>
  <si>
    <t>Incidencia</t>
  </si>
  <si>
    <t>46-54%</t>
  </si>
  <si>
    <t xml:space="preserve"> Metodologías VS Horas por cargo SL</t>
  </si>
  <si>
    <t>Horas Minimas</t>
  </si>
  <si>
    <t>Horas Presupuestadas</t>
  </si>
  <si>
    <t>Valor Total</t>
  </si>
  <si>
    <t>L3</t>
  </si>
  <si>
    <t>L4</t>
  </si>
  <si>
    <t>L5</t>
  </si>
  <si>
    <t>L6</t>
  </si>
  <si>
    <t>L7</t>
  </si>
  <si>
    <t>Total</t>
  </si>
  <si>
    <t>Estadistica</t>
  </si>
  <si>
    <t>TopLines</t>
  </si>
  <si>
    <t>Staff OPS</t>
  </si>
  <si>
    <t>Valor Unitario</t>
  </si>
  <si>
    <t>AOT</t>
  </si>
  <si>
    <t>Direct cost OPS</t>
  </si>
  <si>
    <t>GM</t>
  </si>
  <si>
    <t>OP SL/Ops</t>
  </si>
  <si>
    <t>PB+RMF</t>
  </si>
  <si>
    <t>Prof Time</t>
  </si>
  <si>
    <t>OP</t>
  </si>
  <si>
    <t>%OP</t>
  </si>
  <si>
    <t xml:space="preserve">Emabalaje </t>
  </si>
  <si>
    <t>Muestra</t>
  </si>
  <si>
    <t>Sobre Muestra</t>
  </si>
  <si>
    <t>Productividad</t>
  </si>
  <si>
    <t>#Días</t>
  </si>
  <si>
    <t># Pag. Reprografia</t>
  </si>
  <si>
    <t># Horas DP</t>
  </si>
  <si>
    <t># de Encuestadores</t>
  </si>
  <si>
    <t># de Supervisores</t>
  </si>
  <si>
    <t>Valor por encuesta a encuestador sin parafiscales</t>
  </si>
  <si>
    <t>Parafiscales</t>
  </si>
  <si>
    <t>Tasa Cambiaria</t>
  </si>
  <si>
    <t>Junio</t>
  </si>
  <si>
    <t>Valor encuestas</t>
  </si>
  <si>
    <t>Reclutamiento</t>
  </si>
  <si>
    <t>Insumos Productos para Pruebas</t>
  </si>
  <si>
    <t>Rotulación, marcación, tapar marca</t>
  </si>
  <si>
    <t>Transporte Enc.</t>
  </si>
  <si>
    <t>Transporte Superv.</t>
  </si>
  <si>
    <t>Tpe Locaciones</t>
  </si>
  <si>
    <t>Apoyo Compras</t>
  </si>
  <si>
    <t>Apoyo Reclutador en sitio</t>
  </si>
  <si>
    <t>Apoyo Pasantes 2xCiudad</t>
  </si>
  <si>
    <t>Apoyo Puerta OPS Bta</t>
  </si>
  <si>
    <t>Reprografía</t>
  </si>
  <si>
    <t>Supervisión de campo personal</t>
  </si>
  <si>
    <t xml:space="preserve">Coordinación Campo </t>
  </si>
  <si>
    <t>Entrenamiento</t>
  </si>
  <si>
    <t>Verificación</t>
  </si>
  <si>
    <t>Codificacion</t>
  </si>
  <si>
    <t>Verificacion-Campo Costo telefónico</t>
  </si>
  <si>
    <t>Crítica Encuestas</t>
  </si>
  <si>
    <t>Tablets</t>
  </si>
  <si>
    <t>Alojamiento en Ifield (0,19)</t>
  </si>
  <si>
    <t>Locacion btá</t>
  </si>
  <si>
    <t>Locacion Mdellín</t>
  </si>
  <si>
    <t>Locación Barranquilla</t>
  </si>
  <si>
    <t>Locación cali</t>
  </si>
  <si>
    <t>Vr por encuesta</t>
  </si>
  <si>
    <t>Total costo Directo</t>
  </si>
  <si>
    <t>Compra de producto</t>
  </si>
  <si>
    <t xml:space="preserve">Incentivos </t>
  </si>
  <si>
    <t>Total con Incentivos</t>
  </si>
  <si>
    <t>Total GM 21,45%</t>
  </si>
  <si>
    <t>Staff PMO</t>
  </si>
  <si>
    <t>Scripting reclutamiento</t>
  </si>
  <si>
    <t>Staff con GM</t>
  </si>
  <si>
    <t>Duración</t>
  </si>
  <si>
    <t># Ciudades</t>
  </si>
  <si>
    <t># de Productos</t>
  </si>
  <si>
    <t>CIUDAD</t>
  </si>
  <si>
    <t>Enc</t>
  </si>
  <si>
    <t>Prod</t>
  </si>
  <si>
    <t>Dias</t>
  </si>
  <si>
    <t>Sup</t>
  </si>
  <si>
    <t>Log</t>
  </si>
  <si>
    <t>Insumos CLT</t>
  </si>
  <si>
    <t>Precio 2024</t>
  </si>
  <si>
    <t>Unid</t>
  </si>
  <si>
    <t>Cantidad</t>
  </si>
  <si>
    <t>agua Prueba</t>
  </si>
  <si>
    <t>platos</t>
  </si>
  <si>
    <t>galletas soda</t>
  </si>
  <si>
    <t>vasos Agua</t>
  </si>
  <si>
    <t>vasos Murano</t>
  </si>
  <si>
    <t>servilletas</t>
  </si>
  <si>
    <t>bolsas basura</t>
  </si>
  <si>
    <t>guantes nitrilo</t>
  </si>
  <si>
    <t>Cofias</t>
  </si>
  <si>
    <t>delantales desechables</t>
  </si>
  <si>
    <t>Rollo de papel secante</t>
  </si>
  <si>
    <t>Gel antibacterial</t>
  </si>
  <si>
    <t>Alcohol</t>
  </si>
  <si>
    <t>Toalla de Mano</t>
  </si>
  <si>
    <t>Tapabocas</t>
  </si>
  <si>
    <t>Tapabocas Entrevistados</t>
  </si>
  <si>
    <t>Jabon liquido</t>
  </si>
  <si>
    <t>Jabo lavaloza</t>
  </si>
  <si>
    <t>Esponjas</t>
  </si>
  <si>
    <t>Guantes de cocina</t>
  </si>
  <si>
    <t>Envase gel</t>
  </si>
  <si>
    <t>Envio Prod a Mllin</t>
  </si>
  <si>
    <t>Envio Prod a BAQ</t>
  </si>
  <si>
    <t>Envio Prod a Data System</t>
  </si>
  <si>
    <t>Valor</t>
  </si>
  <si>
    <t>Reclutamiento NSE  5 - 6</t>
  </si>
  <si>
    <t>Reclutamiento NSE 4</t>
  </si>
  <si>
    <t>Reclutamiento NSE 3</t>
  </si>
  <si>
    <t>Reclutamiento NSE 1-2</t>
  </si>
  <si>
    <t>Obsequios NSE 5-6</t>
  </si>
  <si>
    <t>Sin gross ops</t>
  </si>
  <si>
    <t>Cencosud</t>
  </si>
  <si>
    <t>Virtual</t>
  </si>
  <si>
    <t>No hay comisión no hay cobros adicionales</t>
  </si>
  <si>
    <t>Obsequios NSE 4</t>
  </si>
  <si>
    <t>Fisico</t>
  </si>
  <si>
    <t>MSU</t>
  </si>
  <si>
    <t>Obsequios NSE 3</t>
  </si>
  <si>
    <t>Obsequios NSE 2-1</t>
  </si>
  <si>
    <t>Éxito</t>
  </si>
  <si>
    <t>Comisión del 3%</t>
  </si>
  <si>
    <t>Valor adicional por el envio</t>
  </si>
  <si>
    <t>Comisión de los bonos</t>
  </si>
  <si>
    <t>Total con comisión</t>
  </si>
  <si>
    <t>con gross ops, %</t>
  </si>
  <si>
    <t>D1</t>
  </si>
  <si>
    <t>Hasta ahora vamos a manejarlo</t>
  </si>
  <si>
    <t>Fisico aumenta 15.000</t>
  </si>
  <si>
    <t>Usearch Transferencia bancarias desde México</t>
  </si>
  <si>
    <t>Comisión  6%</t>
  </si>
  <si>
    <t>Pago inmediato</t>
  </si>
  <si>
    <t>Angelica Maldonado</t>
  </si>
  <si>
    <t>Comisión  8%</t>
  </si>
  <si>
    <t xml:space="preserve">Fotocopias </t>
  </si>
  <si>
    <t>Costo Unitario</t>
  </si>
  <si>
    <t>ID</t>
  </si>
  <si>
    <t>ACTIVIDAD</t>
  </si>
  <si>
    <t>PRESUPUESTADO</t>
  </si>
  <si>
    <t>UNIDADES</t>
  </si>
  <si>
    <t>DESCRIPCION</t>
  </si>
  <si>
    <t>HORAS</t>
  </si>
  <si>
    <t>Transportes PST Encuestadores</t>
  </si>
  <si>
    <t>Transportes PST Supervisores</t>
  </si>
  <si>
    <t>Bimbo</t>
  </si>
  <si>
    <t>Duplicar cuestionarios e instructivos</t>
  </si>
  <si>
    <t>Paginas</t>
  </si>
  <si>
    <t>Realización encuestas personal</t>
  </si>
  <si>
    <t>Campo Coordinación</t>
  </si>
  <si>
    <t>Verificacion Campo</t>
  </si>
  <si>
    <t>Horas</t>
  </si>
  <si>
    <t>Entrenamiento a equipos de campo</t>
  </si>
  <si>
    <t>Reclutamiento campo presencial</t>
  </si>
  <si>
    <t>Reclutados</t>
  </si>
  <si>
    <t>Productos para pruebas</t>
  </si>
  <si>
    <t>Productos</t>
  </si>
  <si>
    <t>Apoyo logistico localizacion central</t>
  </si>
  <si>
    <t>Minutos</t>
  </si>
  <si>
    <t>&lt;-Encuestas-Horas-&gt;</t>
  </si>
  <si>
    <t>3200 GR</t>
  </si>
  <si>
    <t>1 Gramo a Kilos</t>
  </si>
  <si>
    <t>Gramos a Kilos</t>
  </si>
  <si>
    <t>gramos</t>
  </si>
  <si>
    <t>Kilos</t>
  </si>
  <si>
    <t>Kilos cobrados</t>
  </si>
  <si>
    <t>1er Kilo</t>
  </si>
  <si>
    <t>Kl adicional</t>
  </si>
  <si>
    <t>KEY</t>
  </si>
  <si>
    <t>Record_Detail_Level</t>
  </si>
  <si>
    <t>Metodologia</t>
  </si>
  <si>
    <t>Horas PMO</t>
  </si>
  <si>
    <t>RESEARCH COP</t>
  </si>
  <si>
    <t>Loaded Cost Rate</t>
  </si>
  <si>
    <t>Inno</t>
  </si>
  <si>
    <t>CEX</t>
  </si>
  <si>
    <t>BHT</t>
  </si>
  <si>
    <t>CRE</t>
  </si>
  <si>
    <t>HEC</t>
  </si>
  <si>
    <t>IUU</t>
  </si>
  <si>
    <t>PA</t>
  </si>
  <si>
    <t>Strategy3</t>
  </si>
  <si>
    <t>Más Alto</t>
  </si>
  <si>
    <t>IIS</t>
  </si>
  <si>
    <t>-</t>
  </si>
  <si>
    <t>Research - Level 1</t>
  </si>
  <si>
    <t>Digital</t>
  </si>
  <si>
    <t>Research - Level 2</t>
  </si>
  <si>
    <t>Research - Level 3</t>
  </si>
  <si>
    <t>Research - Level 4</t>
  </si>
  <si>
    <t>Research - Level 5</t>
  </si>
  <si>
    <t>Research - Level 6</t>
  </si>
  <si>
    <t>ICI001  Custom Inno &amp; Forecasting</t>
  </si>
  <si>
    <t>Research - Level 7</t>
  </si>
  <si>
    <t>OPS  COP</t>
  </si>
  <si>
    <t>Billing Rate
Standard</t>
  </si>
  <si>
    <t>PROFESIONAL TIME (HORAS EN I-TIME)</t>
  </si>
  <si>
    <t>INC002  Inno Line</t>
  </si>
  <si>
    <t>TARIFAS PRODUCTIVIDAD</t>
  </si>
  <si>
    <t>EN COP</t>
  </si>
  <si>
    <t>LIDER DE VERIFICACION</t>
  </si>
  <si>
    <t>LIDER DE CRITICA</t>
  </si>
  <si>
    <t>INC003  Inno Price</t>
  </si>
  <si>
    <t>ASISTENTE CRITICA</t>
  </si>
  <si>
    <t>ASISTENTE VERIFICACION</t>
  </si>
  <si>
    <t>CODIFICACION</t>
  </si>
  <si>
    <t>ASISTENTE OPERACIONES (BQUILLA)</t>
  </si>
  <si>
    <t>LIDER DE CALIDAD</t>
  </si>
  <si>
    <t>ICO006  InnoTest Manual</t>
  </si>
  <si>
    <t>ICO005  Concept Test (Custom)</t>
  </si>
  <si>
    <t>IPD003  CPT Concept/Product Test</t>
  </si>
  <si>
    <t>IPT001  Pack Test (Other)</t>
  </si>
  <si>
    <t>ICI002  Fast Fact</t>
  </si>
  <si>
    <t>ICO009  Duel Custom</t>
  </si>
  <si>
    <t>ICO001  Concepts Legacy Offer</t>
  </si>
  <si>
    <t>ICO011  InnoTest IDP Only</t>
  </si>
  <si>
    <t>ICO010  Duel IDP ONLY</t>
  </si>
  <si>
    <t>INC005  Discrete Choice (Custom)</t>
  </si>
  <si>
    <t>INV001  Vantis</t>
  </si>
  <si>
    <t>CXR003  CX Relationship w/CX Forces</t>
  </si>
  <si>
    <t>CMY005  MS: Location</t>
  </si>
  <si>
    <t>CMY007  MS: Onsite S&amp;C Audits/BOPIS</t>
  </si>
  <si>
    <t>CXT009  CXM Transactional NonCXM</t>
  </si>
  <si>
    <t>CXA001  CEX Workshops</t>
  </si>
  <si>
    <t>CXT005  CXM Medallia</t>
  </si>
  <si>
    <t>V1</t>
  </si>
  <si>
    <t>NA</t>
  </si>
  <si>
    <t>V2</t>
  </si>
  <si>
    <t>V3</t>
  </si>
  <si>
    <t>V4</t>
  </si>
  <si>
    <t>V5</t>
  </si>
  <si>
    <t>Script</t>
  </si>
  <si>
    <t>Ajus Prod</t>
  </si>
  <si>
    <t>Calidad Nv 2</t>
  </si>
  <si>
    <t>DP</t>
  </si>
  <si>
    <t>TL</t>
  </si>
  <si>
    <t>Vr</t>
  </si>
  <si>
    <t>Archivo</t>
  </si>
  <si>
    <t>Identi INNO Estudios de 1 o 2 dias</t>
  </si>
  <si>
    <t>Codif Pruebas Prod</t>
  </si>
  <si>
    <t>Codif Normal</t>
  </si>
  <si>
    <t>Registros</t>
  </si>
  <si>
    <t>Registros/Muestra</t>
  </si>
  <si>
    <t>0-15</t>
  </si>
  <si>
    <t>1 DC</t>
  </si>
  <si>
    <t>CD TB</t>
  </si>
  <si>
    <t>Proc</t>
  </si>
  <si>
    <t>60/40 Nestle</t>
  </si>
  <si>
    <t>Abiertas</t>
  </si>
  <si>
    <t>16-30</t>
  </si>
  <si>
    <t>1 TB PR</t>
  </si>
  <si>
    <t>Cant Preg Abiertas</t>
  </si>
  <si>
    <t>31-45</t>
  </si>
  <si>
    <t>Trans</t>
  </si>
  <si>
    <t>Unif</t>
  </si>
  <si>
    <t>Conteo</t>
  </si>
  <si>
    <t>Igual Cant Registros</t>
  </si>
  <si>
    <t>Abiertas Mult</t>
  </si>
  <si>
    <t>Abiertas Mult 20%</t>
  </si>
  <si>
    <t>46-60</t>
  </si>
  <si>
    <t>DC</t>
  </si>
  <si>
    <t>Observaciones</t>
  </si>
  <si>
    <t>Codif Reg</t>
  </si>
  <si>
    <t>61-75</t>
  </si>
  <si>
    <t>Otros 20%</t>
  </si>
  <si>
    <t>76-90</t>
  </si>
  <si>
    <t>1 dia adic  Aproba y Ajustes</t>
  </si>
  <si>
    <t>91-105</t>
  </si>
  <si>
    <t>Ajustes</t>
  </si>
  <si>
    <t>Otros cuales</t>
  </si>
  <si>
    <t>106-120</t>
  </si>
  <si>
    <t>REGISTROS</t>
  </si>
  <si>
    <t>Reg Codif</t>
  </si>
  <si>
    <t>Reutiliz</t>
  </si>
  <si>
    <t>Valor Ipsos</t>
  </si>
  <si>
    <t>Duplicac</t>
  </si>
  <si>
    <t>Aprobac+Ajust</t>
  </si>
  <si>
    <t>Contol de calidad</t>
  </si>
  <si>
    <t>Total Dias</t>
  </si>
  <si>
    <t>REGISTROS a CODIF</t>
  </si>
  <si>
    <t>Total Horas</t>
  </si>
  <si>
    <t>Horas por día trabajadas</t>
  </si>
  <si>
    <t>Número de Horas a trabajar para el proyecto</t>
  </si>
  <si>
    <t>Variacion Script</t>
  </si>
  <si>
    <t>Calidad de instrumentos</t>
  </si>
  <si>
    <t>Dimensions 18</t>
  </si>
  <si>
    <t>caracteristicas estandar</t>
  </si>
  <si>
    <t>No IIS trnsform</t>
  </si>
  <si>
    <t>Participacion cliente en pilotos y cambios posteriores por este tema / Consulta</t>
  </si>
  <si>
    <t>cambios se re cotiza frente a ejecucion</t>
  </si>
  <si>
    <t>Ajustes post entrenamiento</t>
  </si>
  <si>
    <t>Imágenes formato / ojo con rotaciones / y caracteristicas que aplican para su visualizacion</t>
  </si>
  <si>
    <t>Rubro adicional para asesoria a SL de parte del equipo</t>
  </si>
  <si>
    <t>Ifiel vs Cati</t>
  </si>
  <si>
    <t>Por ahora por aparte</t>
  </si>
  <si>
    <t>Ifiel vs On line</t>
  </si>
  <si>
    <t xml:space="preserve">Cati Vs online </t>
  </si>
  <si>
    <t>se puede utilizar / 18 horas</t>
  </si>
  <si>
    <t>on line vs Cati</t>
  </si>
  <si>
    <t>Diferencia entre duraciones</t>
  </si>
  <si>
    <t>Perfil</t>
  </si>
  <si>
    <t>Mas 82%</t>
  </si>
  <si>
    <t>Coordinación, supervisión y tablets</t>
  </si>
  <si>
    <t>Total Mas 82%</t>
  </si>
  <si>
    <t>75%-82%</t>
  </si>
  <si>
    <t>Total 75%-82%</t>
  </si>
  <si>
    <t>67%-74%</t>
  </si>
  <si>
    <t>Total 67%-74%</t>
  </si>
  <si>
    <t>55-66%</t>
  </si>
  <si>
    <t>Total Mas 55-66%</t>
  </si>
  <si>
    <t>Total Mas 46-54%</t>
  </si>
  <si>
    <t>37-45%</t>
  </si>
  <si>
    <t>Total Mas 37-45%</t>
  </si>
  <si>
    <t>Total Mas 30-36%</t>
  </si>
  <si>
    <t>Total Mas 22-29%</t>
  </si>
  <si>
    <t>Total Mas 15-21%</t>
  </si>
  <si>
    <t>Total Mas 10-14%</t>
  </si>
  <si>
    <t>Total Mas 0-9%</t>
  </si>
  <si>
    <t>Diferencia entre perfiles</t>
  </si>
  <si>
    <t xml:space="preserve"> 30-36%</t>
  </si>
  <si>
    <t>22-29%</t>
  </si>
  <si>
    <t>15-21%</t>
  </si>
  <si>
    <t>10-14%</t>
  </si>
  <si>
    <t>0-9%</t>
  </si>
  <si>
    <t>0-5 minutos</t>
  </si>
  <si>
    <t>11-20minutos</t>
  </si>
  <si>
    <t>21-30 minutos</t>
  </si>
  <si>
    <t>31-40 minutos</t>
  </si>
  <si>
    <t>41-50 minutos</t>
  </si>
  <si>
    <t>51 - 60 minutos</t>
  </si>
  <si>
    <t>Mas 75%</t>
  </si>
  <si>
    <t>51-75%</t>
  </si>
  <si>
    <t>31-50%</t>
  </si>
  <si>
    <t>16-30%</t>
  </si>
  <si>
    <t>0-15% Valor por encuesta no olvidar agregar precio de reclutamiento</t>
  </si>
  <si>
    <t>11-15 minutos</t>
  </si>
  <si>
    <t>16-25 minutos</t>
  </si>
  <si>
    <t>26-35 minutos</t>
  </si>
  <si>
    <t>36-45 minutos</t>
  </si>
  <si>
    <t>46 minutos 1 hora</t>
  </si>
  <si>
    <t>Sin parafiscales</t>
  </si>
  <si>
    <t>Con parafiscales</t>
  </si>
  <si>
    <t>TARIFAS PRODUCTIVIDAD Hora</t>
  </si>
  <si>
    <t>Valor total</t>
  </si>
  <si>
    <t>30-36%</t>
  </si>
  <si>
    <t>Valor tablets al mes</t>
  </si>
  <si>
    <t>Valor tablets al año</t>
  </si>
  <si>
    <t># encuestas del 2023</t>
  </si>
  <si>
    <t xml:space="preserve">Valor por encuestas contemplando </t>
  </si>
  <si>
    <t>Por Mes</t>
  </si>
  <si>
    <t>Parametros para la formulación</t>
  </si>
  <si>
    <t>Bases</t>
  </si>
  <si>
    <t>Reclutamiento en sitio</t>
  </si>
  <si>
    <t>Ninguno</t>
  </si>
  <si>
    <t>CXR001  CX Relationship</t>
  </si>
  <si>
    <t>UX</t>
  </si>
  <si>
    <t>Empaque(Dosificarlo)</t>
  </si>
  <si>
    <t>Blind, o prueba a ciegas</t>
  </si>
  <si>
    <t>Hogares</t>
  </si>
  <si>
    <t>Intercept</t>
  </si>
  <si>
    <t>Baby &amp; Child Care</t>
  </si>
  <si>
    <t>Hair Care</t>
  </si>
  <si>
    <t>Juice Drink</t>
  </si>
  <si>
    <t>Snacks &amp; Confectionery</t>
  </si>
  <si>
    <t>Technology and Electronics</t>
  </si>
  <si>
    <t>Dairy</t>
  </si>
  <si>
    <t>Biscuits</t>
  </si>
  <si>
    <t>Gum &amp; Candies</t>
  </si>
  <si>
    <t>Condiments</t>
  </si>
  <si>
    <t>Sauces</t>
  </si>
  <si>
    <t>Margarines</t>
  </si>
  <si>
    <t>Tuna</t>
  </si>
  <si>
    <t>Alcoholic beverages</t>
  </si>
  <si>
    <t>Isotonic drinks</t>
  </si>
  <si>
    <t>Parametros 3</t>
  </si>
  <si>
    <t>Reclutamiento NSE 1 y 2</t>
  </si>
  <si>
    <t>Obsequios NSE 1 y 2</t>
  </si>
  <si>
    <t>Obsequios</t>
  </si>
  <si>
    <t>Horas de Script</t>
  </si>
  <si>
    <t>URBANO</t>
  </si>
  <si>
    <t>NACIONAL</t>
  </si>
  <si>
    <t>REEXPEDICIONES</t>
  </si>
  <si>
    <t>SEGUROS</t>
  </si>
  <si>
    <t>1 KILO</t>
  </si>
  <si>
    <t>KILO ADICIONAL</t>
  </si>
  <si>
    <t>% VALOR DECLARADO</t>
  </si>
  <si>
    <t>MINIMO A DECLARAR</t>
  </si>
  <si>
    <t>SIMULADOR</t>
  </si>
  <si>
    <t>Tipologia</t>
  </si>
  <si>
    <t>Alto</t>
  </si>
  <si>
    <t>Ancho</t>
  </si>
  <si>
    <t>Largo</t>
  </si>
  <si>
    <t>Peso volumetrico</t>
  </si>
  <si>
    <t>Peso(Kg)</t>
  </si>
  <si>
    <t>Valor Declarado</t>
  </si>
  <si>
    <t>Total cobrar</t>
  </si>
  <si>
    <t>Kilo Inicial</t>
  </si>
  <si>
    <t>Kilo Adicional</t>
  </si>
  <si>
    <t>Vr. Kilo Adicional</t>
  </si>
  <si>
    <t>Vr. Seguro</t>
  </si>
  <si>
    <t>REEXPEDICION</t>
  </si>
  <si>
    <t>NOTA:</t>
  </si>
  <si>
    <t>* siempre se liquida el mayor valor de kilos (volumetrico / kilos)</t>
  </si>
  <si>
    <t>* el valor declarado minimo es de $6000</t>
  </si>
  <si>
    <t>* el porcentaje a declarar  es de 1%</t>
  </si>
  <si>
    <t>* cada unidad de empaque lleva guia/remision</t>
  </si>
  <si>
    <t>informacion para diligenciar según datos del envio</t>
  </si>
  <si>
    <t xml:space="preserve">informacion variable </t>
  </si>
  <si>
    <t>Valor Neto</t>
  </si>
  <si>
    <t>Valor con Gross</t>
  </si>
  <si>
    <t>Valor por OP</t>
  </si>
  <si>
    <t>Negocios</t>
  </si>
  <si>
    <t>GP</t>
  </si>
  <si>
    <t>Campo</t>
  </si>
  <si>
    <t>PMO</t>
  </si>
  <si>
    <t>Cuestionario</t>
  </si>
  <si>
    <t>Entrega</t>
  </si>
  <si>
    <t xml:space="preserve">Capacitación </t>
  </si>
  <si>
    <t>Seguimiento</t>
  </si>
  <si>
    <t>Norma</t>
  </si>
  <si>
    <t>Sara</t>
  </si>
  <si>
    <t>LT 9</t>
  </si>
  <si>
    <t>FASE</t>
  </si>
  <si>
    <t>Segmento</t>
  </si>
  <si>
    <t>Level 3</t>
  </si>
  <si>
    <t>Level 4</t>
  </si>
  <si>
    <t>Level 5</t>
  </si>
  <si>
    <t>Level 6</t>
  </si>
  <si>
    <t>Level 7</t>
  </si>
  <si>
    <t>FTF_V1</t>
  </si>
  <si>
    <t>Hog URB</t>
  </si>
  <si>
    <t>FTF_V2</t>
  </si>
  <si>
    <t>Hog Rural</t>
  </si>
  <si>
    <t>FTF_V3</t>
  </si>
  <si>
    <t>Negocios URB</t>
  </si>
  <si>
    <t>FTF_V4</t>
  </si>
  <si>
    <t>Negocios Rural</t>
  </si>
  <si>
    <t>ESTADISTICA</t>
  </si>
  <si>
    <t>General</t>
  </si>
  <si>
    <t>CPI</t>
  </si>
  <si>
    <t>Cuidado de bebés y niños</t>
  </si>
  <si>
    <t>Cuidado del cabello</t>
  </si>
  <si>
    <t>Tecnología y Electrónica</t>
  </si>
  <si>
    <t>Galletas</t>
  </si>
  <si>
    <t>Chicles y caramelos</t>
  </si>
  <si>
    <t>Salsas</t>
  </si>
  <si>
    <t>Atún</t>
  </si>
  <si>
    <t>Bebidas alcohólicas</t>
  </si>
  <si>
    <t>Jugo</t>
  </si>
  <si>
    <t>Detergentes</t>
  </si>
  <si>
    <t>Chocolate,Confectionery</t>
  </si>
  <si>
    <t>Snacks, Aperitivos y confitería</t>
  </si>
  <si>
    <t xml:space="preserve">Coffee </t>
  </si>
  <si>
    <t xml:space="preserve">Café </t>
  </si>
  <si>
    <t>Personal care</t>
  </si>
  <si>
    <t>Cuidado personal</t>
  </si>
  <si>
    <t>Cuidado facial</t>
  </si>
  <si>
    <t>facial care</t>
  </si>
  <si>
    <t>No requiere</t>
  </si>
  <si>
    <t>OP Ops</t>
  </si>
  <si>
    <t>GM OPS</t>
  </si>
  <si>
    <t>Bebidas isotónicas</t>
  </si>
  <si>
    <t>Bebidas No alcohólicas</t>
  </si>
  <si>
    <t>Bebidas en polvo basicas</t>
  </si>
  <si>
    <t>Lácteos RTD</t>
  </si>
  <si>
    <t>Crema de leche, leche condensada</t>
  </si>
  <si>
    <t>Chocolate</t>
  </si>
  <si>
    <t>Bebidas en polvo con preparación</t>
  </si>
  <si>
    <t>Modificadores de Leche</t>
  </si>
  <si>
    <t>Formulas infantiles</t>
  </si>
  <si>
    <t>Lácteos para preparar</t>
  </si>
  <si>
    <t>Condimentos/Sazonadores</t>
  </si>
  <si>
    <t>Caldos en cubo</t>
  </si>
  <si>
    <t>Cremas Listas para preparar</t>
  </si>
  <si>
    <t>Margarinas</t>
  </si>
  <si>
    <t>Otro</t>
  </si>
  <si>
    <t>Valor de la compra del producto en caso de requerirlo</t>
  </si>
  <si>
    <t>Si requiere traslado del producto indique el Peso en gramos</t>
  </si>
  <si>
    <t>11-15minutos</t>
  </si>
  <si>
    <t>16-20minutos</t>
  </si>
  <si>
    <t>Análisis/servicios</t>
  </si>
  <si>
    <t>Asesoría</t>
  </si>
  <si>
    <t>Estimado estándar de dedicación en horas</t>
  </si>
  <si>
    <t>Total de horas</t>
  </si>
  <si>
    <t>Valor hora L7 OPS</t>
  </si>
  <si>
    <t>Valor hora L4 OPS</t>
  </si>
  <si>
    <t>Distribución de tiempo por level 7</t>
  </si>
  <si>
    <t>Distribución de tiempo por level 4</t>
  </si>
  <si>
    <t>Factor de cobertura (licencias, entrenamientos,…)</t>
  </si>
  <si>
    <t>Valor total hora OPS</t>
  </si>
  <si>
    <t>Precio de referencia</t>
  </si>
  <si>
    <t>Valor hora L7 SL</t>
  </si>
  <si>
    <t>Valor hora L4 SL</t>
  </si>
  <si>
    <t>Precio recomendado</t>
  </si>
  <si>
    <t>Precio GMU
USD</t>
  </si>
  <si>
    <t>Precio en pesos GMU</t>
  </si>
  <si>
    <t>Tipo de servicio</t>
  </si>
  <si>
    <t>Especificaciones del entregable</t>
  </si>
  <si>
    <t>Grado de complejidad</t>
  </si>
  <si>
    <t>Margen de complejidad</t>
  </si>
  <si>
    <t>Margina modelling de acuerdo al grado de complejidad</t>
  </si>
  <si>
    <t>Precio unitario final para SL-COL con margen de 21.45%</t>
  </si>
  <si>
    <t>Factor para manejar economía de escala</t>
  </si>
  <si>
    <r>
      <t xml:space="preserve">Número de modelos a realizar
</t>
    </r>
    <r>
      <rPr>
        <b/>
        <sz val="11"/>
        <color theme="0" tint="-0.499984740745262"/>
        <rFont val="Calibri"/>
        <family val="2"/>
        <scheme val="minor"/>
      </rPr>
      <t>(Se debe llenar)</t>
    </r>
  </si>
  <si>
    <t>Precio de los X modelos sin margen - Ahorro por economía de escala</t>
  </si>
  <si>
    <t>Precio de las X modelos con margen OPS (21.45) - Ahorro por economía de escala</t>
  </si>
  <si>
    <t>Análisis Chaid (árboles de clasificación)</t>
  </si>
  <si>
    <t>Modelling</t>
  </si>
  <si>
    <t>Árbol con su debida documentación que presenta el análisis e interpretación.</t>
  </si>
  <si>
    <t>Channel Vision</t>
  </si>
  <si>
    <t>Turf no ponderado, AE, turf ponderado por AE, indicador de afinidad y dos ordenes de atributos-incluye asesoria de movido de BDD.</t>
  </si>
  <si>
    <t>Análisis de clúster (segmentación-perfilamiento)</t>
  </si>
  <si>
    <t>Tres opciones de perfiles con el cruce de cada una de las variables del perfilamiento y el peso de cada perfil.</t>
  </si>
  <si>
    <t>Segmentación + Algoritmo de segmentación (typing tool)</t>
  </si>
  <si>
    <t>Tres opciones de segmentación con el cruce de cada una de las variables de la segmentación, el peso de cada perfil y un algoritmo en excel o shiny para una clasificación a posteriori.</t>
  </si>
  <si>
    <t>Ecosystem Flow</t>
  </si>
  <si>
    <t>Es un grafo, con sus respectivas métricas de penetración y estadísticas de resúmen por apertura como franja horaria, con entregable en power BI.</t>
  </si>
  <si>
    <t>Graphical modelling</t>
  </si>
  <si>
    <t>Se entrega un grafo en archivo .html interactivo, que muestra relaciones entre atributos y una variable respuesta.</t>
  </si>
  <si>
    <t>Penalty Analysis</t>
  </si>
  <si>
    <t>Se entregan dos archivos .html con las penalidades y otro con los porcentajes de cada grupo por atributos.</t>
  </si>
  <si>
    <t>Potential modelling</t>
  </si>
  <si>
    <t>Se entregan un archivo .html con el resultado de la simulación para cada atributo y una tabla en excel con los valores de resúmen de la simulación.</t>
  </si>
  <si>
    <t>Mapa de correspondencia</t>
  </si>
  <si>
    <t>Se entrega cada mapa en una hoja excel, con las coordenadas de cada punto, las proyecciones de los casos ilustrativos (cuando hay bases muy pequeñas) y las agrupaciones sombreadas a partir de los análisis de dendogramas.</t>
  </si>
  <si>
    <t>Correlaciones/asociaciones</t>
  </si>
  <si>
    <t>Se entrega en archivo excel.</t>
  </si>
  <si>
    <t>Modelo de satisfacción (CX-variable respuesta en escala)</t>
  </si>
  <si>
    <t>Cada modelo se entrega en una hoja excel, con una hoja inicial de guía para interpretación.</t>
  </si>
  <si>
    <t>Orden de atributos o Análisis de Drivers (variable respuesta en escala)</t>
  </si>
  <si>
    <t>Odds ration</t>
  </si>
  <si>
    <t>Se entrega en una hoja excel, con un ejemplo de interpretación.</t>
  </si>
  <si>
    <t>Indicadores (ACP o Análisis Factorial)</t>
  </si>
  <si>
    <t>Cada indicador se entrega en una hoja excel, con el peso de cada una de las variables involucradas en el análisis, el calculo del indicador en una apertura requerida y el cálculo del indicador en cada uno de los registros del estudio.</t>
  </si>
  <si>
    <t>Equity actitudinal</t>
  </si>
  <si>
    <t>Se entrega una variable para cada uno de los registros y una tabla agregada por marca.</t>
  </si>
  <si>
    <t>PSM</t>
  </si>
  <si>
    <t>Una hoja excel por cada PSM con el gráfico que contiene la identificación de los puntos de intercepción y los tabulados de los precios asignados.</t>
  </si>
  <si>
    <t>SOVA</t>
  </si>
  <si>
    <t>Se entregan tablas del source of volumen por cada producto.</t>
  </si>
  <si>
    <t>Text analytics (De palabras)</t>
  </si>
  <si>
    <t>Se entrega el grafo con su debida partición, las métricas y la identificación de cada palabra con su registro, grupo y número de menciones.</t>
  </si>
  <si>
    <t>Text analytics (De palabras) + Métricas de red</t>
  </si>
  <si>
    <t>Turf</t>
  </si>
  <si>
    <t>Se entrega el gráfico en una ppt, con el ordenamiento y contribución de cada medio.</t>
  </si>
  <si>
    <t>Penalty &amp; Rewards</t>
  </si>
  <si>
    <t>Se entrega pesos por segmento y por atributo, además de las penalidades y rewards.</t>
  </si>
  <si>
    <t>Análisis Conjoint (Max-diff)</t>
  </si>
  <si>
    <t>Se entrega el diseño de las tareas y en excel lo resultados de las utilidades y tablas de resumen con las mejores y peores opciones.</t>
  </si>
  <si>
    <t>t-plot</t>
  </si>
  <si>
    <t>Se entrega un gráfico en excel con la comparación estadística de dos grupos, con sus respectiva bandas.</t>
  </si>
  <si>
    <t>Ecuaciones Estructurales</t>
  </si>
  <si>
    <t>Indicadores simples</t>
  </si>
  <si>
    <t>Inferencia Estadística (diferencias, pruebas de hipotesis, metas, análisis migratorio)</t>
  </si>
  <si>
    <t>Análisis Conjoint (CBC)</t>
  </si>
  <si>
    <t>Análisis Conjoint (CBC) con elasticidades</t>
  </si>
  <si>
    <t>Modelos GLM - Machine learning (variable respuesta dicotómica)</t>
  </si>
  <si>
    <t>Random Forest</t>
  </si>
  <si>
    <t>Modelos para tasa de no respuesta muy altas</t>
  </si>
  <si>
    <t>Modelo de anonimización</t>
  </si>
  <si>
    <t>Análisis AUDIO</t>
  </si>
  <si>
    <t>Análisis de consistencia (Alpha cronbach)</t>
  </si>
  <si>
    <t>Ranking tree para Shopper</t>
  </si>
  <si>
    <t>Elasticidad</t>
  </si>
  <si>
    <t>Segmentación cruzada</t>
  </si>
  <si>
    <t>Evaluación de precios (BIM)</t>
  </si>
  <si>
    <t>Aplicación de algoritmo de segmentación</t>
  </si>
  <si>
    <t>Análisis de causalidad con redes bayesianas</t>
  </si>
  <si>
    <t>Residuales ajustados</t>
  </si>
  <si>
    <t>Análisis de imágenes</t>
  </si>
  <si>
    <t>Brand Halo</t>
  </si>
  <si>
    <t>Tabulados con SE</t>
  </si>
  <si>
    <t>No.</t>
  </si>
  <si>
    <t>Categoría de servicio</t>
  </si>
  <si>
    <t>Explicación del modelo o entregable</t>
  </si>
  <si>
    <t>Ejemplo de entregable</t>
  </si>
  <si>
    <t>Total de horas estimadas*</t>
  </si>
  <si>
    <t>Precio de referencia (2024)</t>
  </si>
  <si>
    <t>En cuánto tiempo aproximadamente se entrega uno de los procesos, previo agendamiento.</t>
  </si>
  <si>
    <t>Número de modelos a realizar
(Se debe llenar)</t>
  </si>
  <si>
    <t>Precio de referencia por X modelos - Ahorro por economía de escala</t>
  </si>
  <si>
    <t>Procesos Especiales</t>
  </si>
  <si>
    <r>
      <t xml:space="preserve">Es un </t>
    </r>
    <r>
      <rPr>
        <b/>
        <sz val="11"/>
        <rFont val="Calibri"/>
        <family val="2"/>
        <scheme val="minor"/>
      </rPr>
      <t>modelo</t>
    </r>
    <r>
      <rPr>
        <sz val="11"/>
        <rFont val="Calibri"/>
        <family val="2"/>
        <scheme val="minor"/>
      </rPr>
      <t xml:space="preserve"> (completo y el mejor modelo) que se entrega en una hoja excel, con una hoja inicial de guía para interpretación. La condición es que todas las variables deben venir en </t>
    </r>
    <r>
      <rPr>
        <b/>
        <sz val="11"/>
        <rFont val="Calibri"/>
        <family val="2"/>
        <scheme val="minor"/>
      </rPr>
      <t>escala</t>
    </r>
    <r>
      <rPr>
        <sz val="11"/>
        <rFont val="Calibri"/>
        <family val="2"/>
        <scheme val="minor"/>
      </rPr>
      <t xml:space="preserve"> que miden el </t>
    </r>
    <r>
      <rPr>
        <b/>
        <sz val="11"/>
        <rFont val="Calibri"/>
        <family val="2"/>
        <scheme val="minor"/>
      </rPr>
      <t>nivel de satisfacción</t>
    </r>
    <r>
      <rPr>
        <sz val="11"/>
        <rFont val="Calibri"/>
        <family val="2"/>
        <scheme val="minor"/>
      </rPr>
      <t>.</t>
    </r>
  </si>
  <si>
    <t>Dos días</t>
  </si>
  <si>
    <t>Un modelo (completo y el mejor modelo) se entrega en una hoja excel, con una hoja inicial de guía para interpretación. La condición es que todas las variables deben venir en escala.</t>
  </si>
  <si>
    <t>Orden de atributos o Análisis de Drivers (variable respuesta dicotómica)</t>
  </si>
  <si>
    <t>Un modelo GLM o de machine learning (el mejor modelo), el cual se entrega en una hoja excel, con una hoja inicial de guía para interpretación. Esto ocurre cuando la variable respuesta (Y) es una variable que contiene ceros y unos.</t>
  </si>
  <si>
    <t>Es un modelo dentro de los modelos de machine learning, el cual se entrega en una hoja excel, con una hoja inicial de guía para interpretación.</t>
  </si>
  <si>
    <t>Modelos GLM (variable con respuesta dicotómica)</t>
  </si>
  <si>
    <t>Modelos de machine learning</t>
  </si>
  <si>
    <t>Es un modelo de machine learning que aprende de la información existente y predice la información del indicador para los encuestado. Se entrega un documento del modelo y la BDD con la variable predicha.</t>
  </si>
  <si>
    <t>Cuatro días</t>
  </si>
  <si>
    <t>Es un modelo de machine learning que aprende de la información recolectada y predice, con información existente de los no-encuestado, la información faltante. Se entrega un documento del modelo y la BDD con la variable predicha.</t>
  </si>
  <si>
    <t>Tres días</t>
  </si>
  <si>
    <t>Es un modelo de machine learning que anonimiza variables cualitativa o cuantitativas, para la no posible identificación del encuestado, sin afectar los resultados descriptivos. Se entrega un documento del modelo y la BDD con la variable anonimizada.</t>
  </si>
  <si>
    <t>Y BDD…</t>
  </si>
  <si>
    <t>Se entrega un grafo en archivo .html interactivo, que muestra relaciones entre atributos y una variable respuesta en escala o dicotómica.</t>
  </si>
  <si>
    <t>Graphical modelling (con magnitud de la relación)</t>
  </si>
  <si>
    <t>Se entrega un grafo en archivo .html interactivo, que muestra relaciones entre atributos y una variable respuesta en escala o dicotómica, en donde se incluye la magnitud de la relación para cada enlace, que representa la fuerza de la relación existente entre los dos atributos.</t>
  </si>
  <si>
    <t>Graphical modelling + Orden de atributos  (variable respuesta en escala)</t>
  </si>
  <si>
    <t>Se entrega un grafo en archivo .html interactivo y un modelo de orden de atributos (la condición es que la variable respuesta debe ser en escala).</t>
  </si>
  <si>
    <t>Graphical modelling + Orden de atributos  (variable respuesta dicotómica)</t>
  </si>
  <si>
    <t>Se entrega un grafo en archivo .html interactivo y un modelo de orden de atributos (la condición es que la variable respuesta debe ser dicotómica).</t>
  </si>
  <si>
    <t>Se entrega en archivo excel con la matrix correlaciones o asociaciones, con las variables señaladas sin apertura.</t>
  </si>
  <si>
    <t>Se entrega en archivo excel con el resultado de la prueba estadística o inferencia señalada sin apertura.</t>
  </si>
  <si>
    <t>Text analytics (CREATIVE-De palabras)</t>
  </si>
  <si>
    <t>Se entrega dos grafos, uno el original y el otro con su debida partición, las métricas y la identificación de cada palabra con su grupo y número de menciones.</t>
  </si>
  <si>
    <t>Text Analytics por LDA ( frases construidas)</t>
  </si>
  <si>
    <t>Se entrega una clasificación de verbatims, que ayuda a la construcción de frases que hace la SL, luego con las frases se hace un grafo, donde se precisan colores y edición corta de la frase, lo cual se entrega en un archivo .html.</t>
  </si>
  <si>
    <t>Una semana</t>
  </si>
  <si>
    <t>Text analytics con segmentación y depurado de palabras</t>
  </si>
  <si>
    <t>Se entrega máximo tres grafos, el original con su debida partición y máximo dos depuraciones de palabras, las métricas y la identificación de cada palabra con su grupo y número de menciones.</t>
  </si>
  <si>
    <t>Text analytics depurado de marcas</t>
  </si>
  <si>
    <t>Se entrega máximo tres grafos con máximo cuatro marcas, el original con su debida partición de marcas y máximo dos depuraciones de palabras de las marcas, las métricas y la identificación de cada palabra con su grupo y número de menciones.</t>
  </si>
  <si>
    <t>Text analytics con segmentación y asociando imágenes</t>
  </si>
  <si>
    <t>Es un archivo .html con un grafo, un archivo excel con identificación para cada registro el grupo al que pertenece y la identificación de las imágenes más frecuentes en cada grupo.</t>
  </si>
  <si>
    <t>Se entregan dos archivos .html con las penalidades y otro con los porcentajes de cada grupo por atributos, estos mismos archivos se entregan en excel.</t>
  </si>
  <si>
    <t>Un día</t>
  </si>
  <si>
    <t>Reglas de asociación</t>
  </si>
  <si>
    <t>Ante la pregunta de los productos que compró, se pueden identificar productos complementarios y sustitutos, los cuales son identificados en este análisis que se entrega en excel, con el calculo de lift.</t>
  </si>
  <si>
    <t>Indicadores (ACP)</t>
  </si>
  <si>
    <t>El indicador se entrega en una hoja excel, con el peso de cada una de las variables involucradas en el análisis, su matrix de correlaciones, el calculo del indicador en una apertura requerida y el cálculo del indicador en cada uno de los registros del estudio.</t>
  </si>
  <si>
    <t>Análisis factorial (redución o agrupamiento de variables)</t>
  </si>
  <si>
    <t xml:space="preserve">Se entrega el cluster del agrupamiento de variables, junto con la matrix de similitudes, el dendograma y el peso de cada variables a los factores creaados en excel. </t>
  </si>
  <si>
    <t>Es una matrix de distancias estándarizadas de marcas vs atributos, donde se visualiza la asociaciones significativas tanto en la matrix cómo gráficamente, el archivo se entrega en excel.</t>
  </si>
  <si>
    <t>Se entrega un mapa y dendograma en una hoja excel, con las coordenadas de cada punto, las proyecciones de los casos ilustrativos (cuando hay bases muy pequeñas) y las agrupaciones sombreadas a partir de los análisis de dendogramas.</t>
  </si>
  <si>
    <t>Mapa de correspondencia+residuales</t>
  </si>
  <si>
    <t>Se entrega el mapa de correspondencia y la matrix de residuales, para evidenciar no solo las agrupaciones sombreadas sino las relaciones más significativas entre atributos y marcas.</t>
  </si>
  <si>
    <t>Equity actitudinal con funnel</t>
  </si>
  <si>
    <t>Es un archivo excel con el cálculo del AE para cada registro y marca, además de otra hoja donde se encuentra el consolidado de los resutlados del equity por marca y la clasificación cualitativa de este.</t>
  </si>
  <si>
    <t>Segmentación o perfilamiento (Análisis de Cluster)</t>
  </si>
  <si>
    <t>Tres opciones de perfiles con el cruce de cada una de las variables del perfilamiento y el peso de cada perfil, además de los residuales.</t>
  </si>
  <si>
    <t>Se entregan dos segmentaciones una usualmente de la muestra de personas y la otra segmentación de ocasiones o necesidades, las cuales se cruzan para identificar los mejores segmentos.</t>
  </si>
  <si>
    <t>Siete días</t>
  </si>
  <si>
    <t>Segmentación (Análisis de clúster) + Algoritmo (typing tool)</t>
  </si>
  <si>
    <t>Dos semanas</t>
  </si>
  <si>
    <t>Se entrega un gráfico en excel, con el ordenamiento y contribución de cada medio, canal o ente de evaluación.</t>
  </si>
  <si>
    <t>Se entrega en una hoja excel las frecuencias, el odd para las variables señaladas, y un ejemplo de la interpretación.</t>
  </si>
  <si>
    <t>Se entrega una tabla en excel con el indicador calculado.</t>
  </si>
  <si>
    <t>Se entrega un archivo excel con los pesos de los factores y atributos, para un segmento, además de las penalidades y rewards.</t>
  </si>
  <si>
    <t>Aporte entre marcas (similar a Brand Halo)</t>
  </si>
  <si>
    <t>Es un archivo en excel que muestra el aporte de cada atributo o submarca a una marca principal, junto con las diferencias significativas de los resultados.</t>
  </si>
  <si>
    <t>Previo entrega de un algoritmo de segmentación, este se aplica a una nueva BDD y se entrega en excel el cluster de cada registro.</t>
  </si>
  <si>
    <t>Análisis chaid (Árboles de clasificación)</t>
  </si>
  <si>
    <t>Un árbol de clasificiación con su debida documentación que presenta el análisis e interpretación.</t>
  </si>
  <si>
    <t>Análisis chaid (CX-Árboles de clasificación)</t>
  </si>
  <si>
    <t>Un árbol de clasificiación, para una variable categórica como NPS o Satisfacción con su debida interpretación, se entrega en un archivo excel.</t>
  </si>
  <si>
    <t>Análisis de causalidad con redes bayesianas (similar a IBN)</t>
  </si>
  <si>
    <t xml:space="preserve">Se entrega un archivo .html con un grafo acíclico dirigido, basado en redes bayesinas que permiten encontrar la causalidad de la relación entre dos atributos (flechas). </t>
  </si>
  <si>
    <t>Una hoja excel para un PSM con el gráfico que contiene la identificación de los puntos de intercepción y los tabulados de los precios asignados.</t>
  </si>
  <si>
    <t>Árbol de decisión del Shopper</t>
  </si>
  <si>
    <t>Se entrega en un archivo excel el ranking, que describen el peso de los atributos a la escogencia.</t>
  </si>
  <si>
    <t>Max-diff (Análisis Conjoint con diseño ortogonal)</t>
  </si>
  <si>
    <t>Se entrega el diseño de las tareas (máximo dos cambios de tareas) y en excel los resultados del desempeño de las opciones evaluadas.</t>
  </si>
  <si>
    <t>Se entrega un archivo de excel con las importancias de los atributos y la importancia de las variables latentes, respecto a un indicador principal. Además, un grafo con la estructura del modelo que incluye las importancia estimadas del modelo.</t>
  </si>
  <si>
    <t>Se entrega un archivo excel con la tabla de precios con su respectiva participación y calculo de la elasticidad.</t>
  </si>
  <si>
    <t>Elasticidad (similar a Gabor Granger)</t>
  </si>
  <si>
    <t>Se entrega un archivo excel con la curva de sensibilidad al precio, además de la tabla de precios con su respectiva participación y calculo de la elesticidad.</t>
  </si>
  <si>
    <t>Modelo de Atributos de Precio por Marca (similar a BIM)</t>
  </si>
  <si>
    <t>Es un agrupamiento de atributos de precios evaluados en diferentes marcas (cliente y competencia), se entrega en excel un análisis factorial con el agrupamiento de atributos, un modelo de machine learning que revela el peso de los factores y unos residuales ajustados complementado con mapa de correspondencia para evaluar el desempeño de la marca y su competencia.</t>
  </si>
  <si>
    <t>Se entrega una tabla en excel para el producto de prueba con el resultado del source of volumen por cada producto y cada categoría.</t>
  </si>
  <si>
    <t>Se entrega en un excel el calculo e interpretación del coeficiente Alfa de Cronbach para la variable de interés, lo cuál muestra el nivel de confiabilidad interna de la pregunta, dentro del cuestionario, la consistencia de la escala y si es la misma variable medida en diferentes olas, muestra la consistencia en el tiempo, adicionando una prueba ANOVA.</t>
  </si>
  <si>
    <t>Es un grafo .html interactivo, con sus respectivas métricas de penetración y estadísticas de resúmen por apertura como franja horaria, de información suministrada de la interacción de la persona con la web, con entregable en power BI.</t>
  </si>
  <si>
    <t>Un AE, Turf no ponderado, turf ponderado por AE, indicador de afinidad y dos ordenes de atributos-incluye asesoria de movido de BDD.</t>
  </si>
  <si>
    <t>Se entrega un gráfico en excel con la comparación estadística de dos grupos, con sus respectivas bandas.</t>
  </si>
  <si>
    <t>Un archivo en excel que contiene la importancia y utilidades de los atributos y variables.</t>
  </si>
  <si>
    <t>Un archivo en excel que contiene la importancia y utilidades de los atributos y variables, además de las elesticidades marginales, cruzadas y la canibalización.</t>
  </si>
  <si>
    <t>Espacios de demanda (similar Demand Space)</t>
  </si>
  <si>
    <t>Se tienen dos entregas, la primera es un random Forest para precisar las variables que más pesan más sobre una variable de volumen o consumo y la segunda es la segmentación de personas o ocasiones o necesidades, todo se entrega en excel.</t>
  </si>
  <si>
    <t>Means - End Chain (Text Analytics de Atributos-Beneficios-Valores)</t>
  </si>
  <si>
    <t>Es un archivo en .html que muestra un grafo que proviene de una análisis por LDA de atributos, beneficios y valores, y un archivo excel con la frecuencias de cada atributo, beneficio y valor.</t>
  </si>
  <si>
    <t>Dendograma</t>
  </si>
  <si>
    <t>Es un gráfico descriptivo de la segmentación de atributos o personas</t>
  </si>
  <si>
    <t>Ponderación</t>
  </si>
  <si>
    <t>Ponderación por una variable o dos variables cruzadas</t>
  </si>
  <si>
    <t xml:space="preserve"> Se sube a matrix el archivo en excel de la base de datos muestrales con el ponderador para cada registro y se debe aprobar el pegue de este ponderador a la BDD final.</t>
  </si>
  <si>
    <t>Ponderación dos variables (no cruzadas)</t>
  </si>
  <si>
    <t>Ponderación tres o más variables no cruzadas</t>
  </si>
  <si>
    <t>Ponderación por variable diferente a universo (ejemplo ventas)</t>
  </si>
  <si>
    <t>Factor de Expansión</t>
  </si>
  <si>
    <t>Se deben incluir unas preguntas de validación en el cuestionario, según el diseño muestral y se requiere especificar en la metodología las variables a usar. El archivo se entrega en excel de la base de datos muestrales con el factor de expansión para cada registro y las tablas del universo representado por esta encuesta.</t>
  </si>
  <si>
    <t>Factor de Expansión en muestreos no-probabilísticos (estimaciones doblemente robustas)</t>
  </si>
  <si>
    <t>Se deben incluir unas preguntas de validación en el cuestionario de un estuid probabilístico, según el diseño muestral y se requiere especificar en la metodología las variables a usar. El archivo se entrega en excel de la base de datos muestrales con el factor de expansión para cada registro y las tablas del universo representado por esta encuesta.</t>
  </si>
  <si>
    <t>Selección IDM</t>
  </si>
  <si>
    <t>Selección IDM por listado</t>
  </si>
  <si>
    <t>Se entrega el listado de los seleccionados con el 20% de sobremuestra.</t>
  </si>
  <si>
    <t>Selección IDM de municipios menos de 5 municpios)</t>
  </si>
  <si>
    <t>Listado de IDM seleccionados por municipios y en muestreos no probabilísticos con el 50% de reemplazos y probabilísticos 20%.</t>
  </si>
  <si>
    <t>Selección IDM entre 6 y 20 municipios</t>
  </si>
  <si>
    <t>Selección IDM más de 20 municipios</t>
  </si>
  <si>
    <t>Reemplazos de IDM</t>
  </si>
  <si>
    <t>Por cada pedido de reemplazos, se costea este tiempo.</t>
  </si>
  <si>
    <t>El mismo día
(si se solicita antes del medio día)</t>
  </si>
  <si>
    <t>Cartografía para un municipio nuevo en la selección de IDM</t>
  </si>
  <si>
    <t>Se cargan los mapas en pdf a la carpeta de campo.</t>
  </si>
  <si>
    <t>Metodologías</t>
  </si>
  <si>
    <t>Metodología (sin diseño muestral)</t>
  </si>
  <si>
    <t>Dadas las especificaciones técnicas se crea la metodología en word y en matrix.</t>
  </si>
  <si>
    <t>Metodología (con diseño muestral)</t>
  </si>
  <si>
    <t>Dadas las especificaciones técnicas se crea la metodología en word y en matrix, previa verificación al diseño muestral propuesto.</t>
  </si>
  <si>
    <t>Metodología (PA-con diseño muestral probabilístico)</t>
  </si>
  <si>
    <t>Dadas las especificaciones técnicas se crea la metodología en word y en matrix, previa verificación al diseño muestral probabilístico propuesto.</t>
  </si>
  <si>
    <t>Diseño Muestral</t>
  </si>
  <si>
    <t>Propuesta Diseño muestral básico</t>
  </si>
  <si>
    <t xml:space="preserve">Se entrega el documento en word del diseño, con la muestra propuesta y el universo encontrado. </t>
  </si>
  <si>
    <t>Propuesta diseño muestral complejo</t>
  </si>
  <si>
    <t>Se entrega el documento en word del diseño, con toda la programación en R y marco muestral utilizado.</t>
  </si>
  <si>
    <t>A convenir</t>
  </si>
  <si>
    <t>Actualización de diseño muestral complejo</t>
  </si>
  <si>
    <t xml:space="preserve">Se entrega el documento en word del diseño, con toda la programación en R y marco muestral final, adicional a todo el acompañamiento y clarificación de dudas. </t>
  </si>
  <si>
    <t>Tabulados con error muestral o estimaciones asistidas por modelos</t>
  </si>
  <si>
    <t>Se entrega las tablas con las estimaciones de los indicadores y sus errores muestrales, además de la programación en R.</t>
  </si>
  <si>
    <t>* Valores estimados por procesos, las asesorias adicionales o acompañamiento a cliente, serían horas adicionales.</t>
  </si>
  <si>
    <t>text insight</t>
  </si>
  <si>
    <t>Level 1</t>
  </si>
  <si>
    <t>Level 2</t>
  </si>
  <si>
    <t>Level 8</t>
  </si>
  <si>
    <t>flujo</t>
  </si>
  <si>
    <t>3 meses</t>
  </si>
  <si>
    <t>distributivas</t>
  </si>
  <si>
    <t>2023-Alternativa 1</t>
  </si>
  <si>
    <t>2023-Alternativa 2</t>
  </si>
  <si>
    <t>OPS</t>
  </si>
  <si>
    <t>Billing Rate</t>
  </si>
  <si>
    <t xml:space="preserve">                             469,133 </t>
  </si>
  <si>
    <t xml:space="preserve">              535,986 </t>
  </si>
  <si>
    <t>Valor hora L6 OPS</t>
  </si>
  <si>
    <t xml:space="preserve">                               86,452 </t>
  </si>
  <si>
    <t xml:space="preserve">              105,942 </t>
  </si>
  <si>
    <t xml:space="preserve">                46,997 </t>
  </si>
  <si>
    <t>Mauricio hacia el mes de sept/ oct, realizar un incremento del 13,12%</t>
  </si>
  <si>
    <t xml:space="preserve">                               20,319 </t>
  </si>
  <si>
    <t>Level</t>
  </si>
  <si>
    <t>Rate Status</t>
  </si>
  <si>
    <t>Start Date</t>
  </si>
  <si>
    <t>End Date</t>
  </si>
  <si>
    <t>Base Cost Rate</t>
  </si>
  <si>
    <t>Overhead Cost Rate</t>
  </si>
  <si>
    <t>Active</t>
  </si>
  <si>
    <t xml:space="preserve">     11,117 </t>
  </si>
  <si>
    <t xml:space="preserve">       8,311 </t>
  </si>
  <si>
    <t xml:space="preserve">     19,428 </t>
  </si>
  <si>
    <t xml:space="preserve">     44,937 </t>
  </si>
  <si>
    <t xml:space="preserve">     22,232 </t>
  </si>
  <si>
    <t xml:space="preserve">     16,623 </t>
  </si>
  <si>
    <t xml:space="preserve">     38,855 </t>
  </si>
  <si>
    <t xml:space="preserve">     25,691 </t>
  </si>
  <si>
    <t xml:space="preserve">     17,602 </t>
  </si>
  <si>
    <t xml:space="preserve">     43,293 </t>
  </si>
  <si>
    <t xml:space="preserve">     52,581 </t>
  </si>
  <si>
    <t xml:space="preserve">     63,961 </t>
  </si>
  <si>
    <t xml:space="preserve">     18,702 </t>
  </si>
  <si>
    <t xml:space="preserve">     82,663 </t>
  </si>
  <si>
    <t xml:space="preserve">   101,298 </t>
  </si>
  <si>
    <t xml:space="preserve">   163,171 </t>
  </si>
  <si>
    <t xml:space="preserve">     23,018 </t>
  </si>
  <si>
    <t xml:space="preserve">   186,189 </t>
  </si>
  <si>
    <t xml:space="preserve">   228,164 </t>
  </si>
  <si>
    <t xml:space="preserve">   421,367 </t>
  </si>
  <si>
    <t xml:space="preserve">     27,203 </t>
  </si>
  <si>
    <t xml:space="preserve">   448,570 </t>
  </si>
  <si>
    <t xml:space="preserve">   512,493 </t>
  </si>
  <si>
    <t>Proceso</t>
  </si>
  <si>
    <t>No. Procesos</t>
  </si>
  <si>
    <t>Text Analytics</t>
  </si>
  <si>
    <t>Precio unitario sin margen</t>
  </si>
  <si>
    <t>Resp</t>
  </si>
  <si>
    <t>Análisis Chaid</t>
  </si>
  <si>
    <t>David</t>
  </si>
  <si>
    <t>Clustering-perfilamiento</t>
  </si>
  <si>
    <t>Melanie</t>
  </si>
  <si>
    <t>Se entrega un mapa en una hoja excel, con las coordenadas de cada punto, las proyecciones de los casos ilustrativos (cuando hay bases muy pequeñas) y las agrupaciones sombreadas a partir de los análisis de dendogramas.</t>
  </si>
  <si>
    <t>Se entrega en archivo excel con la matrix correlaciones.</t>
  </si>
  <si>
    <t>Un modelo se entrega en una hoja excel, con una hoja inicial de guía para interpretación.</t>
  </si>
  <si>
    <t>Un indicador se entrega en una hoja excel, con el peso de cada una de las variables involucradas en el análisis, el calculo del indicador en una apertura requerida y el cálculo del indicador en cada uno de los registros del estudio.</t>
  </si>
  <si>
    <t>Se entrega una tabla para el producto de prueba con el resultado del source of volumen por cada producto y cada categoría.</t>
  </si>
  <si>
    <t>Se entrega un grafo con su debida partición, las métricas y la identificación de cada palabra con su registro, grupo y número de menciones.</t>
  </si>
  <si>
    <t>Se entrega el diseño de las tareas y en excel lo resultados de las utilidades y tablas de resumen del desempeño de las opciones evaluadas.</t>
  </si>
  <si>
    <t>Se entrega una tabla en excel con la meta o el cálculo de la inferencia realizada.</t>
  </si>
  <si>
    <t>Diseño de muestra complejo</t>
  </si>
  <si>
    <t>Importancia de atributos y variables, con las simulaciones del share.</t>
  </si>
  <si>
    <t>Importancia de atributos y variables con las simulaciones del share, las elesticidades marginales, cruzadas y la canibalización</t>
  </si>
  <si>
    <t>IBN</t>
  </si>
  <si>
    <t>Aplicar algoritmo segmentación</t>
  </si>
  <si>
    <t>VALOR TOTAL</t>
  </si>
  <si>
    <t>*Precio vigente 2022</t>
  </si>
  <si>
    <t>El estudio contempla Niños</t>
  </si>
  <si>
    <t>El estudio contempla niños</t>
  </si>
  <si>
    <t>Reclutamiento NSE 5 y 6</t>
  </si>
  <si>
    <t>Obsequios NSE 5 y 6</t>
  </si>
  <si>
    <t>Valor GMU (Brasil, francia, EEUU, etc.)</t>
  </si>
  <si>
    <t>Transporte Niños</t>
  </si>
  <si>
    <t>Transporte Bebidas Alcoholicas</t>
  </si>
  <si>
    <t>Número de Olas/rondas</t>
  </si>
  <si>
    <t>Duplicado</t>
  </si>
  <si>
    <t>B2C</t>
  </si>
  <si>
    <t>B2B</t>
  </si>
  <si>
    <t>Gobierno</t>
  </si>
  <si>
    <t>Nuevo</t>
  </si>
  <si>
    <t xml:space="preserve">Bitacora de ajustes </t>
  </si>
  <si>
    <t>Cotizaciones</t>
  </si>
  <si>
    <t>1. Ajustar en la categoría de Bebidas siempre cotice Vasos de Murano</t>
  </si>
  <si>
    <t>2. Definir con Sandra si el valor de ella es solo costo o va con Gross o con OP</t>
  </si>
  <si>
    <t>3. Cambiar apoyo a la puerta, este recurso solo se necesita cuando es Bogotá</t>
  </si>
  <si>
    <t>Lanzamiento</t>
  </si>
  <si>
    <t>1. Que salga el Ratecard de estadistica y hale el costo</t>
  </si>
  <si>
    <t>2. Los valores de Incentivos y reclutamiento vengan predefinidos</t>
  </si>
  <si>
    <t>3. Agregar si el estudio contempla niños y que genere la adición del presupuesto</t>
  </si>
  <si>
    <t>4. Agregar el espacio para colocar valores de la GMU</t>
  </si>
  <si>
    <t>5. Distribudión de la muestra por población</t>
  </si>
  <si>
    <t>Realizado</t>
  </si>
  <si>
    <t>6. Considerar el autoaplicado</t>
  </si>
  <si>
    <t xml:space="preserve">Pendiente </t>
  </si>
  <si>
    <t>4. agregar nota a Bebidas Alcoholicas para que coloquen la hora de inicio de la labor de campo en el grupo objetivo</t>
  </si>
  <si>
    <t>5. Ajustar el valor del transporte para cuando es niños, dejandolo en 15.000</t>
  </si>
  <si>
    <t>6. Ajustar el valor del transporte para cuando es Bebida Alcoholica, dejandolo en 28.000</t>
  </si>
  <si>
    <t>1. Agregar la casilla para el número de olas</t>
  </si>
  <si>
    <t>2. Eficiencia en el script, agregar si es nuevo o se puede reutilizar uno previo</t>
  </si>
  <si>
    <t>3. Incluir como opción B2C, B2B Gobierno</t>
  </si>
  <si>
    <t>4, Script costo eficiencia</t>
  </si>
  <si>
    <t>5. Harmoni donde va el costo</t>
  </si>
  <si>
    <t>6. Listado de cuales son las ciudades a las que llegamos y que salgan</t>
  </si>
  <si>
    <t>7. Agregar nacional para base de datos</t>
  </si>
  <si>
    <t>Pendiente</t>
  </si>
  <si>
    <t>Siembra y recolección</t>
  </si>
  <si>
    <t>CATI</t>
  </si>
  <si>
    <t>Otros costos</t>
  </si>
  <si>
    <t>Otros Costos</t>
  </si>
  <si>
    <t>Papel Higienico</t>
  </si>
  <si>
    <t>Bogotá</t>
  </si>
  <si>
    <t>Medellín</t>
  </si>
  <si>
    <t>Barranquilla</t>
  </si>
  <si>
    <t>MSC003 - Market Structure</t>
  </si>
  <si>
    <t>MSC005 - U&amp;A</t>
  </si>
  <si>
    <t>MSC007 - U&amp;A - Templated</t>
  </si>
  <si>
    <t>MSC010 - Fast MSU</t>
  </si>
  <si>
    <t>Taxi a participantes</t>
  </si>
  <si>
    <t>Harmoni</t>
  </si>
  <si>
    <t>Neveras</t>
  </si>
  <si>
    <t>Graficación</t>
  </si>
  <si>
    <t>Valor encuesta incluye minuto y el valor encuestador</t>
  </si>
  <si>
    <t>Calidad se revisa internamente</t>
  </si>
  <si>
    <t>NIVEL</t>
  </si>
  <si>
    <t>5 a 10</t>
  </si>
  <si>
    <t>10 A 20</t>
  </si>
  <si>
    <t>20 A 30</t>
  </si>
  <si>
    <t>MAS DE 30</t>
  </si>
  <si>
    <t xml:space="preserve">OBSERVACION </t>
  </si>
  <si>
    <t>ALTO(EMPRESARIALES, GOBIERNO,PROBABILISTICO)</t>
  </si>
  <si>
    <t>Depende el perfil bolsa de valores se ha pagado $120000 encuesta)</t>
  </si>
  <si>
    <t>MEDIANA</t>
  </si>
  <si>
    <t>BAJO(MASIVO)</t>
  </si>
  <si>
    <t>5 a 10 Min</t>
  </si>
  <si>
    <t>10 A 20 min</t>
  </si>
  <si>
    <t>20 A 30 min</t>
  </si>
  <si>
    <t>MAS DE 30 min</t>
  </si>
  <si>
    <t>incidencia 79%, Efectividad 90%</t>
  </si>
  <si>
    <t>Efectividad minimo del 60%</t>
  </si>
  <si>
    <t>Efectividad minimo del 40%</t>
  </si>
  <si>
    <t>Solo Colombia</t>
  </si>
  <si>
    <t>Metodología SL</t>
  </si>
  <si>
    <t>Metodología de Recolección</t>
  </si>
  <si>
    <t xml:space="preserve">Localización Central </t>
  </si>
  <si>
    <t>Panel</t>
  </si>
  <si>
    <t>Autoaplicada</t>
  </si>
  <si>
    <t>F2F</t>
  </si>
  <si>
    <t>ONLINE</t>
  </si>
  <si>
    <t>MISTERY</t>
  </si>
  <si>
    <t>Mistery</t>
  </si>
  <si>
    <t>Fecha de aprobación estimada</t>
  </si>
  <si>
    <t>Fecha de campo</t>
  </si>
  <si>
    <t>Probabilidad de aprobación</t>
  </si>
  <si>
    <t>Alta</t>
  </si>
  <si>
    <t>Media</t>
  </si>
  <si>
    <t>Baja</t>
  </si>
  <si>
    <t>Nombre Propuesta/#</t>
  </si>
  <si>
    <t>Penetración</t>
  </si>
  <si>
    <t xml:space="preserve"> </t>
  </si>
  <si>
    <t>Base de datos</t>
  </si>
  <si>
    <t>Comprar</t>
  </si>
  <si>
    <t>Reutilización</t>
  </si>
  <si>
    <t>Bases de Datos</t>
  </si>
  <si>
    <t>1. Cambiar de lugar los insumos para que la parte final sea la de INNO y no quede en la mitad</t>
  </si>
  <si>
    <t>Etiquetado, blind, o prueba a ciegas</t>
  </si>
  <si>
    <t>Valor del Obsequio  en caso de requerirlo</t>
  </si>
  <si>
    <t>Valor del  Reclutamiento en caso de requerirlo</t>
  </si>
  <si>
    <t>7. Ajustar los valores de reclutamiento y obsequio estan trocados</t>
  </si>
  <si>
    <t>8. Agregar si requieren pilotos</t>
  </si>
  <si>
    <t>9. Ajustar D84, esta sumando D81</t>
  </si>
  <si>
    <t>Envios</t>
  </si>
  <si>
    <t>10. Valor de Envios, ajustar nombre para identificación rápida</t>
  </si>
  <si>
    <t>Locación Bucaramanga</t>
  </si>
  <si>
    <t>Locación Cartagena</t>
  </si>
  <si>
    <t>Localización Otra Ciudad 1</t>
  </si>
  <si>
    <t>Localización Otra Ciudad 2</t>
  </si>
  <si>
    <t>Localización Otra Ciudad 3</t>
  </si>
  <si>
    <t>11. Sumar en la pestaña de Entrada en el item Script + Script de reclutamiento</t>
  </si>
  <si>
    <t>Requiere refrigeración anticipada</t>
  </si>
  <si>
    <t>12. Agregar parametro de refrigeración</t>
  </si>
  <si>
    <t>13.</t>
  </si>
  <si>
    <t>Prueba</t>
  </si>
  <si>
    <t>Monádica</t>
  </si>
  <si>
    <t>Monádica sequencial</t>
  </si>
  <si>
    <t>No aplica</t>
  </si>
  <si>
    <t>Clase de Prueba</t>
  </si>
  <si>
    <t>Reporte de Pilotos</t>
  </si>
  <si>
    <t>Estamos generando diferencias en pago a encuestadores</t>
  </si>
  <si>
    <t>%</t>
  </si>
  <si>
    <t>Equipo de Cotización Piloto 1</t>
  </si>
  <si>
    <t xml:space="preserve">Insumos </t>
  </si>
  <si>
    <t xml:space="preserve">Codificación </t>
  </si>
  <si>
    <t>A nivel Total sin gross esta el Ratecard por debajo de Matrix</t>
  </si>
  <si>
    <t>Equipo de Cotización Piloto 2</t>
  </si>
  <si>
    <t>A nivel Total sin gross esta el Ratecard por Encima de Matrix</t>
  </si>
  <si>
    <t>Transporte de Locaciones</t>
  </si>
  <si>
    <t>Transporte de Encuestadores</t>
  </si>
  <si>
    <t>Transporte de Supervisores</t>
  </si>
  <si>
    <t>Piloto con Javier CEX</t>
  </si>
  <si>
    <t>Piloto con Ana Caro Inno</t>
  </si>
  <si>
    <t>Piloto con David Inno</t>
  </si>
  <si>
    <t>Piloto con Juanfe Inno</t>
  </si>
  <si>
    <t>En promedio esta por debajo de Matrix</t>
  </si>
  <si>
    <t>Esta por encima de brasil en promedio</t>
  </si>
  <si>
    <t>Entre escenarios se mueve en un promedio</t>
  </si>
  <si>
    <t>Pero con pricing esta el Ratecar por encima de Matrix</t>
  </si>
  <si>
    <t>Equipo de Cotización Piloto 3</t>
  </si>
  <si>
    <t>BTI008 - Brand&amp;Comms Track w. intg data</t>
  </si>
  <si>
    <t>BTT001 - Brand &amp; Comms Tracking</t>
  </si>
  <si>
    <t>BTT002 - Brand Tracking</t>
  </si>
  <si>
    <t>BTT010 - Contextual Brand Tracking</t>
  </si>
  <si>
    <t>Incentivos esta por encima de Matrix</t>
  </si>
  <si>
    <t>Transporte Locaciones por encima de matrix</t>
  </si>
  <si>
    <t>Medio</t>
  </si>
  <si>
    <t>Bajo</t>
  </si>
  <si>
    <t>Valor encuestas CATI</t>
  </si>
  <si>
    <t>Valor Campo Internacional</t>
  </si>
  <si>
    <t>CAMPO INTERNACIONAL</t>
  </si>
  <si>
    <t>Valor proveedor INTERNACIONAL</t>
  </si>
  <si>
    <t>Valor proveedor EXTERNO COLOMBIA</t>
  </si>
  <si>
    <t>Valor Campo EXTERNO</t>
  </si>
  <si>
    <t>Clientes</t>
  </si>
  <si>
    <t>PEPSICO ALIMENTOS COLOMBIA LTDA</t>
  </si>
  <si>
    <t>FERRERO LADM ANDEAN REGION</t>
  </si>
  <si>
    <t>GENFAR S.A</t>
  </si>
  <si>
    <t>BAYER S A</t>
  </si>
  <si>
    <t>BAVARIA &amp; CIA SCA</t>
  </si>
  <si>
    <t>COCA-COLA BEBIDAS DE COLOMBIA S.A</t>
  </si>
  <si>
    <t>MSU BOLIVIA</t>
  </si>
  <si>
    <t>BANCO AGRARIO DE COLOMBIA</t>
  </si>
  <si>
    <t>PRODUCTOS ROCHE SA</t>
  </si>
  <si>
    <t>HEALTHCARE COLOMBIA</t>
  </si>
  <si>
    <t>RENAULT SAS</t>
  </si>
  <si>
    <t>UNE EPM TELECOMUNICACIONES SA</t>
  </si>
  <si>
    <t>MYSTERY SHOPPING COLOMBIA</t>
  </si>
  <si>
    <t>MILLICOM INTERNATIONAL SERVICES LLC</t>
  </si>
  <si>
    <t>CEX COLOMBIA</t>
  </si>
  <si>
    <t>INNOVATION COLOMBIA</t>
  </si>
  <si>
    <t>CENCOSUD COLOMBIA S.A.</t>
  </si>
  <si>
    <t>COCA-COLA INDUSTRIAS LTDA</t>
  </si>
  <si>
    <t>FERRERO LATIN AMERICA DEVELOPING MARKETS</t>
  </si>
  <si>
    <t>HALEON COLOMBIA S.A.S.</t>
  </si>
  <si>
    <t>NESTLE DE COLOMBIA S A</t>
  </si>
  <si>
    <t>COLGATE PALMOLIVE COMPAÑIA</t>
  </si>
  <si>
    <t>KRAFT FOODS COLOMBIA LTDA</t>
  </si>
  <si>
    <t>BHT COLOMBIA 2</t>
  </si>
  <si>
    <t>BANCOLOMBIA S.A.</t>
  </si>
  <si>
    <t>BANCO INTERAMERICANO DE DESARROLLO</t>
  </si>
  <si>
    <t>MONDELEZ COLOMBIA S.A.S</t>
  </si>
  <si>
    <t>NOVARTIS DE COLOMBIA S.A</t>
  </si>
  <si>
    <t>HEALTH MEXICO</t>
  </si>
  <si>
    <t>MEDPLUS MEDICINA PREPAGADA S.A</t>
  </si>
  <si>
    <t>PUBLIC AFFAIRS SWITZERLAND</t>
  </si>
  <si>
    <t>OPERATIONS CATI MEXICO</t>
  </si>
  <si>
    <t>OPERATION CATI</t>
  </si>
  <si>
    <t>PARTNERS TELECOM COLOMBIA S.A.S.</t>
  </si>
  <si>
    <t>MSU COLOMBIA</t>
  </si>
  <si>
    <t>US QUALITATIVE CPG</t>
  </si>
  <si>
    <t>CONSTRUCTORA BOLIVAR S.A.</t>
  </si>
  <si>
    <t>ORGANIZACION TERPEL SA</t>
  </si>
  <si>
    <t>SANOFI AVENTIS DE COLOMBIA SA</t>
  </si>
  <si>
    <t>SERVICIOS NUTRESA S.A.S.</t>
  </si>
  <si>
    <t>CENTER INTERNATIONAL PRIVATE ENTERPRISE</t>
  </si>
  <si>
    <t>PUBLIC AFFAIRS NAPOLEON FRANCO</t>
  </si>
  <si>
    <t>BHT PERU</t>
  </si>
  <si>
    <t>ISRI UK 02010</t>
  </si>
  <si>
    <t>COST ONLY</t>
  </si>
  <si>
    <t>CIMENTO INMUEBLES COMERCIALES S.A.S</t>
  </si>
  <si>
    <t>COLOMBIA MOVIL S.A. ESP</t>
  </si>
  <si>
    <t>SCOTIABANK COLPATRIA S.A.</t>
  </si>
  <si>
    <t>PANAGORA GROUP SAS</t>
  </si>
  <si>
    <t>BOEHRINGER INGELHEIM S.A.</t>
  </si>
  <si>
    <t>CEMENTOS ARGOS S.A.</t>
  </si>
  <si>
    <t>IPSOS UU MEXICO</t>
  </si>
  <si>
    <t>US MSU - RESEARCH CONSULTING</t>
  </si>
  <si>
    <t>ALIMENTOS POLAR COLOMBIA S.A.S</t>
  </si>
  <si>
    <t>BOLSA DE VALORES DE COLOMBIA SA</t>
  </si>
  <si>
    <t>BECTON DICKINSON DE COLOMBIA LTDA</t>
  </si>
  <si>
    <t>LABORATORIO FRANCO COLOMBIANO LAFRANCOL</t>
  </si>
  <si>
    <t>POLLOS EL BUCANERO S.A</t>
  </si>
  <si>
    <t>ALMACENES EXITO S A</t>
  </si>
  <si>
    <t>FUNDACION SANTA FE DE BOGOTA</t>
  </si>
  <si>
    <t>BHT MEXICO</t>
  </si>
  <si>
    <t>ELI LILLY INTERAMERICA INC.</t>
  </si>
  <si>
    <t>MSU PANAMA</t>
  </si>
  <si>
    <t>DANONE BABY NUTRITION COLOMBIA S.A.S.</t>
  </si>
  <si>
    <t>GENERAL MOTORS COLMOTORES SA</t>
  </si>
  <si>
    <t>VANTI S.A ESP</t>
  </si>
  <si>
    <t>VANTI SOLUCIONES SAS</t>
  </si>
  <si>
    <t>AMERICAS BUSSINES PROCESS SERVICES S.A</t>
  </si>
  <si>
    <t>SANOFI AVENTIS DE PANAMA</t>
  </si>
  <si>
    <t>RENAULT SOCIEDAD DE FABRICACION DE AUTOM</t>
  </si>
  <si>
    <t>MEDIA DEVELOPMENT</t>
  </si>
  <si>
    <t>BRISTOL MYERS SQUIBB DE COLOMBIA S.A</t>
  </si>
  <si>
    <t>PERNOD RICARD COLOMBIA</t>
  </si>
  <si>
    <t>EMPRESAS PUBLICAS DE MEDELLIN E.S.P</t>
  </si>
  <si>
    <t>NOVO NORDISK COLOMBIA S.A.S</t>
  </si>
  <si>
    <t>HEALTHCARE</t>
  </si>
  <si>
    <t>CASTROL COLOMBIA LTDA</t>
  </si>
  <si>
    <t>CORPORACION ANDINA DE FOMENTO</t>
  </si>
  <si>
    <t>REPUTATION CENTRE</t>
  </si>
  <si>
    <t>MERCK S.A.</t>
  </si>
  <si>
    <t>COMPAÑIA COLOMBIANA DE TABACO S.A.S.</t>
  </si>
  <si>
    <t>OBSERVER FULL SERVICE</t>
  </si>
  <si>
    <t>NEW MONITORS</t>
  </si>
  <si>
    <t>UNIÓN TEMPORAL ÍTACA -</t>
  </si>
  <si>
    <t>BIIB COLOMBIA S.A.S</t>
  </si>
  <si>
    <t>YALE UNIVERSITY</t>
  </si>
  <si>
    <t>BAXALTA COLOMBIA S.A.S.</t>
  </si>
  <si>
    <t>SANAUTOS S.A.</t>
  </si>
  <si>
    <t>COLOMBIANA KIMBERLY COLPAPEL S.A.S</t>
  </si>
  <si>
    <t>NESTLE DE COLOMBIA S.A.</t>
  </si>
  <si>
    <t>STRATEGY3 BRAZIL</t>
  </si>
  <si>
    <t>PROCTER &amp; GAMBLE COMPANY</t>
  </si>
  <si>
    <t>MKG HEALTH</t>
  </si>
  <si>
    <t>COLOMBIANA DE COMERCIO S.A.</t>
  </si>
  <si>
    <t>ASTELLAS FARMA COLOMBIA S A S</t>
  </si>
  <si>
    <t>FINANCIERA DE DESARROLLO NACIONAL S.A.</t>
  </si>
  <si>
    <t>MSU MEXICO</t>
  </si>
  <si>
    <t>US QUALITATIVE FIT</t>
  </si>
  <si>
    <t>AEROREPUBLICA S.A.</t>
  </si>
  <si>
    <t>HYUNDAI MOTOR GROUP</t>
  </si>
  <si>
    <t>AVON COLOMBIA S.A.S</t>
  </si>
  <si>
    <t>COMITE INTERNACIONAL DE LA CRUZ ROJA</t>
  </si>
  <si>
    <t>CORPORATE REP ARGENTINA</t>
  </si>
  <si>
    <t>CASA DE BOLSA S.A</t>
  </si>
  <si>
    <t>FILTROS PARTMO S.A.S.</t>
  </si>
  <si>
    <t>US INNOVATION</t>
  </si>
  <si>
    <t>NEW YORK UNIVERSITY</t>
  </si>
  <si>
    <t>COLTABACO,S.A.S.</t>
  </si>
  <si>
    <t>OBSERVER MUMBAI</t>
  </si>
  <si>
    <t>QUALI MKT</t>
  </si>
  <si>
    <t>ALIMENTOS CARNICOS S.A.S.</t>
  </si>
  <si>
    <t>CEX MEXICO</t>
  </si>
  <si>
    <t>COCA COLA SERVICIOS DE COLOMBIA SA</t>
  </si>
  <si>
    <t>GLAXOSMITHKLINE COLOMBIA S.A.</t>
  </si>
  <si>
    <t>ARCOS DORADOS COLOMBIA S.A.S</t>
  </si>
  <si>
    <t>MSU DOMINICAN REPUBLIC</t>
  </si>
  <si>
    <t>NORTHBAY INTERNATIONAL, INC.</t>
  </si>
  <si>
    <t>COKE BEACH PROGRAM</t>
  </si>
  <si>
    <t>BHT BRAZIL</t>
  </si>
  <si>
    <t>CKR ICCL</t>
  </si>
  <si>
    <t>TEAMFOODS COLOMBIA SA</t>
  </si>
  <si>
    <t>COMPAÑÍA NACIONAL DE CHOCOLATES S.A</t>
  </si>
  <si>
    <t>US CREATIVE EXCELLENCE</t>
  </si>
  <si>
    <t>MSU ITALY</t>
  </si>
  <si>
    <t>FONDO DE EMPLEADOS DE EMPRESAS</t>
  </si>
  <si>
    <t>HEALTH CUSTOM</t>
  </si>
  <si>
    <t>SANOFI - AVENTIS DEL ECUADOR S.A</t>
  </si>
  <si>
    <t>ABBVIE S.A.S.</t>
  </si>
  <si>
    <t>ALPINA PRODUCTOS ALIMENTICIOS S.A</t>
  </si>
  <si>
    <t>TAKEDA S.A.S</t>
  </si>
  <si>
    <t>DECATHLON COLOMBIA SAS</t>
  </si>
  <si>
    <t>BOGOTA DISTRITO CAPITAL</t>
  </si>
  <si>
    <t>CARACOL TELEVISION S.A</t>
  </si>
  <si>
    <t>MIBANCO BANCO DE LA MICROEMPRESA DE</t>
  </si>
  <si>
    <t>ASOCIACION DE EGRESADOS DE LA</t>
  </si>
  <si>
    <t>USPA - SUSDEV</t>
  </si>
  <si>
    <t>CORPORACION PIPASA S.R.L</t>
  </si>
  <si>
    <t>BEVERAGE PARTNERS WORLDWIDE *INACTIVE*</t>
  </si>
  <si>
    <t>CORPORATE REPUTATION MEXICO</t>
  </si>
  <si>
    <t>COMPAÑIA DE SEGUROS DE VIDA COLMENA S.A</t>
  </si>
  <si>
    <t>IKSO SAS</t>
  </si>
  <si>
    <t>DEPARTAMENTO NACIONAL DE PLANEACION</t>
  </si>
  <si>
    <t>MSU COSTA RICA</t>
  </si>
  <si>
    <t>PORSCHE COLOMBIA SAS</t>
  </si>
  <si>
    <t>PRODUCTOS NATURALES DE LA SABANA S.A.S</t>
  </si>
  <si>
    <t>COCA-COLA LTD.</t>
  </si>
  <si>
    <t>DASA DE COLOMBIA S.A.S</t>
  </si>
  <si>
    <t>FONDO DE EMPLEADOS DE GRUPO ARGOS Y FILI</t>
  </si>
  <si>
    <t>GRUPO CBC SA</t>
  </si>
  <si>
    <t>INNOVATION PERU</t>
  </si>
  <si>
    <t>EMBAJADA DE SUECIA</t>
  </si>
  <si>
    <t>MUI E ICL</t>
  </si>
  <si>
    <t>DISCURRAMBA S.A.S.</t>
  </si>
  <si>
    <t>BANCO MUNDIAL</t>
  </si>
  <si>
    <t>BSN MEDICAL LIMITADA</t>
  </si>
  <si>
    <t>INN BRAZIL</t>
  </si>
  <si>
    <t>ENSA</t>
  </si>
  <si>
    <t>STRATEGY3 USA</t>
  </si>
  <si>
    <t>INDUSTRIAS HACEB S.A</t>
  </si>
  <si>
    <t>PENNZOIL-QUAKER STATE COMPANY</t>
  </si>
  <si>
    <t>BUSINESS CONSULTING</t>
  </si>
  <si>
    <t>US BRAND HEALTH</t>
  </si>
  <si>
    <t>ARTICULOS DEPORTIVOS DECATHLON</t>
  </si>
  <si>
    <t>DECATHLON CHILE SPA</t>
  </si>
  <si>
    <t>INNOVATION ARGENTINA</t>
  </si>
  <si>
    <t>SANOFI - PASTEUR S.A</t>
  </si>
  <si>
    <t>RAPPI S.A.S</t>
  </si>
  <si>
    <t>EDUARDO BOTERO SOTO S.A.</t>
  </si>
  <si>
    <t>OPELLA HEALTHCARE ECUADOR S.A.S.</t>
  </si>
  <si>
    <t>QUALI BRAZIL</t>
  </si>
  <si>
    <t>ASESORIAS CC SAS</t>
  </si>
  <si>
    <t>FINANCIERA DE DESARROLLO TERRITORIAL SA</t>
  </si>
  <si>
    <t>NEXANS COLOMBIA SAS</t>
  </si>
  <si>
    <t>BEL STAR S.A.</t>
  </si>
  <si>
    <t>RB HEALTH COLOMBIA S.A.S.</t>
  </si>
  <si>
    <t>THE BOSTON CONSULTING GROUP SAS</t>
  </si>
  <si>
    <t>CREATIVE EXCELLENCE COLOMBIA</t>
  </si>
  <si>
    <t>MUI C ICL</t>
  </si>
  <si>
    <t>ONLINE COMMUNITIES MEXICO</t>
  </si>
  <si>
    <t>AVIANCA PERÚ S.A.</t>
  </si>
  <si>
    <t>SRL ELEX LTD</t>
  </si>
  <si>
    <t>CONGELADOS AGRICOLAS S.A.</t>
  </si>
  <si>
    <t>JANSSEN CILAG S.A.</t>
  </si>
  <si>
    <t>EMPRESAS POLAR</t>
  </si>
  <si>
    <t>DDB WORLDWIDE COLOMBIA S.A.</t>
  </si>
  <si>
    <t>FUNDACION ORIGEN</t>
  </si>
  <si>
    <t>SERVICIOS ESPECIALIZADOS EN TELECOMUNICA</t>
  </si>
  <si>
    <t>IPSOS UU</t>
  </si>
  <si>
    <t>MERCADOLIBRE COLOMBIA LTDA</t>
  </si>
  <si>
    <t>CUSTOMER EXPERIENCE BELGIUM</t>
  </si>
  <si>
    <t>OPELLA HEALTHCARE COLOMBIA S.A.S</t>
  </si>
  <si>
    <t>PEPSICOLA COLOMBIA LTDA</t>
  </si>
  <si>
    <t>MSU UK 1</t>
  </si>
  <si>
    <t>HEINZ PANAMA S.A.</t>
  </si>
  <si>
    <t>BANCO AGROMERCANTIL DE GUATEMALA, S.A.</t>
  </si>
  <si>
    <t>EDENRED MEXICO S.A DE C.V</t>
  </si>
  <si>
    <t>PRAGMA S.A.</t>
  </si>
  <si>
    <t>LIFEMILES LTD</t>
  </si>
  <si>
    <t>PUBLIC AFFAIRS</t>
  </si>
  <si>
    <t>SRI</t>
  </si>
  <si>
    <t>GILEAD SCIENCES COLOMBIA S.A.S.</t>
  </si>
  <si>
    <t>EMPRESAS VARIAS DE MEDELLIN S.A E.S.P</t>
  </si>
  <si>
    <t>TECNOFAR TQ S.A.S.</t>
  </si>
  <si>
    <t>OBSERVER IC CHILE</t>
  </si>
  <si>
    <t>COMPAÑIA NACIONAL DE CHOCOLATES DE PERU</t>
  </si>
  <si>
    <t>SAMSUNG ELECTRONICS COLOMBIA S.A</t>
  </si>
  <si>
    <t>INMOVILIARIA LA COLINA ARAUCO S.A.S</t>
  </si>
  <si>
    <t>SHOPEE COLOMBIA S.A.S.</t>
  </si>
  <si>
    <t>CENTRAL CERVECERA DE COLOMBIA S.A.S.</t>
  </si>
  <si>
    <t>OPS OBSV B SSMI</t>
  </si>
  <si>
    <t>XM COMPAÑIA DE EXPERTOS EN MERCADOS S.A.</t>
  </si>
  <si>
    <t>MILLICOM INTERNATIONAL CELLULAR S.A</t>
  </si>
  <si>
    <t>CAJA COLOMBIANA DE SUBSIDIO COLSUBSIDIO</t>
  </si>
  <si>
    <t>IUU CANADA PA</t>
  </si>
  <si>
    <t>CARGILL DE COLOMBIA LTDA</t>
  </si>
  <si>
    <t>CUSTOM UK</t>
  </si>
  <si>
    <t>INN MEXICO</t>
  </si>
  <si>
    <t>CEI M ICCL</t>
  </si>
  <si>
    <t>BIOTOSCANA</t>
  </si>
  <si>
    <t>CENTRAL HIDROELECTRICA DE CALDAS SA ESP</t>
  </si>
  <si>
    <t>ELECTRIFICADORA DE SANTANDER S.A.</t>
  </si>
  <si>
    <t>CENTRALES ELÉCTRICAS DEL NORTE DE SANTAN</t>
  </si>
  <si>
    <t>EMPRESA DE ENERGIA DEL QUINDIO SA ESP</t>
  </si>
  <si>
    <t>CARIBEMAR DE LA COSTA SAS ESP</t>
  </si>
  <si>
    <t>EMPRESA DE AGUAS DEL ORIENTE ANTIOQUEÑO</t>
  </si>
  <si>
    <t>AGUAS REGIONALES EPM S.A. E.S.P.</t>
  </si>
  <si>
    <t>MSU GUATEMALA</t>
  </si>
  <si>
    <t>LOREAL COLOMBIA SAS</t>
  </si>
  <si>
    <t>LABORATORIOS SOPHIA S.A. DE C.V.</t>
  </si>
  <si>
    <t>IDP INTERNAL / DEMO / PILOT</t>
  </si>
  <si>
    <t>CORPORACION MALOKA DE CIENCIA, TECNOLOGI</t>
  </si>
  <si>
    <t>ALEXION PHARMA COLOMBIA S.A.S.</t>
  </si>
  <si>
    <t>DEPOSITO CENTRALIZADO DE VALORES</t>
  </si>
  <si>
    <t>BANCO AGRARIO</t>
  </si>
  <si>
    <t>ALCUBO PRODUCCIONES S.A.S</t>
  </si>
  <si>
    <t>EMERGING RESEARCH UK</t>
  </si>
  <si>
    <t>LABORATORIOS SOPHIA DE COLOMBIA LTDA</t>
  </si>
  <si>
    <t>IUU SG</t>
  </si>
  <si>
    <t>MYSTERY SHOPPING MEXICO</t>
  </si>
  <si>
    <t>PRICEWATERHOUSECOOPERS SERVICIOS LEGALES</t>
  </si>
  <si>
    <t>FONDO DE LAS NACIONES UNIDAS PARA LA</t>
  </si>
  <si>
    <t>UNIVERSITY OF DENVER</t>
  </si>
  <si>
    <t>FUNDACION PROMIGAS</t>
  </si>
  <si>
    <t>NOVAVENTA S.A.S.</t>
  </si>
  <si>
    <t>CEX ARGENTINA</t>
  </si>
  <si>
    <t>MAREAUTO COLOMBIA SAS</t>
  </si>
  <si>
    <t>RENAULT DO BRASIL S.A.</t>
  </si>
  <si>
    <t>MEXICHEM COLOMBIA S A S</t>
  </si>
  <si>
    <t>HEALTHCARE SWEDEN</t>
  </si>
  <si>
    <t>DISTANCO S.A.S.</t>
  </si>
  <si>
    <t>MSU VENEZUELA D</t>
  </si>
  <si>
    <t>FÁBRICA DE LICORES DE ANTIOQUIA</t>
  </si>
  <si>
    <t>VEGA JARAMILLO &amp; ASOCIADOS S A S</t>
  </si>
  <si>
    <t>GECELCA SA ESP</t>
  </si>
  <si>
    <t>IUU ECUADOR</t>
  </si>
  <si>
    <t>ALIMENTOS POLAR COMERCIAL, C.A.</t>
  </si>
  <si>
    <t>CRYSTAL S.A.S.</t>
  </si>
  <si>
    <t>VANDERBILT UNIVERSITY</t>
  </si>
  <si>
    <t>PFIZER S.A.S</t>
  </si>
  <si>
    <t>UNILEVER ANDINA COLOMBIA LTDA</t>
  </si>
  <si>
    <t>MSU ECUADOR</t>
  </si>
  <si>
    <t>INNOVATION</t>
  </si>
  <si>
    <t>TRANSSION INVESTMENT LIMITED</t>
  </si>
  <si>
    <t>AEROVIAS DEL CONTINENTE AMERICANO S.A. A</t>
  </si>
  <si>
    <t>GRUPO DE INVERSIONES SURAMERICANA S.A.</t>
  </si>
  <si>
    <t>CHALLENGER S A S</t>
  </si>
  <si>
    <t>BANCO DAVIVIENDA S.A.</t>
  </si>
  <si>
    <t>SURAMERICANA S.A</t>
  </si>
  <si>
    <t>MSU CHILE</t>
  </si>
  <si>
    <t>GILEAD</t>
  </si>
  <si>
    <t>GRUNENTHAL COLOMBIANA S.A.</t>
  </si>
  <si>
    <t>IUU COLOMBIA</t>
  </si>
  <si>
    <t>KELLOGG DE COLOMBIA S A</t>
  </si>
  <si>
    <t>FIDUCIARIA BANCOLOMBIA</t>
  </si>
  <si>
    <t>CASTROL CARIBBEAN AND CENTRAL AMERICA IN</t>
  </si>
  <si>
    <t>WESTERN UNION FINANCIAL SERVICES INC</t>
  </si>
  <si>
    <t>CUEROS VELEZ SAS</t>
  </si>
  <si>
    <t>I SHOP COLOMBIA SAS</t>
  </si>
  <si>
    <t>COMUNICACION CELULAR S A COMCEL S A</t>
  </si>
  <si>
    <t>BHT CHILE</t>
  </si>
  <si>
    <t>VISA COSTA RICA</t>
  </si>
  <si>
    <t>VISA INTERNACIONAL SERVICIOS DE PAGO ESP</t>
  </si>
  <si>
    <t>MSU COKE BEACH PROGRAM</t>
  </si>
  <si>
    <t>GOOGLE MEXICO S DE RL DE CV</t>
  </si>
  <si>
    <t>PRODUCTOS FAMILIA SA</t>
  </si>
  <si>
    <t>UNIVERSIDAD DE LOS ANDES</t>
  </si>
  <si>
    <t>GLOBAL WINE &amp; SPIRITS S.A.S</t>
  </si>
  <si>
    <t>OBSERVER PERU</t>
  </si>
  <si>
    <t>GB QUAL</t>
  </si>
  <si>
    <t>VISA INTERNATIONAL MEXICO, S.A. DE C.V.</t>
  </si>
  <si>
    <t>HEALTHCARE ARGENTINA</t>
  </si>
  <si>
    <t>GILEAD SCIENCES FARMACEUTICA DO BRASIL L</t>
  </si>
  <si>
    <t>CONSORCIO GEOMETRY / GREY AGENCIA CREATI</t>
  </si>
  <si>
    <t>TIENDAS OXXO</t>
  </si>
  <si>
    <t>COLOMBINA S.A.</t>
  </si>
  <si>
    <t>TEXTILES LAFAYETTE S.A.S</t>
  </si>
  <si>
    <t>CHEMONICS INTERNATIONAL INC.-USA</t>
  </si>
  <si>
    <t>VISA INTERNATIONAL SERVICE ASSOCIATION</t>
  </si>
  <si>
    <t>TECNOSUR S.A.S</t>
  </si>
  <si>
    <t>PHILIP MORRIS PRODUCTS S.A. OC DIVISION</t>
  </si>
  <si>
    <t>MEALS DE COLOMBIA S.A.S</t>
  </si>
  <si>
    <t>VILEDA FHP EXPORT GMBH</t>
  </si>
  <si>
    <t>STRATEGY 3 COLOMBIA</t>
  </si>
  <si>
    <t>INDUSTRIA NACIONAL DE GASEOSAS S.A.</t>
  </si>
  <si>
    <t>NATURA COSMETICOS LTDA</t>
  </si>
  <si>
    <t>IUU PERU</t>
  </si>
  <si>
    <t>MILLICOM</t>
  </si>
  <si>
    <t>AMBER MARKETING RESEARCH, S.L.</t>
  </si>
  <si>
    <t>FARMA DE COLOMBIA S.A.S</t>
  </si>
  <si>
    <t>CARDIF COLOMBIA SEGUROS GENERALES S.A.</t>
  </si>
  <si>
    <t>WOMPI S.A.S</t>
  </si>
  <si>
    <t>GRUPO OKANA SAS</t>
  </si>
  <si>
    <t>INN ITALY</t>
  </si>
  <si>
    <t>ZAMBON LABORATÓRIOS FARMACÊUTICOS LTDA.</t>
  </si>
  <si>
    <t>ZAMBON COLOMBIA S.A.</t>
  </si>
  <si>
    <t>DIDI</t>
  </si>
  <si>
    <t>COMERCIAL NUTRESA S.A.S</t>
  </si>
  <si>
    <t>SISTEMA INTEGRADO MULTIPLE DE PAGOS ELEC</t>
  </si>
  <si>
    <t>MARRIOTT INTERNATIONAL, INC</t>
  </si>
  <si>
    <t>UBER COLOMBIA SAS</t>
  </si>
  <si>
    <t>WENIA LTD</t>
  </si>
  <si>
    <t>BOSTON SCIENTIFIC COLOMBIA LIMITADA</t>
  </si>
  <si>
    <t>MEGALABS COLOMBIA SAS</t>
  </si>
  <si>
    <t>NU COLOMBIA SA</t>
  </si>
  <si>
    <t>OBSERVER MEXICO</t>
  </si>
  <si>
    <t>PROCTER &amp; GAMBLE COLOMBIA LTDA.</t>
  </si>
  <si>
    <t>SUPERTIENDAS Y DROGUERIAS OLIMPICA S.A.</t>
  </si>
  <si>
    <t>INDECO S.A</t>
  </si>
  <si>
    <t>HARINERA DEL VALLE SA</t>
  </si>
  <si>
    <t>XCB DE COLOMBIA LIMITED SUCURSAL COLOMBI</t>
  </si>
  <si>
    <t>VISA INTERNATIONAL SERV.ASSOCIATION-LAC</t>
  </si>
  <si>
    <t>NUTRIENTES AVICOLAS S.A.S.</t>
  </si>
  <si>
    <t>ADMINISTRADORA PARQUE ARAUCO SAS</t>
  </si>
  <si>
    <t>OPERATIONS</t>
  </si>
  <si>
    <t>TECNOQUIMICAS S.A.</t>
  </si>
  <si>
    <t>INSTITUTO DE INVESTIGACION DE RECURSOS B</t>
  </si>
  <si>
    <t>GLAXOSMITHKLINE BRASIL PRODUTOS PARA CON</t>
  </si>
  <si>
    <t>CABLES DE ENERGIA Y DE TELECOMUNICACIONE</t>
  </si>
  <si>
    <t>IPSOS SA</t>
  </si>
  <si>
    <t>STRATEGY3 FRANCE</t>
  </si>
  <si>
    <t>CARGILL DE NICARAGUA, S.A.</t>
  </si>
  <si>
    <t>IFF COLOMBIA S.A.S.</t>
  </si>
  <si>
    <t>FUNDACION JORGE OTERO DE FRANCISCO Y MAR</t>
  </si>
  <si>
    <t>ASTRAZENECA COLOMBIA SAS</t>
  </si>
  <si>
    <t>ARCOS DORADOS ARGENTINA S.A.</t>
  </si>
  <si>
    <t>CARGILL DE HONDURAS S. DE RL</t>
  </si>
  <si>
    <t>MINISTERIO DE CULTURA</t>
  </si>
  <si>
    <t>US QUALITATIVE HEALTHCARE</t>
  </si>
  <si>
    <t>USAID/USFS</t>
  </si>
  <si>
    <t>PONTIFICIA UNIVERSIDAD JAVERIANA</t>
  </si>
  <si>
    <t>PA KNOWLEDGE PANEL REGULATORY</t>
  </si>
  <si>
    <t>COLGATE PALMOLIVE PERU S.A.</t>
  </si>
  <si>
    <t>VISA INTERNATIONAL</t>
  </si>
  <si>
    <t>GASTRONOMIA ITALIANA EN COLOMBIA S.A.S.</t>
  </si>
  <si>
    <t>MSU BRAZIL</t>
  </si>
  <si>
    <t>GLAXOSMITHKLINE BRASIL LTDA</t>
  </si>
  <si>
    <t>FRITOLAY COLOMBIA LTDA.</t>
  </si>
  <si>
    <t>MSU PERU</t>
  </si>
  <si>
    <t>ASOCIACION COLOMBIANA DE AGENCIAS DE</t>
  </si>
  <si>
    <t>ALCUBO PRODUCCIONES SAS</t>
  </si>
  <si>
    <t>7. Incorporar el Mix Mode</t>
  </si>
  <si>
    <t xml:space="preserve">CEX </t>
  </si>
  <si>
    <t xml:space="preserve"> MSU</t>
  </si>
  <si>
    <t>AB INBEV</t>
  </si>
  <si>
    <t>Pricing final a cliente estudio internacional</t>
  </si>
  <si>
    <t>Dado por valor de las HH y la tasa de cambio</t>
  </si>
  <si>
    <t>Pendiente de revisar el valor de costo directo</t>
  </si>
  <si>
    <t>1. Agregar el espacio proveedores que puedan colocar el valor de campo</t>
  </si>
  <si>
    <t>2. agregar unos rubros de GM que siempre estan en los estudios de BHT</t>
  </si>
  <si>
    <t>3. Agregar espacio para valor Internacional</t>
  </si>
  <si>
    <t>Categoria /Producto</t>
  </si>
  <si>
    <r>
      <t>Graphical modelling (</t>
    </r>
    <r>
      <rPr>
        <sz val="11"/>
        <color rgb="FFFF0000"/>
        <rFont val="Calibri"/>
        <family val="2"/>
        <scheme val="minor"/>
      </rPr>
      <t>INNO</t>
    </r>
    <r>
      <rPr>
        <sz val="11"/>
        <color theme="1"/>
        <rFont val="Calibri"/>
        <family val="2"/>
        <scheme val="minor"/>
      </rPr>
      <t>-sin magnitud de la relación)</t>
    </r>
  </si>
  <si>
    <t>Pilotos Nestle (29)</t>
  </si>
  <si>
    <t>22-26%</t>
  </si>
  <si>
    <t>10-4%</t>
  </si>
  <si>
    <t>Procesos Equipo de Norma y Perú</t>
  </si>
  <si>
    <t>info de la SL</t>
  </si>
  <si>
    <t>Valores de reclutamiento /obsequios</t>
  </si>
  <si>
    <t>Alquiler de Congelador</t>
  </si>
  <si>
    <t>A nivel total del costing sin gross esta por debajo de Matrix, esto esta dado porque al final se ajusto autoaplicado versus F2F del ratecard</t>
  </si>
  <si>
    <t>Equipo de Cotización Piloto 4</t>
  </si>
  <si>
    <t>A nivel Total sin gross esta el Ratecard por debajo  de Matrix</t>
  </si>
  <si>
    <t>Piloto con Adriana</t>
  </si>
  <si>
    <t>Estudio internacional perú, precio final a cliente más alto que la SL</t>
  </si>
  <si>
    <t>Estudio internacional Chile, precio final a cliente más bajo que la SL</t>
  </si>
  <si>
    <t>Siembra y recolección En costos esta por encima de matrix</t>
  </si>
  <si>
    <t>Siembra y recolección En pricing esta por debajo del precio final de SL</t>
  </si>
  <si>
    <t>Pendiente costos de Matrix para comparar</t>
  </si>
  <si>
    <t>Pricing final a cliente, por encima del obtenido por la SL</t>
  </si>
  <si>
    <t>Internacional Republica dominicana Bombombum Colombina, por encima del precio de la SL</t>
  </si>
  <si>
    <t>Café Versus matrix costo directo sin gross</t>
  </si>
  <si>
    <t>Equipo de Cotización Piloto 5</t>
  </si>
  <si>
    <t>Ajustar las formulas de los envios a ciudades, pues se tomaba Bogotá, y ajustar la formulación del peso</t>
  </si>
  <si>
    <t>OBS</t>
  </si>
  <si>
    <t>Brand</t>
  </si>
  <si>
    <t>CSI002 - SI: Shopper Insights</t>
  </si>
  <si>
    <t>Días de campo</t>
  </si>
  <si>
    <t>Online</t>
  </si>
  <si>
    <t>Mystery</t>
  </si>
  <si>
    <t>Autoaplicado/Online</t>
  </si>
  <si>
    <t>No Enc por Locación</t>
  </si>
  <si>
    <t>Valor encuestas Auto aplicado/Online</t>
  </si>
  <si>
    <t>AUTOAPLICADO INNO</t>
  </si>
  <si>
    <t>Valor encuestas Auto aplicado  INNO</t>
  </si>
  <si>
    <t>CAMPO EXTERNO</t>
  </si>
  <si>
    <t>Técnica de Recolección 2</t>
  </si>
  <si>
    <t xml:space="preserve">AUTOAPLICADO </t>
  </si>
  <si>
    <t>NINGUNA</t>
  </si>
  <si>
    <t>Valor encuestas Mystery</t>
  </si>
  <si>
    <t>Costeo Mystery Shopper</t>
  </si>
  <si>
    <t>Descripción Costo</t>
  </si>
  <si>
    <t>Cod. Matrix</t>
  </si>
  <si>
    <t>Vr. Unitario</t>
  </si>
  <si>
    <t xml:space="preserve">CANTIDAD </t>
  </si>
  <si>
    <t>TOTAL</t>
  </si>
  <si>
    <t>Costo Directo</t>
  </si>
  <si>
    <t>Operación</t>
  </si>
  <si>
    <t>Mystery Shopper</t>
  </si>
  <si>
    <t>Seguimiento Mysterys</t>
  </si>
  <si>
    <t>CRITICA-Revisión encuestas</t>
  </si>
  <si>
    <t>Capacitación y entrega</t>
  </si>
  <si>
    <t>Critica</t>
  </si>
  <si>
    <t>Desplazamientos (viaticos)</t>
  </si>
  <si>
    <t>Desplazamientos</t>
  </si>
  <si>
    <t>SUBTOTAL COSTOS DIRECTOS</t>
  </si>
  <si>
    <t>SUBTOTAL SUBCONTRATADAS INTERNAS</t>
  </si>
  <si>
    <t>TOTAL COSTO DIRECTO</t>
  </si>
  <si>
    <t xml:space="preserve">Tecnología </t>
  </si>
  <si>
    <t xml:space="preserve">Procesamiento otro pais - Shopmetrics </t>
  </si>
  <si>
    <t xml:space="preserve">Vimeo </t>
  </si>
  <si>
    <t xml:space="preserve">Plan vimeo </t>
  </si>
  <si>
    <t>SUBCONTRATADAS EXTERNAS</t>
  </si>
  <si>
    <t>Muestra Técnica de Recolección #1</t>
  </si>
  <si>
    <t>Muestra Técnica de Recolección #2</t>
  </si>
  <si>
    <t>Muestra total</t>
  </si>
  <si>
    <t>Volver al Home</t>
  </si>
  <si>
    <t>Técnica de Recolección 1</t>
  </si>
  <si>
    <t>Otras Ciudades Principales</t>
  </si>
  <si>
    <t>Por favor consultar con estadistica Incorporación de ciudades o más regiones fuera de las 6 principales para un aterrizaje más detallado de costos</t>
  </si>
  <si>
    <t>Complejidad</t>
  </si>
  <si>
    <t>Asist. Campo - capacitaciones / entrega (Coord campo)</t>
  </si>
  <si>
    <t>Asist. Campo (Coord. Campo)</t>
  </si>
  <si>
    <t xml:space="preserve">Apoyo otra asistencia - Unificación videos </t>
  </si>
  <si>
    <t xml:space="preserve">Apoyo otra asistencia - RMC </t>
  </si>
  <si>
    <t>No. Olas</t>
  </si>
  <si>
    <t>OBSERVACIONES</t>
  </si>
  <si>
    <t>TIPO VISITA 1</t>
  </si>
  <si>
    <t>TIPO VISITA 2</t>
  </si>
  <si>
    <t>TIPO VISITA 3</t>
  </si>
  <si>
    <t>El valor para otras olas será del 50% del costo de la ola 1</t>
  </si>
  <si>
    <t>Solución a descargos</t>
  </si>
  <si>
    <t>Costo Telefonico Obtención citas</t>
  </si>
  <si>
    <t>Fotocopias</t>
  </si>
  <si>
    <t xml:space="preserve">Alertas tempranas - Fotocopia a color </t>
  </si>
  <si>
    <t>Edición videos - Apoyo Logístico</t>
  </si>
  <si>
    <t>Edición videos - Apoyo Logístico Extra</t>
  </si>
  <si>
    <t xml:space="preserve">Otros </t>
  </si>
  <si>
    <t xml:space="preserve">Botas de seguridad, implementos adicionales para la opreación </t>
  </si>
  <si>
    <t>Valor de reclutamiento VISITA TIPO 1</t>
  </si>
  <si>
    <t>Valor de reclutamiento VISITA TIPO 2</t>
  </si>
  <si>
    <t>Valor de reclutamiento VISITA TIPO 3</t>
  </si>
  <si>
    <t xml:space="preserve">Bonos </t>
  </si>
  <si>
    <t>Bonos a reclutado visita 1</t>
  </si>
  <si>
    <t>Bonos a reclutado visita 2</t>
  </si>
  <si>
    <t>Bonos a reclutado visita 3</t>
  </si>
  <si>
    <t xml:space="preserve">Comisión </t>
  </si>
  <si>
    <t xml:space="preserve">Compra de dispositivos de grabación </t>
  </si>
  <si>
    <t xml:space="preserve">Otro tipo de desplazamiento - Tanqueos - consumos </t>
  </si>
  <si>
    <t>XXXX</t>
  </si>
  <si>
    <t>Alquiler equipos y otros - Tablets - Plan de datos - Vr. Mensual (Act. Subcontratada)</t>
  </si>
  <si>
    <t xml:space="preserve">Solicitud recargas alertas tempranas </t>
  </si>
  <si>
    <t>Otras compras</t>
  </si>
  <si>
    <t xml:space="preserve">OLA 1 </t>
  </si>
  <si>
    <t>OTRAS OLAS</t>
  </si>
  <si>
    <t>OLA 1 # Horas</t>
  </si>
  <si>
    <t>OTRAS OLAS # Horas</t>
  </si>
  <si>
    <t>1.5</t>
  </si>
  <si>
    <t>2.5</t>
  </si>
  <si>
    <t xml:space="preserve">CPI SL INCLUIDO EL GM </t>
  </si>
  <si>
    <t xml:space="preserve">Desde </t>
  </si>
  <si>
    <t xml:space="preserve">Hasta </t>
  </si>
  <si>
    <t xml:space="preserve">Básica </t>
  </si>
  <si>
    <t xml:space="preserve">Media </t>
  </si>
  <si>
    <t xml:space="preserve">Alta </t>
  </si>
  <si>
    <t xml:space="preserve">Tiempo de coordinación </t>
  </si>
  <si>
    <t xml:space="preserve">Se calcula dependiendo del salario del coordinador y teniendo en cuenta que el salario debe dividirse en 4 o 5 partes, que es el promedio de estudios que puede coordinar al mes </t>
  </si>
  <si>
    <t xml:space="preserve">Si el estudio es como un Tigo, Terpel, se debe cargar un 75% de un salario completo </t>
  </si>
  <si>
    <t xml:space="preserve">Otra forma de calcular es (Muestra)*0,4 - Se deben confirmar los valores de acuerdo al tiempo que se va a dedicar al estudio </t>
  </si>
  <si>
    <t>Si el estudio es como un Tigo. Terpel, se debe cargar un 60% de un salario completo</t>
  </si>
  <si>
    <t xml:space="preserve">Otra forma de calcular es (Muestra)*0,2 - Se deben confirmar los valores de acuerdo al tiempo que se va a dedicar al estudio </t>
  </si>
  <si>
    <t xml:space="preserve">TIPO DE VISITA </t>
  </si>
  <si>
    <t>VALOR DE LA VISITA PARA PAGO A MYSTERY A LA SL 
DESDE</t>
  </si>
  <si>
    <t>VALOR DE LA VISITA PARA PAGO A MYSTERY A LA SL 
HASTA</t>
  </si>
  <si>
    <t xml:space="preserve">EJEMPLO DE ESTUDIOS </t>
  </si>
  <si>
    <t xml:space="preserve">Valor a Contratistas </t>
  </si>
  <si>
    <t>Básica - Audio /fotos</t>
  </si>
  <si>
    <t xml:space="preserve">ROMANELLI - DROGUERIAS </t>
  </si>
  <si>
    <t>Aprox. $4.000 por debajo de la tarifa cobrada a la SL, el valor minimo debe ser de $18.000 para la visita más básica</t>
  </si>
  <si>
    <t>Medía - Audio/fotos</t>
  </si>
  <si>
    <t xml:space="preserve">WOM </t>
  </si>
  <si>
    <t>Alta - Audio /fotos</t>
  </si>
  <si>
    <t xml:space="preserve">SOFASA - AUDITORIAS </t>
  </si>
  <si>
    <t>Básica - Video</t>
  </si>
  <si>
    <t>Tigo - Dealers</t>
  </si>
  <si>
    <t>Medía - Video</t>
  </si>
  <si>
    <t>Tigo tiendas propias</t>
  </si>
  <si>
    <t>Alta - Video</t>
  </si>
  <si>
    <t xml:space="preserve">Sofasa - postventa </t>
  </si>
  <si>
    <t xml:space="preserve">Consultas con y sin perfil reclutado </t>
  </si>
  <si>
    <t>Alta - Telefonica - Digital</t>
  </si>
  <si>
    <t xml:space="preserve">Transacciones con perfil reclutado </t>
  </si>
  <si>
    <t xml:space="preserve">Tarifa a la SL </t>
  </si>
  <si>
    <t xml:space="preserve">Tarifa a Carlos </t>
  </si>
  <si>
    <t xml:space="preserve">Observaciones </t>
  </si>
  <si>
    <t>Tarifa Normal con plantilla</t>
  </si>
  <si>
    <t>DATACLEANING POR CADA DISEÑO</t>
  </si>
  <si>
    <t>TIEMPO ESTANDAR OLA 1</t>
  </si>
  <si>
    <t>TIEMPO ESTANDAR OTRAS OLAS</t>
  </si>
  <si>
    <t>18 HORAS</t>
  </si>
  <si>
    <t xml:space="preserve">18 HORAS </t>
  </si>
  <si>
    <t xml:space="preserve">Tener presente la cantidad de diseños o segmentos y cuantos cuestionarios serán </t>
  </si>
  <si>
    <t xml:space="preserve">Importante validar con la SL cuantos datacleaning se hacen a total olas y en la ola </t>
  </si>
  <si>
    <t xml:space="preserve">Por lo general se hace un datacleaning al inicio del tracking y 2 -3 más si es necesario y hay cambios importantes en el cuestionario </t>
  </si>
  <si>
    <t xml:space="preserve">SCRIPTING </t>
  </si>
  <si>
    <t xml:space="preserve">AJUSTES </t>
  </si>
  <si>
    <t>VALOR HORA</t>
  </si>
  <si>
    <t>28 HORAS</t>
  </si>
  <si>
    <t>8 HORAS</t>
  </si>
  <si>
    <t>PROCESAMIENTO POR CADA DISEÑO</t>
  </si>
  <si>
    <t>TIEMPO ESTANDAR OTRAS OLAS (PARA TRACKING)</t>
  </si>
  <si>
    <t xml:space="preserve">En el caso de tracking verificar cada cuanto se harán los procesamientos </t>
  </si>
  <si>
    <t>FORMULA CAPACITACION Y ENTREGA - CONTROL CALIDAD</t>
  </si>
  <si>
    <t>((2*1)+(4*2))/9</t>
  </si>
  <si>
    <t>(((2*1)+(4*2))/9)/2</t>
  </si>
  <si>
    <t>VIATICOS</t>
  </si>
  <si>
    <t xml:space="preserve">10 - 15% DE INCREMENTO PARA IMPREVISTOS </t>
  </si>
  <si>
    <t>linea 9997 - matrix</t>
  </si>
  <si>
    <t xml:space="preserve">FORMULA PARA CALCULAR CRITICA </t>
  </si>
  <si>
    <t>(Muestra / cantidad de visitas que se revisan al día)*1,2</t>
  </si>
  <si>
    <t xml:space="preserve">El 1,2 hace referencia a que a cada visita se le debe aumentar un 20% más del tiempo de revisión para solución de inconsistencias </t>
  </si>
  <si>
    <t xml:space="preserve">COSTO TELEFONICO </t>
  </si>
  <si>
    <t xml:space="preserve">GM MYSTERY PARA LA SL </t>
  </si>
  <si>
    <t>MINIMO</t>
  </si>
  <si>
    <t xml:space="preserve">HASTA </t>
  </si>
  <si>
    <t xml:space="preserve">Validar, es solo para calculos internos y se sugiere a la SL </t>
  </si>
  <si>
    <t xml:space="preserve">Si se incluyen bonos desde el interno </t>
  </si>
  <si>
    <t>COD MATRIX</t>
  </si>
  <si>
    <t xml:space="preserve">COD SYMPHONY </t>
  </si>
  <si>
    <t xml:space="preserve">COSTOS EN EL EXTERNO </t>
  </si>
  <si>
    <t>El costo de almacenamiento de encuestas en shopmetrics</t>
  </si>
  <si>
    <t xml:space="preserve">Los bonos a acompañantes </t>
  </si>
  <si>
    <t xml:space="preserve">% del 10% en comisión de bonos </t>
  </si>
  <si>
    <t xml:space="preserve">La comisión varia dependiendo el tipo de bono que será entregado </t>
  </si>
  <si>
    <t>Compra de dispositivos</t>
  </si>
  <si>
    <t>Promedio de $300.000 c/u (incluye dispositivo y memoria)</t>
  </si>
  <si>
    <t xml:space="preserve">Compra de renovación vimeo </t>
  </si>
  <si>
    <t xml:space="preserve">Se debe tener presente que en los proyectos vendidos en el año se debe disponer aprox $5.000.000 que vale la renovación </t>
  </si>
  <si>
    <t xml:space="preserve">COMPRA DE DISPOSITIVOS GRABACION </t>
  </si>
  <si>
    <t xml:space="preserve">BONOS ACOMPAÑANTES </t>
  </si>
  <si>
    <t xml:space="preserve">Estudio en donde la ejecucuión sea con perfiles altos y que se paga la visita a través de bono, se deben validar pues minimo debería ser de $100.000 - $150.000 para visitas presenciales </t>
  </si>
  <si>
    <t>TIPO DE VISITA 1 - SEGMENTO 1</t>
  </si>
  <si>
    <t>TIPO DE VISITA 2 - SEGMENTO 2</t>
  </si>
  <si>
    <t>TIPO DE VISITA 3 - SEGMENTO 3</t>
  </si>
  <si>
    <t>TOTAL ESTUDIO X OLA</t>
  </si>
  <si>
    <t xml:space="preserve">TIPO VISITA 3 </t>
  </si>
  <si>
    <t>Tipo de Visita</t>
  </si>
  <si>
    <t>Media - Telefonica - Digital</t>
  </si>
  <si>
    <t>Básica- Telefonica - Digital</t>
  </si>
  <si>
    <t>Ninguna</t>
  </si>
  <si>
    <t>Horas de Capacitación</t>
  </si>
  <si>
    <t>Coord Campo (PMO)</t>
  </si>
  <si>
    <t>Coord Campo - Capacitaciones / entrega (PMO)</t>
  </si>
  <si>
    <t xml:space="preserve">Apoyo otra asistencia - Unificación videos - RMC </t>
  </si>
  <si>
    <t>Horas de Coordinación PMO/Campo</t>
  </si>
  <si>
    <t>ITEM SOLUCION A DESCARGOS - CONTROL CALIDAD (Depende de la muestra a ejecutar) # Días</t>
  </si>
  <si>
    <t>EDICION Videos</t>
  </si>
  <si>
    <t xml:space="preserve">APROXIMADAMENTE PUEDE SER EL 15% DE LA MUESTRA </t>
  </si>
  <si>
    <t>Tarifa Edición por repetición de visita/ Edición de ajustes menores (Inconvenientes: Audio, Groserías, Lipsing etc) ,Cuando el proyecto no maneja presupuesto de edición de video pero calidad no lo pasa por los inconvenientes mencionados</t>
  </si>
  <si>
    <t>SHOPPER POR JORNADA</t>
  </si>
  <si>
    <t>SHOPPER POR PRODUCTIVIDAD</t>
  </si>
  <si>
    <t>Valor encuesta Shopper  por día</t>
  </si>
  <si>
    <t>Valor encuesta Shopper  por productividad</t>
  </si>
  <si>
    <t>Mystery/Shopper Tipo Visita 1</t>
  </si>
  <si>
    <t>Mystery/Shopper Tipo Visita 2</t>
  </si>
  <si>
    <t>Mystery/Shopper Tipo Visita 3</t>
  </si>
  <si>
    <t>MYSTERY</t>
  </si>
  <si>
    <t># Horas del Asist. Campo (Coord. Campo)</t>
  </si>
  <si>
    <t># Horas del PMO</t>
  </si>
  <si>
    <t># Horas capacitaciones / entrega (Coord campo)</t>
  </si>
  <si>
    <t>Cotizadores en países</t>
  </si>
  <si>
    <t>País</t>
  </si>
  <si>
    <t>Nombre Proveedor</t>
  </si>
  <si>
    <t>Contacto</t>
  </si>
  <si>
    <t>Mail</t>
  </si>
  <si>
    <t>Guatemala</t>
  </si>
  <si>
    <t>M&amp;M Servicios de Campo en Mercadeo</t>
  </si>
  <si>
    <t>Miriam Camey/Bladimir Carrillo</t>
  </si>
  <si>
    <t>Costa Rica</t>
  </si>
  <si>
    <t>Francis Arguedas</t>
  </si>
  <si>
    <t>STC Consultores</t>
  </si>
  <si>
    <t>Hugo Mendieta</t>
  </si>
  <si>
    <t>Romosa</t>
  </si>
  <si>
    <t>Eric Rodriguez</t>
  </si>
  <si>
    <t>Alexander Rodriguez</t>
  </si>
  <si>
    <t>Panamá</t>
  </si>
  <si>
    <t>unimer centroamerica</t>
  </si>
  <si>
    <t xml:space="preserve">Guido Romeo </t>
  </si>
  <si>
    <t>gromeo@unimercentroamerica.com</t>
  </si>
  <si>
    <t>alero2574@hotmail.com</t>
  </si>
  <si>
    <t>erodriguez@romosacr.info</t>
  </si>
  <si>
    <t>hugo.mendietar@stcconsultores.com</t>
  </si>
  <si>
    <t>Field Data Service/ FDS LATINOAMERICA</t>
  </si>
  <si>
    <t>farguedas@fielddataservice.com</t>
  </si>
  <si>
    <t>miriam.camey@mymcampo.com</t>
  </si>
  <si>
    <t>rsantizo@unimercentroamerica.com</t>
  </si>
  <si>
    <t>Rocío Santizo</t>
  </si>
  <si>
    <t>Ana de León</t>
  </si>
  <si>
    <t>adeleon@unimercentroamerica.com</t>
  </si>
  <si>
    <t>El Salvador</t>
  </si>
  <si>
    <t>Honduras</t>
  </si>
  <si>
    <t>Nicaragua</t>
  </si>
  <si>
    <t>Republica Dominicana</t>
  </si>
  <si>
    <t>alex.guardia@gomobilenow.biz</t>
  </si>
  <si>
    <t>Alex Guardia</t>
  </si>
  <si>
    <t>GOmobile</t>
  </si>
  <si>
    <t>Centro américa y Republica dominicana</t>
  </si>
  <si>
    <t>Mediafax Inc</t>
  </si>
  <si>
    <t>Puerto Rico</t>
  </si>
  <si>
    <t>PO Box 19599 
Fernandez Juncos Station 
San Juan 
Puerto Rico</t>
  </si>
  <si>
    <t>syperez@ska-pr.com</t>
  </si>
  <si>
    <t>Sylvia Pérez</t>
  </si>
  <si>
    <t>Trinidad y Tobago</t>
  </si>
  <si>
    <t>Jamaica</t>
  </si>
  <si>
    <t xml:space="preserve">Jamaica  
Trinidad 
Barbados 
All other Eastern Caribbean countries 
Dominican Republic 
Haiti </t>
  </si>
  <si>
    <t>República Dominicana</t>
  </si>
  <si>
    <r>
      <t xml:space="preserve">Trinidad y Tobago
</t>
    </r>
    <r>
      <rPr>
        <b/>
        <sz val="10"/>
        <color indexed="9"/>
        <rFont val="Verdana"/>
        <family val="2"/>
      </rPr>
      <t>Research Associates in:</t>
    </r>
    <r>
      <rPr>
        <b/>
        <sz val="10"/>
        <rFont val="Verdana"/>
        <family val="2"/>
      </rPr>
      <t xml:space="preserve">
Antigua
Barbados
Grenada
Guyana
Jamaica
St. Lucia
Suriname
The Dutch Antilles
Cayman Islands
US Virgin Islands
Bahamas</t>
    </r>
  </si>
  <si>
    <t>Brenda Bailey</t>
  </si>
  <si>
    <t>Stacy Ann Thompson</t>
  </si>
  <si>
    <t>Kurt Wedderburn
Business Development Manager</t>
  </si>
  <si>
    <t>Sara Aguirre</t>
  </si>
  <si>
    <r>
      <t xml:space="preserve">Ms. Mitzi Chan-Attong
</t>
    </r>
    <r>
      <rPr>
        <sz val="10"/>
        <color indexed="12"/>
        <rFont val="Verdana"/>
        <family val="2"/>
      </rPr>
      <t xml:space="preserve">mitzi.chanattong@mfo2000.com </t>
    </r>
  </si>
  <si>
    <t>Gayatree Kim Bayley (General Manager)</t>
  </si>
  <si>
    <t>Kishka-Kaye (CHIEF OPERATING OFFICER)</t>
  </si>
  <si>
    <t>Vanesa Rodríguez</t>
  </si>
  <si>
    <r>
      <t xml:space="preserve">Ms. Lucrecia Birch
</t>
    </r>
    <r>
      <rPr>
        <sz val="10"/>
        <color indexed="12"/>
        <rFont val="Verdana"/>
        <family val="2"/>
      </rPr>
      <t xml:space="preserve">lucrecia.birch@mfo2000.com </t>
    </r>
  </si>
  <si>
    <r>
      <t xml:space="preserve">Ms. Kimberly Phillip
</t>
    </r>
    <r>
      <rPr>
        <sz val="10"/>
        <color indexed="12"/>
        <rFont val="Verdana"/>
        <family val="2"/>
      </rPr>
      <t>kimberly.philip@mfo2000.com</t>
    </r>
  </si>
  <si>
    <t>hopeusallc@aol.com</t>
  </si>
  <si>
    <t>www.caribbeanmarketresearch.com</t>
  </si>
  <si>
    <t>www.hopessd.com/ www.hopessd.com/hopeenterprises/home.php</t>
  </si>
  <si>
    <t>www.emevenca.com</t>
  </si>
  <si>
    <t>www.mfo2000.com</t>
  </si>
  <si>
    <t>Web Site</t>
  </si>
  <si>
    <t>21a Marli Street, Newtown, Port of Spain, Trinidad and Tobago</t>
  </si>
  <si>
    <t xml:space="preserve">7-7a Tangerine Place
Kingston 10, W.I.
</t>
  </si>
  <si>
    <t xml:space="preserve">Calle Max Enrique Ureña No.37- Edificio Grupo Horwarth
Ensanche Piantini
Apartado Postal, 355-2
Santo Domingo, República Dominicana
</t>
  </si>
  <si>
    <t>Avenida Romulo Betancurt 545 plaza jm local 206 segunda planta zona mirador norte</t>
  </si>
  <si>
    <t>16-18 Tragarete Road, 
Port Of Spain, Trinidad, W.I.</t>
  </si>
  <si>
    <t>CARIBBEAN MARKET RESEARCH</t>
  </si>
  <si>
    <t>MARKET RESEARCH SERVICES LTD.</t>
  </si>
  <si>
    <t>Hope Enterprises JA Ltd.</t>
  </si>
  <si>
    <t>Horwath Consulting</t>
  </si>
  <si>
    <t>Emevenca</t>
  </si>
  <si>
    <t>MARKETING FACT AND OPINIONS</t>
  </si>
  <si>
    <t>Telephone</t>
  </si>
  <si>
    <t>Founded in</t>
  </si>
  <si>
    <t>Employees</t>
  </si>
  <si>
    <t>Interviewers</t>
  </si>
  <si>
    <t>Key people</t>
  </si>
  <si>
    <t>Research conducted in</t>
  </si>
  <si>
    <t xml:space="preserve">+1 868 622 6545        </t>
  </si>
  <si>
    <t>Countries</t>
  </si>
  <si>
    <t>Tel:(876) 929-6311;
              929-6349;
              920-4262-3</t>
  </si>
  <si>
    <t>(876) 920-1407, (954) 410-3186</t>
  </si>
  <si>
    <t>(1) (809) 541-6565</t>
  </si>
  <si>
    <t>50 fijos 100 freelance</t>
  </si>
  <si>
    <t xml:space="preserve">(868) 627-8417 </t>
  </si>
  <si>
    <t>Countrie</t>
  </si>
  <si>
    <t>Sara Aguirre
Vanesa Rodríguez</t>
  </si>
  <si>
    <t>sarah@horwath-rd.com.do 
vanessa@horwath-rd.com.do</t>
  </si>
  <si>
    <t>Brenda Bailey
Gayatree Kim Bayley (General Manager)</t>
  </si>
  <si>
    <t>Stacy Ann Thompson
Kishka-Kaye (CHIEF OPERATING OFFICER)</t>
  </si>
  <si>
    <t>caribres@wow.net
brenbayl@yahoo.com</t>
  </si>
  <si>
    <t>stacyann.thompson@cwjamaica.com
kishka@cwjamaica.com</t>
  </si>
  <si>
    <r>
      <t xml:space="preserve">Ms. Lucrecia Birch
</t>
    </r>
    <r>
      <rPr>
        <sz val="10"/>
        <color indexed="12"/>
        <rFont val="Verdana"/>
        <family val="2"/>
      </rPr>
      <t>lucrecia.birch@mfo2000.com 
mfo@mfo2000.com 
Ms. Kimberly Phillip
kimberly.philip@mfo2000.com</t>
    </r>
  </si>
  <si>
    <t>Address</t>
  </si>
  <si>
    <t>República Dominicana
Trinidad y Tobago
Jamaica</t>
  </si>
  <si>
    <t xml:space="preserve">
Leny Matos
lmatos@emevenca.com
Joel Sánchez
jsanchez@emevenca.com
Selandia Ulloa
sulloa@emevenca.com</t>
  </si>
  <si>
    <t xml:space="preserve">
Tel: (1) (809) 537-7644</t>
  </si>
  <si>
    <r>
      <rPr>
        <sz val="11"/>
        <color theme="1"/>
        <rFont val="Calibri"/>
        <family val="2"/>
        <scheme val="minor"/>
      </rPr>
      <t xml:space="preserve">Leny Matos
</t>
    </r>
    <r>
      <rPr>
        <sz val="10"/>
        <color indexed="12"/>
        <rFont val="Verdana"/>
        <family val="2"/>
      </rPr>
      <t>lmatos@emevenca.com</t>
    </r>
  </si>
  <si>
    <t>Joel Sánchez
jsanchez@emevenca.com</t>
  </si>
  <si>
    <t>Selandia Ulloa
sulloa@emevenca.com</t>
  </si>
  <si>
    <t>Variables Socio-Económicas Panama</t>
  </si>
  <si>
    <t>NSE</t>
  </si>
  <si>
    <t>Estrato Alto</t>
  </si>
  <si>
    <t>Estrato Alto / Medio Alto</t>
  </si>
  <si>
    <t>Estrato Medio Típico  y Medio Bajo</t>
  </si>
  <si>
    <t>Estrato Bajo</t>
  </si>
  <si>
    <t>A</t>
  </si>
  <si>
    <t>BC1</t>
  </si>
  <si>
    <t>C/C2</t>
  </si>
  <si>
    <t>D</t>
  </si>
  <si>
    <t>E</t>
  </si>
  <si>
    <t xml:space="preserve">% de la Población         </t>
  </si>
  <si>
    <t>Poblacion total Pais                          Proyeccion 2010</t>
  </si>
  <si>
    <t>Ingresos Familiares Mensuales</t>
  </si>
  <si>
    <t xml:space="preserve">$ 10,000  o Mas </t>
  </si>
  <si>
    <t xml:space="preserve">$ 3,000 - 6,000 </t>
  </si>
  <si>
    <t xml:space="preserve">$ 1,200 - $2,500  </t>
  </si>
  <si>
    <t xml:space="preserve">$500.00 a 1,200.00 </t>
  </si>
  <si>
    <t xml:space="preserve">$ 200.00  o Menos </t>
  </si>
  <si>
    <t>Colonia donde vive</t>
  </si>
  <si>
    <t>Casco Viejo de la ciudada, Torres de Miramar, Costa del Este</t>
  </si>
  <si>
    <t>Area revertida del Canal de Panama , El Dorado, Alto del Panama</t>
  </si>
  <si>
    <t>Las Rivieras, Don Boscos , Las acacias</t>
  </si>
  <si>
    <t>Nuevo Veranillo, San Miguelito, Nuevo Tocumen</t>
  </si>
  <si>
    <t>Las garza de Pacora, 24 de Dicienmbre, Ciudad Belen</t>
  </si>
  <si>
    <t>Educación</t>
  </si>
  <si>
    <t>Posee Licenciaturas, maestrías y hasta doctorados</t>
  </si>
  <si>
    <t>Maestría, Licenciatura, Egresada de la Universidad</t>
  </si>
  <si>
    <t>Universidad Completo o incompleta, Secundaria completa y carreras técnico vocacionales</t>
  </si>
  <si>
    <t>Primaria Completa y con secundaria incompleta</t>
  </si>
  <si>
    <t>Primaria incompleta y con secundaria incompleta.</t>
  </si>
  <si>
    <t>Ocupación</t>
  </si>
  <si>
    <t>Empresarios, Presidentes o dueños de grupos o empresas grandes. Presidentes de asociaciones empresariales/de negocios</t>
  </si>
  <si>
    <t>Empresarios, Alta Gerencia, Alta Dirección. Miembros de asociaciones de voluntariado.</t>
  </si>
  <si>
    <t>Dueños, jefes o directores de micro y pequeña empresa, empleados de mandos intermedios de empresas grandes privadas o publicas, secretarias ejecutivas, maestros y artistas.</t>
  </si>
  <si>
    <t>Obreros, guardias de seguridad, Chóferes, Cobradores, maquiladores, amas de casa/jefas de hogar</t>
  </si>
  <si>
    <t>Obreros,  sin estabilidad laboral, ayuantes generales, vendedores ambulate</t>
  </si>
  <si>
    <t>Educación de los Hijos</t>
  </si>
  <si>
    <t>La Academerica Interamerica de Costa Del Este, La Brader, La Panamericana, Oxfor,  .</t>
  </si>
  <si>
    <t xml:space="preserve">Instituciones públicas y privadas no muy caras (IJA, Bilingüe de Cerro viento, Don Bosco, La salle, el Javier)  , Llegan a salir del pais a estudiar a Universidades medias con ayuda de  Becas y prestamos </t>
  </si>
  <si>
    <t>Instituciones Públicas (Moscote, Republica de Chile, Instituto Comercial Panama) y colegios vocacionales (Arte yOficio, INADE) y La Escuela comercial bellavista.</t>
  </si>
  <si>
    <t>Instituciones Públicas )Moscote, Republica de Chile, Instituto Comercial Panama) y colegios vocacionales (Arte yOficio, INADE)</t>
  </si>
  <si>
    <t>Instituciones Públicas , si su presupuesto se lo da, algunas veces sin educacion</t>
  </si>
  <si>
    <t>Vida Social</t>
  </si>
  <si>
    <t>Socio del Club de Golf de Panama, Club de Coronado, Club Union, Pertenecen al Club de Roratio de Panama, Club Kiwanis de Panama.</t>
  </si>
  <si>
    <t xml:space="preserve">Asiste a cines y centros comerciales , comen en restaurantes no muy elegantes con frecuencia  No tiene casa de campo, </t>
  </si>
  <si>
    <t>Al menos una vez al mes asisten a cines y centros comerciales , restaurantes de comida rápida (Burguer King, Pizza Hut,  Pio Pio</t>
  </si>
  <si>
    <t>Visitan parques públicos  (La Cinta costera), y por lo menos una vez al mes visitan centros comerciales de paseo, Los Pueblos, Los Andes, Albrook</t>
  </si>
  <si>
    <t xml:space="preserve">Visitan parques públicos , y por lo menos una vez al mes visitan centros comerciales de paseo, Los Pueblos, Los Andes, </t>
  </si>
  <si>
    <t>Vacaciones / Viajes</t>
  </si>
  <si>
    <t>Viaja con frecuencia al extranjero (América del Norte, Europa u otros países del lejano Oriente)</t>
  </si>
  <si>
    <t>Viaja esporádicamente al extranjero (CA), y por lo menos una vez al año a centros turísticos dentro del país</t>
  </si>
  <si>
    <t>Viaja al interior del país</t>
  </si>
  <si>
    <t xml:space="preserve"> Sus vacaciones son al interior del pais</t>
  </si>
  <si>
    <t>No Vacaciona</t>
  </si>
  <si>
    <t>Finanzas</t>
  </si>
  <si>
    <t>Tienen 3 o más tarjetas de crédito internacionales y nacional, Cuentas de Ahorro y de Cheques, en moneda nacional y en Dólares, poseen bienes en el extranjero, principalmente herencia familiar</t>
  </si>
  <si>
    <t>Tienen 1-3 tarjeta de crédito Centroamericana, además de tener 1 débito local, 1 cuenta de ahorro. Depende ampliamente del crédito para costear su estilo de vida</t>
  </si>
  <si>
    <t>Tienen 1 tarjeta de crédito y débito local, 1 cuenta de ahorro. Depende del crédito para costear compras suntuarias</t>
  </si>
  <si>
    <t xml:space="preserve"> cuenta de ahorro de navidad, se meten en cooperativas. No tiene capacidad de crédito bancario.</t>
  </si>
  <si>
    <t>Lo mas que pueden tener es  una cuenta de ahorro de navidad</t>
  </si>
  <si>
    <t>Vivienda</t>
  </si>
  <si>
    <t>Propia</t>
  </si>
  <si>
    <t>Alquilada</t>
  </si>
  <si>
    <t>Son casas condenadas, algunas veces son precaristas</t>
  </si>
  <si>
    <t>$ 300 Mil o Mas</t>
  </si>
  <si>
    <t>$ 86 Mil a 250 Mil</t>
  </si>
  <si>
    <t>$30 mil a $50 mil.</t>
  </si>
  <si>
    <t>$20 Mil o Menos</t>
  </si>
  <si>
    <t>No tiene costo</t>
  </si>
  <si>
    <t>Composición de la vivienda</t>
  </si>
  <si>
    <t>4-5 Habitaciones con baño privado y walk-in closet, 1-2 Habitación de Huéspedes, estudio, 2 habitaciones para servidumbre, área de lavandería, Extenso Jardín, Piscina, aire acondicionado en todos los cuartos/ central de aire acondicionado, jacuzzi, 2-3 sa</t>
  </si>
  <si>
    <t>3-4 Habitaciones con baño privado, aire acondicionado en cuartos, pequeña habitación para servidumbre, área de lavandería, jardín, 2 salas, comedor, garaje para 2-4 carros</t>
  </si>
  <si>
    <t>3 Habitaciones pequeñas, área de lavandería,  área verde, sala, comedor, cocina, 3 baños, garaje para 2 carros</t>
  </si>
  <si>
    <t>2 Habitaciones pequeñas, sala/comedor, cocina, 1-2 baños, garaje para 1 carro</t>
  </si>
  <si>
    <t>Está hecha de desperdicios y el techo es de láminas viejas. Por lo general están construidas en los bordos de los ríos o por invasiones</t>
  </si>
  <si>
    <t>Tenencias</t>
  </si>
  <si>
    <t>Computadora portatil, Sistemas de Teatro en casa, Calentador de Agua, Celulares tipo BlackBerry/Palm post-pago con roaming, portones eléctricos, TV LCD o Plasma, muro perimetral, Lavadora y Secadora de Ropa</t>
  </si>
  <si>
    <t>Mini Split, computadora portatil, DVD, Duchas de agua caliente o calentador de agua, Celular modelos recientes post-pago con roaming, TV LCD o Plasma, Lavadora y Secadora de Ropa</t>
  </si>
  <si>
    <t>Aire Acondicionado, computadora, DVD, Ducha Agua Caliente, Celular modelos no muy recientes post-pago y tarjetas, Lavadora, algunos con secadoras.</t>
  </si>
  <si>
    <t xml:space="preserve">DVD, Celular barato pre-pago </t>
  </si>
  <si>
    <t>Carecen artículos electrodomésticos, no poseen agua potable. Poseen un foco y luz eléctrica robada, pisos de tierra y utilizan la leña para cocinar sus alimentos en hornilla</t>
  </si>
  <si>
    <t>Servicios</t>
  </si>
  <si>
    <t>Cisterna de agua, Internet, DirecTV, Guardaespaldas, Chóferes, Guardia de Seguridad en casa, Carros Blindados</t>
  </si>
  <si>
    <t xml:space="preserve">Cisterna de agua, Internet, Cable, Monitoreo de seguridad en casa </t>
  </si>
  <si>
    <t>Internet, Cable</t>
  </si>
  <si>
    <t>Cable</t>
  </si>
  <si>
    <t>TV Nacional</t>
  </si>
  <si>
    <t>Vehículos</t>
  </si>
  <si>
    <t>4 o más vehículos del año para uso personal (varios de lujo), vehiculos de escolta, botes, cuatrimotos, wave Runner, motos de colección, auto deportivos.</t>
  </si>
  <si>
    <t>2-3 vehículos del Año o modelo reciente, cuatrimoto</t>
  </si>
  <si>
    <t>1 Vehículo modelo reciente y 1 de uso compartido para la familia / utilizan radio taxi</t>
  </si>
  <si>
    <t xml:space="preserve"> Vehículo usado de año no muy reciente en algunas ocasiones/ utilizan transporte colectivo / motocicletas</t>
  </si>
  <si>
    <t>Raras veces utilizan el transporte público y por lo general caminan</t>
  </si>
  <si>
    <t>Fuente Poblacion</t>
  </si>
  <si>
    <t>http://censos2010.gob.pa/Publicaciones/03-06-05/Cuadro1.pdf</t>
  </si>
  <si>
    <t>Variables Socio-Económicas El Salvador</t>
  </si>
  <si>
    <t>Estrato Medio Alto</t>
  </si>
  <si>
    <t>San Benito, Madre Selva, Santa Elena</t>
  </si>
  <si>
    <t>Bello San Juan, Monte Bello, Jardines del Escalon</t>
  </si>
  <si>
    <t>Reparto los Hereos, El Escorial, Jardines de la Sabana</t>
  </si>
  <si>
    <t>Zacamil, El Livu, Conacastes</t>
  </si>
  <si>
    <t>La Isla, Comunidad Nuevo Israel.</t>
  </si>
  <si>
    <t>Primaria Incompleta y la mayoría de veces analfabetas</t>
  </si>
  <si>
    <t>Obreros, guardias de seguridad, Chóferes, Cobradores, maquiladores.</t>
  </si>
  <si>
    <t>Instituciones privadas, las mas caras del país, o en el extranjero  (ESEN/INCAE)</t>
  </si>
  <si>
    <t>Instituciones públicas y privadas (UCA, U. Matías Delgado)</t>
  </si>
  <si>
    <t>Instituciones Públicas y Privadas no muy caras (U. Tecnológica, ITCA)</t>
  </si>
  <si>
    <t>Instituciones Públicas</t>
  </si>
  <si>
    <t>Socio de Club (Campestre), asiste a fiestas elegantes de la esfera social y política, practica golf, fan ecuestre y tiene casa de playa, visita restaurantes como Alo Nuestro, Bon Gustaio, realizan sus compras en el extranjero</t>
  </si>
  <si>
    <t>Asiste a cines y centros comerciales (Multiplaza, La Gran Vía), comen en restaurantes no muy elegantes con frecuencia (Tony Roma's, T.G.I. Fridays).</t>
  </si>
  <si>
    <t>Al menos una vez al mes asisten a cines y centros comerciales (Metrocentro, Plaza Merliot), restaurantes de comida rápida (Burguer King, Pizza Hut, Pollo Campero)</t>
  </si>
  <si>
    <t>Visitan parques públicos (Zoológico), y por lo menos una vez al mes visitan centros comerciales de paseo</t>
  </si>
  <si>
    <t>Viaja esporádicamente al extranjero, y con frecuencia a centros turísticos dentro del país</t>
  </si>
  <si>
    <t>Viaja al interior del país, esporádicamente al extranjero (CA)</t>
  </si>
  <si>
    <t>Tienen 1-3 tarjeta de crédito, además de tener 1 débito local, 1 cuenta de ahorro/corriente. Depende ampliamente del crédito para costear su estilo de vida</t>
  </si>
  <si>
    <t>Tienen 1 tarjeta de débito local, 1 cuenta de ahorro. No tiene capacidad de crédito bancario.</t>
  </si>
  <si>
    <t>No tiene cuentas ni tarjetas.</t>
  </si>
  <si>
    <t>Propia / Rentada</t>
  </si>
  <si>
    <t>Invasiones / Partes desoladas</t>
  </si>
  <si>
    <t>$300 Mil - más</t>
  </si>
  <si>
    <t>$ 100 - 250 Mil</t>
  </si>
  <si>
    <t>$ 35 - 90 Mil</t>
  </si>
  <si>
    <t>$ 15 - 35 Mil</t>
  </si>
  <si>
    <t>$ 3 Mil - Menos</t>
  </si>
  <si>
    <t xml:space="preserve">Fuente </t>
  </si>
  <si>
    <t>http://www.seguridad.gob.sv/observatorio/demograficos/estapoblac.pdf</t>
  </si>
  <si>
    <t xml:space="preserve">NSE </t>
  </si>
  <si>
    <t>ABC1 (Clase Media Alta, Alta)</t>
  </si>
  <si>
    <t>C2 (Media Típica, Media Baja)</t>
  </si>
  <si>
    <t>D1 (Baja Superior)</t>
  </si>
  <si>
    <t>E  (Marginal)</t>
  </si>
  <si>
    <t>C,C2</t>
  </si>
  <si>
    <t xml:space="preserve">% de la Población </t>
  </si>
  <si>
    <t>$ 10,000 o mayor ( C$ 200,000 o mayor)</t>
  </si>
  <si>
    <t>$ 3,000 -  6,000 ( C$ 90,000)</t>
  </si>
  <si>
    <t>$ 1,200 - 2,500 ( C$ 40,000)</t>
  </si>
  <si>
    <t>$ 500 - 1,200 (C$ 16,500)</t>
  </si>
  <si>
    <t>&lt; $100 ( C$ 2,000)</t>
  </si>
  <si>
    <t>Las Colinas/Los Robles/Villa Fontana</t>
  </si>
  <si>
    <t>Reparto el Carmen/El Dorado/Los Arcos</t>
  </si>
  <si>
    <t>Linda Vista/Valle Dorado/Casa Real</t>
  </si>
  <si>
    <t>Batahola/Villa Fraternidad/Carlos Fonseca</t>
  </si>
  <si>
    <t>Jorge Dimitrov/Acahualinca/Asentamientos</t>
  </si>
  <si>
    <t>Posee Administración de Empresas, Maestrìa y Postgrado</t>
  </si>
  <si>
    <t>Posee Licenciatura, Post grado</t>
  </si>
  <si>
    <t>Máximo Licenciatura, Egresado de la Universidad, secundaria completa</t>
  </si>
  <si>
    <t>Secundaria Incompleta, y raras veces Completa</t>
  </si>
  <si>
    <t>Primaria Incompleta y la mayoría de veces Analfabetas</t>
  </si>
  <si>
    <t>Empresarios, Gerentes, directores de empresas grandes</t>
  </si>
  <si>
    <t xml:space="preserve">Empresarios, Gerentes, directores de empresas medianas </t>
  </si>
  <si>
    <t>Dueños , jefes, directores de micro y  pequeña empresa, ama de casa, Funcionarios Públicos..</t>
  </si>
  <si>
    <t>Técnicos, vendedores, Estilistas, maestros</t>
  </si>
  <si>
    <t>Trabajos temporales, y muchas de las veces Desempleados</t>
  </si>
  <si>
    <t>Instituciones privadas, las mas caras del país, o en el extranjero ( Lincoln, Americano  )</t>
  </si>
  <si>
    <t xml:space="preserve">Instituciones privadas las mas caras del país (  La Salle, Loyola y Centroamerica  ). </t>
  </si>
  <si>
    <t>Instituciones privadas pero no muy caras ( Colegio Bautista, Mi Redentor, entre otros)</t>
  </si>
  <si>
    <t>Instituciones Públicas (Maestro Gabriel, Modesto Armijo, Cervantes)</t>
  </si>
  <si>
    <t>Escuelas Públicas (Pablo sexto, Edgad Lang, República de Austria) y muchas veces no asisten a la Escuela</t>
  </si>
  <si>
    <t>Socioy Dueño de Club asisten a las fiestas mas elegantes del país, practica deporte como: Regatas, Torneos de Pesca Nacional e Internacional, tenis, Golf, ecuestre entre otros, visitan restaurantes como La Plancha, Le Pabillon.</t>
  </si>
  <si>
    <t>Asisten a eventos de caridad y restaurantes elegantes (Te Fratelli, Friday's), practica deportes, Béisbol, Raquet, Soofbol, visitan centros comerciales como Galerias Sato Domingo, Centro Comercial Metrocentro entre otros.</t>
  </si>
  <si>
    <t xml:space="preserve">Asisten a cines y centros comerciales (Metrocentro, Plaza Inter, restaurantes no muy elegantes (Las Brasas, Don Vitorio) </t>
  </si>
  <si>
    <t>por lo menos una vez al mes asisten a cines, juegan football, beisbol, visitan puestos de comida rápida tales como (Leche Agria la Vaquera, Fritanguerías, Comidas Buffet,)</t>
  </si>
  <si>
    <t>Visitan Rotondas, parques del barrio.</t>
  </si>
  <si>
    <t>Viaja en su propio Jet  o helicopterocon frecuencia al extranjero (América del Norte, Europa u otros países del lejano Oriente)</t>
  </si>
  <si>
    <t>Viaja una vez al año al extranjero, y con frecuencia a centros turísticos dentro del país</t>
  </si>
  <si>
    <t>Viaja muy esporádicamente al extranjero (CA), y por lo menos una vez al año a centros turísticos dentro del país</t>
  </si>
  <si>
    <t>Viaja al interior del país a visitar familiares fuera de la capital.</t>
  </si>
  <si>
    <t>No Vacacionan</t>
  </si>
  <si>
    <t>Es dueño de Bancos, de la industria Licorera, tienen 3 o más tarjetas de crédito internacionales sin lìmite, y centroamericana, cuentas de Ahorro y de Cheques, además de tener en Dólares, poseen bienes en el extranjero</t>
  </si>
  <si>
    <t>Tienen 2 tarjetas de crédito internacionales y Centroamericana, Débito, Cuentas de Ahorro, hasta en dólares</t>
  </si>
  <si>
    <t>Tienen 1 tarjeta de crédito Centroamericana, además de tener 1 débito local, 1 cuenta de ahorro</t>
  </si>
  <si>
    <t>Tienen 1 tarjeta de débito local, 1 cuenta de ahorro o corriente</t>
  </si>
  <si>
    <t>No poseen ahorros</t>
  </si>
  <si>
    <t>Puede ser Propia o Alquilada</t>
  </si>
  <si>
    <t>Invasión o dueños de lotes pequeños que les fueron donados por pertenecer a este tipo de nùcleo familiar.</t>
  </si>
  <si>
    <t>$ 10 - 30 Millones(C$ 630 Millones)</t>
  </si>
  <si>
    <t>$ 150 a 230 Mil (4.83 Millones)</t>
  </si>
  <si>
    <t>$ 80 - 95 Mil (C$1.99 Millón)</t>
  </si>
  <si>
    <t>$  8- 15 Mil (C$ 315´000 Mil) financiada de 15 a 20 con BDF o BANPRO</t>
  </si>
  <si>
    <t>$ 1000 - o menos (C$. 40000)</t>
  </si>
  <si>
    <t>4-5 Habitaciones con baño privado y walk-in closet, 1-2 Habitación de Huéspedes, estudio, 2 habitaciones para servidumbre, área de lavandería, Extenso Jardín, Piscina, central de aire acondicionado, jacuzzi, 2-3 sa</t>
  </si>
  <si>
    <t>3-4 Habitaciones con baño privado, pequeña habitación para servidumbre, área de lavandería, jardín, 2 salas, comedor, garaje para 2-4 carros</t>
  </si>
  <si>
    <t>2 Habitaciones pequeñas, sala, comedor, cocina, 1 baño</t>
  </si>
  <si>
    <t>Esta hecha de desperdicios, con techos de cartón, por lo general están construidas en los bordes de los cauces o por invasiones</t>
  </si>
  <si>
    <t>Computadora, DVD, Ducha Agua Caliente, Celular modelos no muy recientes post-pago y tarjetas, Lavadora, algunos con secadoras.</t>
  </si>
  <si>
    <t xml:space="preserve">VHS, Muebles de segunda, Celular modelo antiguo, teléfono fijo </t>
  </si>
  <si>
    <t>Carecen artículos electrodomésticos, no poseen agua potable y luz eléctrica, pisos de tierra, y utilizan la leña para cocinar sus alimentos</t>
  </si>
  <si>
    <t>Cable, TV Nacional, radio y periódicos (La Teja)</t>
  </si>
  <si>
    <t>TV Nacional, radio y periódico (La Extra)</t>
  </si>
  <si>
    <t>Utiliza el transporte público</t>
  </si>
  <si>
    <t>Raras veces utilizan el transporte público, la mayoría de veces lo hacen por su propia cuenta o en bicicleta</t>
  </si>
  <si>
    <t>Fuente</t>
  </si>
  <si>
    <t>http://www.puntos.org.ni/sidoc/descargas/base-virtual/DATOS%20ESTADISTICOS/Proyeccion07%20Poblacion%20Nacional.pdf</t>
  </si>
  <si>
    <t>POBLACIÓN URBANA</t>
  </si>
  <si>
    <t>AB</t>
  </si>
  <si>
    <t>D/E</t>
  </si>
  <si>
    <t>C+</t>
  </si>
  <si>
    <t xml:space="preserve">% de la Población           </t>
  </si>
  <si>
    <t>55%  ( D 31% y E 24% )</t>
  </si>
  <si>
    <t>C-</t>
  </si>
  <si>
    <t>$ 10,000  o Mas (¢5.850.000)</t>
  </si>
  <si>
    <t>$ 3,000 - 6,000 (¢2.632.000)</t>
  </si>
  <si>
    <t>$ 1,200 - 2,500 ( ¢1.082.250)</t>
  </si>
  <si>
    <t>$ 450 - $100 (¢160.875)</t>
  </si>
  <si>
    <t>Rohormoser ,  San Rafael Escazu, Lomas de Ayarco</t>
  </si>
  <si>
    <t>Escazu , Curridabat, La Guaria</t>
  </si>
  <si>
    <t>Desamparados, Tibas, Guadalupe</t>
  </si>
  <si>
    <t>Carpio, Lomas, Capri</t>
  </si>
  <si>
    <t>Universidad incompleta, Secundaria completa y carreras técnico vocacionales</t>
  </si>
  <si>
    <t>Jefes o directores de micro y pequeña empresa, secretarias ejecutivas, maestros y artistas</t>
  </si>
  <si>
    <t>Instituciones privadas ( Costarican American Academy, Country Day y Panamerican School) , las mas caras del país, o en el extranjero  (INCAE/Georgetown, EEUU)</t>
  </si>
  <si>
    <t>Instituciones privadas ( Saint Francis, El Anglo)  no muy caras (Univ. de CR, Univ. Latina)</t>
  </si>
  <si>
    <t>Instituciones Públicas y colegios vocacionales (Inst. Tecnológico de CR, Colegio Monseñor Odio)</t>
  </si>
  <si>
    <t>Instituciones Públicas (INA, Ministerio de Educación)</t>
  </si>
  <si>
    <t>Socio de Club (CR Country Club), asiste a fiestas elegantes de la esfera social y política, practica golf, fan ecuestre y tiene casa de playa, visita restaurantes como Cerutti, Ichiban, Morton's Steak -EEUU-, realizan sus compras en el extranjero</t>
  </si>
  <si>
    <t>Asiste a cines y centros comerciales (Mall San Pedro, Mall Multiplaza), comen en restaurantes no muy elegantes con frecuencia (Tony Roma's, Dennys, Baalbek, Rosti Pollos), No tiene casa de campo, pero si tiene Time Shares.</t>
  </si>
  <si>
    <t>Al menos una vez al mes asisten a cines y centros comerciales (Mall San Pedro, Metrocentro, Paseo de las Flores), restaurantes de comida rápida (Burguer King, Pizza Hut, Pollo Campero)</t>
  </si>
  <si>
    <t>Visitan parques públicos (Parque La Merced), y por lo menos una vez al mes visitan centros comerciales de paseo</t>
  </si>
  <si>
    <t>$ 400 - 800 Mil</t>
  </si>
  <si>
    <t>$ 150 - 270 Mil</t>
  </si>
  <si>
    <t>$ 60 - 85 Mil</t>
  </si>
  <si>
    <t>$ 15 o Menos</t>
  </si>
  <si>
    <t>Tenencias y Servicios</t>
  </si>
  <si>
    <t>http://www.inec.go.cr/Web/Home/GeneradorPagina.aspx</t>
  </si>
  <si>
    <t xml:space="preserve">PRINCIPALES CARACTERÍSTICAS DE LOS CONSUMIDORES SEGÚN </t>
  </si>
  <si>
    <t>NIVEL SOCIO-ECONÓMICO EN HONDURAS</t>
  </si>
  <si>
    <t>Variables Socio-Económicas Honduras</t>
  </si>
  <si>
    <t>Censo al 2001 - Proyectado al 2008 - Tasa Crecimiento de un 4%</t>
  </si>
  <si>
    <t>$ 10,000 o mayor (Lps.190,000 o mayor)</t>
  </si>
  <si>
    <t>$ 3,000 -  6,000 (Lps. 85,500)</t>
  </si>
  <si>
    <t>$ 1,200 - 2,500 ( Lps. 35,150)</t>
  </si>
  <si>
    <t>$ 500 - 1,200 (Lps. 16,150)</t>
  </si>
  <si>
    <t>&lt; $100 (Lps. 1,900)</t>
  </si>
  <si>
    <t>El Pedregal , Bella Vista, Rio Piedras, Los Arcos</t>
  </si>
  <si>
    <t>Zeron, Trejo, Tara, Los Andes. Jardines del Valle (III Etapa), El Pedregal</t>
  </si>
  <si>
    <t>Bo. Suyapa, Villas del Sol, Villas El Paraìso</t>
  </si>
  <si>
    <t>Montefresco, Satélite 1 Etapa, Cabañas</t>
  </si>
  <si>
    <t xml:space="preserve">Bordos e invasiones </t>
  </si>
  <si>
    <t>Posee Licenciatura hasta maestría</t>
  </si>
  <si>
    <t>Licenciatura, Egresado de la Universidad. Algunos con Universidad incompleta. Secundaria completa.</t>
  </si>
  <si>
    <t>Secundaria Incompleta y en pocos casos secundaria completa. Primaria Comleta</t>
  </si>
  <si>
    <t>Dueños, jefes o directores de micro y pequeña empresa, empleados de mandos intermedios de empresas grandes privadas o publicas. secretarias ejecutivas, maestros y artistas</t>
  </si>
  <si>
    <t>Técnicos, vendedores de tiendas, Estilistas. Obreros, guardias de seguridad, Chóferes, Cobradores, maquiladores</t>
  </si>
  <si>
    <t>Labores temporales, pepenadores y desempleados</t>
  </si>
  <si>
    <t>Instituciones privadas, las mas caras del país (Seran, Escuela Internacional Sampedrana) hasta secundaria. La univesidad y maestrías se realizan en el extranjero.</t>
  </si>
  <si>
    <t xml:space="preserve">Instituciones privadas no necesariamente las más caras del país pero con prestigio (Academia Americana, La Salle, Episcopal, Reinalba, Escuela Bilingüe Valle de Sula), Los estudios universitarios  se realizan en Unitec, USPS y algunos en la Católica. </t>
  </si>
  <si>
    <t>Instituciones privadas pero no muy caras (Inst.Técnico de SPS, Maria Auxiliadora, Happy Days-Freedon High School, Kitty Kat, Liceo Bilingüe Centroamericano, ) UTH, Catolica</t>
  </si>
  <si>
    <t>Instituciones Públicas (Intae, JTR)</t>
  </si>
  <si>
    <t>Escuelas públicas o no asisten a la escuela</t>
  </si>
  <si>
    <t>Socios de clubs (Árabe) y asisten a las fiestas más elegantes y en el mundo diplomático del país. Practica deportes como el tennis, Golf, ecuestre entre otros. Restaurantes como Mediterráneo y Pats, entre otros. Realizan sus compras en el extranjero.</t>
  </si>
  <si>
    <t>Socios de clubes Privados (Árabe y Casino Sampedrano). Visitan restaurantes elegantes (Tre Fratelli, Maki Sushi, La Pampa, La Estancia, Dinos), practica deportes, Béisbol, Raquet, Sofbol. Realizan sus compras localmente en tiendas exclusivas y con frecuen</t>
  </si>
  <si>
    <t xml:space="preserve">Asisten a cines y centros comerciales (City Mall, Mall Multiplaza, Galerías del Valle), restaurantes no muy elegantes (Applebees, Power Chicken) </t>
  </si>
  <si>
    <t>2-3 veces al mes asisten a cines y centros comerciales (Metroplaza, Megaplaza, Nova Prisa), restaurantes de comida rápida (Costas Burger, Pollos El Hondureño)</t>
  </si>
  <si>
    <t>Visitan parques públicos</t>
  </si>
  <si>
    <t>Viajan con frecuencia al extranjero (América del Norte, Europa u otros países del lejano Oriente). Usualmente en primera clase.</t>
  </si>
  <si>
    <t>Viajan al extranjero (principalmente Norte América) y con frecuencia a centros turísticos dentro del país</t>
  </si>
  <si>
    <t>Viajan al extranjero con menos frecuencia y por lo menos una vez al año a centros turísticos dentro del país o Centroamérica.</t>
  </si>
  <si>
    <t>Viaja al interior del país ocasionalmente</t>
  </si>
  <si>
    <t>Cuentas Bancarias</t>
  </si>
  <si>
    <t>Cuentan con tarjetas de crédito internacionales Platinum, certificados de plazo fijo. Poseen cuentas de ahorro, cheques y tarjeta de credito en el extranjero</t>
  </si>
  <si>
    <t>Cuentan con tarjetas de crédito internacionales Platinum/Oro. Algunos poseen cuentas de ahorro en el extranjero.</t>
  </si>
  <si>
    <t>Tienen 2 tarjetas de crédito internacional, además de tener 1 tarjeta de débito, 1-2 cuentas de ahorro</t>
  </si>
  <si>
    <t>Tienen 1 tarjeta de débito (especialmente por pagos de planilla), 1 cuenta de ahorro</t>
  </si>
  <si>
    <t>Rentada / Propia por Herencia</t>
  </si>
  <si>
    <t>Invasión</t>
  </si>
  <si>
    <t>$ 500 Mil o más (Lps. 10 millones o más)</t>
  </si>
  <si>
    <t>$200 - 350 Mil (Hasta Lps. 7 millones)</t>
  </si>
  <si>
    <t xml:space="preserve">$ 86 - 149 Mil (Lps. 2. Millón) Fondos Propios </t>
  </si>
  <si>
    <t>$ 25 - 49 Mil (Lps. 700 Mil) financiada con Rap, Fosovi</t>
  </si>
  <si>
    <t>Ningún Valor</t>
  </si>
  <si>
    <t>Tenencias/Servicios</t>
  </si>
  <si>
    <t>http://poblacion.rds.hn/poblacion_honduras/Piramides_de_Poblacion.pdf</t>
  </si>
  <si>
    <t>Variables Socio-Económicas en Puerto Rico</t>
  </si>
  <si>
    <t>Poblacion total País                          Proyeccion 2010</t>
  </si>
  <si>
    <t>Más de $10,000</t>
  </si>
  <si>
    <t>$5,000 -  $9,999</t>
  </si>
  <si>
    <t>$1,600 - $4,999</t>
  </si>
  <si>
    <t>$800 - $1,599</t>
  </si>
  <si>
    <t>Menos de $800</t>
  </si>
  <si>
    <t>Colinas de Park Ville, Alturas de Sans Souci, Mansiones del Sur.</t>
  </si>
  <si>
    <t>Condado, Isla Verde, Flamboyan Gardens, Río Hondo.</t>
  </si>
  <si>
    <t>Torrimar, Rexville, Roosevelt.</t>
  </si>
  <si>
    <t>Barrio Obrero, Santurce, Las Casas, Luis Llorens Torres.</t>
  </si>
  <si>
    <t>Villas del Sol, Cucharillas, Juana Matos.</t>
  </si>
  <si>
    <t>Posee Títulos universitarios tales como Ingenierias, Licenciaturas, maestrías y doctorados</t>
  </si>
  <si>
    <t>Secundaria Incompleta y en pocos casos secundaria completa. Primaria Comleta.</t>
  </si>
  <si>
    <t>Primaria Incompleta y la mayoría de veces analfabetas.</t>
  </si>
  <si>
    <t>Dueños, jefes o directores de micro y pequeña empresa, empleados de empresas privadas o publicas.</t>
  </si>
  <si>
    <t>Técnicos, vendedores de tiendas, Estilistas. Obreros, guardias de seguridad, Chóferes, Cobradores, maquiladores.</t>
  </si>
  <si>
    <t>Labores temporales y desempleados</t>
  </si>
  <si>
    <r>
      <t xml:space="preserve">Instituciones privadas, las más caras del país </t>
    </r>
    <r>
      <rPr>
        <sz val="10"/>
        <rFont val="Arial"/>
        <family val="2"/>
      </rPr>
      <t xml:space="preserve">(Colegios: San Ignacio, San José, Marista, Puertorriqueño de niñas, Robinson, Baldwin,Saint John's, Academias: Perpetuo Socorro, María Reina, San José) hasta secundaria. La univesidad y maestrías se realizan </t>
    </r>
  </si>
  <si>
    <t>Instituciones privadas no necesariamente las más caras del país pero con prestigio (La Piedad, Colegio San Antonio, Bayamon Military Academy, Colegio Rosa Bell, East, Nuestra señora de la providencia, Belen, Mater Salvatori, Santo Tomás) La univesidad y m</t>
  </si>
  <si>
    <r>
      <t xml:space="preserve">Instituciones privadas pero no muy caras </t>
    </r>
    <r>
      <rPr>
        <sz val="10"/>
        <rFont val="Arial"/>
        <family val="2"/>
      </rPr>
      <t>(University High School, Colegio Catolico de Notre Dame, Colegio Nuestra Señora de Lourdes, Colegio Sagrado Corazón, Colegio San Jorge)
Universidad de Puerto Rico y Sagrado Corazón</t>
    </r>
  </si>
  <si>
    <r>
      <t>Instituciones Públicas</t>
    </r>
    <r>
      <rPr>
        <sz val="10"/>
        <rFont val="Arial"/>
        <family val="2"/>
      </rPr>
      <t xml:space="preserve"> (Escuela Central de Artes Visuales, Escuela Dr. Jose Celso Barbosa, Escuela Eugenio Maria de Hostos)</t>
    </r>
  </si>
  <si>
    <r>
      <t xml:space="preserve">Escuelas públicas o no asisten a la escuela </t>
    </r>
    <r>
      <rPr>
        <sz val="10"/>
        <rFont val="Arial"/>
        <family val="2"/>
      </rPr>
      <t>(Escuela Gabriela Mistral, Republica de Peru, Escuela Gaspar Vila Mayos, Escuela José Julian Acosta, etc.)</t>
    </r>
  </si>
  <si>
    <t>Socios de clubs como Trump International golf club, Hyatt Vacation Club Resort. Asisten a las fiestas más elegantes y en el mundo diplomático del país. Practican deportes como el tennis, Golf, ecuestre entre otros. Restaurantes lujosos, realizan sus compr</t>
  </si>
  <si>
    <t>Socios de clubes Privados como Palmas del Mar Country Club, Nautico. Visitan restaurantes elegantes (Dragonfly, Agua Viva, Ropa Vieja, Tantra, Ramiro's, La Pampa, La Estancia, Dinos), practica deportes, Béisbol, Raquet, Sofbol. Realizan sus compras localm</t>
  </si>
  <si>
    <t xml:space="preserve">Parque Central Asisten a cines y centros comerciales, restaurantes no muy elegantes (Applebees, Chili's) </t>
  </si>
  <si>
    <r>
      <t>2-3 veces al mes asisten a cines y centros comerciales</t>
    </r>
    <r>
      <rPr>
        <sz val="10"/>
        <rFont val="Arial"/>
        <family val="2"/>
      </rPr>
      <t>, restaurantes de comida rápida.</t>
    </r>
  </si>
  <si>
    <t>Visitan parques públicos.</t>
  </si>
  <si>
    <t>Viajan al extranjero (principalmente Norte América, Europa) y con frecuencia a centros turísticos dentro del país</t>
  </si>
  <si>
    <t>Viajan al extranjero con menos frecuencia y por lo menos una vez al año a centros turísticos dentro del país o fuera principalmente Norte América.</t>
  </si>
  <si>
    <t>Viaja al interior del país ocasionalmente.</t>
  </si>
  <si>
    <t>No Vacacionan.</t>
  </si>
  <si>
    <t>Rentada / Propia</t>
  </si>
  <si>
    <t>Propia / Invasión</t>
  </si>
  <si>
    <t>Más de $250,000</t>
  </si>
  <si>
    <t>$125,000 a $249,999</t>
  </si>
  <si>
    <t>$40,000 a $124,999</t>
  </si>
  <si>
    <t>Menos de $40,000</t>
  </si>
  <si>
    <t>4 o más habitaciones con baño privado y walk-in closet, 1-2 Habitación de Huéspedes, estudio, 2 habitaciones para servidumbre, área de lavandería, Extenso Jardín, Piscina, condicionador de aire central, jacuzzi.</t>
  </si>
  <si>
    <t>2 o 3 Habitaciones pequeñas, área de lavandería, área verde, sala, comedor, cocina, 3 baños, garaje para 2 carros</t>
  </si>
  <si>
    <t>Casas muy pobres hechas con madera o zinc. Por lo general están construidas en los bordos de los ríos o por invasiones.</t>
  </si>
  <si>
    <t>Computadora portatil, Sistemas de Teatro en casa, Calentador de Agua, Celulares tipo BlackBerry/Palm post-pago con roaming, portones eléctricos, TV LCD o Plasma, Lavadora y Secadora de Ropa.</t>
  </si>
  <si>
    <t>Mini Split, computadora portatil, DVD, Duchas de agua caliente o calentador de agua, Celular modelos recientes post-pago con roaming, TV LCD o Plasma, Lavadora y Secadora de Ropa.</t>
  </si>
  <si>
    <t>VHS, Muebles de segunda, Celular modelo antiguo, teléfono fijo .</t>
  </si>
  <si>
    <t>Carecen artículos electrodomésticos, no poseen agua potable. Poseen un foco y luz eléctrica robada, pisos de tierra o cemento.</t>
  </si>
  <si>
    <t>Cisterna de agua, Internet, Cable, Guardaespaldas, Chóferes, Guardia de Seguridad en casa, Carros Blindados.</t>
  </si>
  <si>
    <t>Cisterna de agua, Internet, Cable, Monitoreo de seguridad en casa.</t>
  </si>
  <si>
    <t>Cable, TV Nacional, radio y periódicos.</t>
  </si>
  <si>
    <t>TV Nacional, radio y periódico.</t>
  </si>
  <si>
    <t>Ninguna.</t>
  </si>
  <si>
    <t>1 Vehículo modelo reciente y 1 de uso compartido para la familia</t>
  </si>
  <si>
    <t>Utiliza el transporte público.</t>
  </si>
  <si>
    <t>Raras veces utilizan el transporte público y por lo general caminan.</t>
  </si>
  <si>
    <t>Variables Socio-Económicas República Dominicana</t>
  </si>
  <si>
    <t>B/C1</t>
  </si>
  <si>
    <t>$ 10,000 o mayor</t>
  </si>
  <si>
    <t>$ 3,000 -  10,000</t>
  </si>
  <si>
    <t>$ 1,200 - 3,000</t>
  </si>
  <si>
    <t>$ 200 - 1,200</t>
  </si>
  <si>
    <t>&lt; $200</t>
  </si>
  <si>
    <t>Bella Vista, Piantinni, Arroyo Hondo, Mirador Sur, Naco</t>
  </si>
  <si>
    <t>Bella Vista, Piantinni, Arroyo Hondo, Mirador Sur</t>
  </si>
  <si>
    <t>Alma Rosa, Los Millones, Gazcue</t>
  </si>
  <si>
    <t xml:space="preserve">Cristo Rey, Villa Juana , Capotillo </t>
  </si>
  <si>
    <t>Villa Altagracia, Los Guandules, Domingo Sabio</t>
  </si>
  <si>
    <t>Instituciones privadas, las mas caras del país (New Horizons, Carol Morgan, St. George School, St.Micheals School) hasta secundaria. La univesidad y maestrías se realizan en el extranjero.</t>
  </si>
  <si>
    <r>
      <t>Instituciones privadas no necesariamente las más caras del país pero con prestigio (Dominico-Americano, Lux Mundi, ABC School, Babeque</t>
    </r>
    <r>
      <rPr>
        <b/>
        <sz val="10"/>
        <rFont val="Arial"/>
        <family val="2"/>
      </rPr>
      <t>)</t>
    </r>
    <r>
      <rPr>
        <sz val="10"/>
        <rFont val="Arial"/>
        <family val="2"/>
      </rPr>
      <t xml:space="preserve">, Los estudios universitarios  se realizan en PUCMM, Unibe y algunos en APEC. </t>
    </r>
  </si>
  <si>
    <t>Instituciones privadas pero no muy caras (Colegio Triunmphare, Santa Teresita, Santa Martha). Los estudios universitarios en UASD y La Catolica.</t>
  </si>
  <si>
    <r>
      <t>Socios de clubs</t>
    </r>
    <r>
      <rPr>
        <b/>
        <sz val="10"/>
        <color indexed="10"/>
        <rFont val="Arial"/>
        <family val="2"/>
      </rPr>
      <t xml:space="preserve"> </t>
    </r>
    <r>
      <rPr>
        <sz val="10"/>
        <rFont val="Arial"/>
        <family val="2"/>
      </rPr>
      <t>(Metro Country Club, EL Country, Guavaberry)</t>
    </r>
    <r>
      <rPr>
        <b/>
        <sz val="10"/>
        <color indexed="10"/>
        <rFont val="Arial"/>
        <family val="2"/>
      </rPr>
      <t xml:space="preserve"> </t>
    </r>
    <r>
      <rPr>
        <sz val="10"/>
        <rFont val="Arial"/>
        <family val="2"/>
      </rPr>
      <t>y asisten a las fiestas más elegantes y en el mundo diplomático del país. Practica deportes como el tennis, Golf, ecuestre entre otros. Restaurantes como Fellini, Sophia, entre otros. Realizan s</t>
    </r>
  </si>
  <si>
    <t>Socios de clubes Privados (Casa Espana, Club Naco). Visitan restaurantes elegantes (El Vesuvio, Hard Rock Café, Mitre, y Don Pepe). Realizan sus compras localmente en tiendas exclusivas y con frecuencia.</t>
  </si>
  <si>
    <t xml:space="preserve">Asisten a cines y centros comerciales (Bella Vista Mall, Blue Mall, Acropolis Center) restaurantes no muy elegantes (Chef Pepper, Outback, Fridays) </t>
  </si>
  <si>
    <t>2-3 veces al mes asisten a cines y centros comerciales (MegaCentro, Plaza Central, Cinema Centro) restaurantes de comida rápida (Mcdonalds, Burgerking, Pollos Victorina)</t>
  </si>
  <si>
    <t>Viajan al extranjero todos los años  y con frecuencia a centros turísticos dentro del país</t>
  </si>
  <si>
    <t>Viajan al extranjero con menos frecuencia y por lo menos una vez al año a centros turísticos dentro del país.</t>
  </si>
  <si>
    <t>Viaja al interior del país ocasionalmente basicamente a visitar familiares</t>
  </si>
  <si>
    <t>Propia o arriendo superior a US$3,000</t>
  </si>
  <si>
    <t>Propia o arriendo superior a US$1,000</t>
  </si>
  <si>
    <t>Propia o arriendo superior a US$500</t>
  </si>
  <si>
    <t xml:space="preserve">Renta de mes¡nos de US$200 / Propia </t>
  </si>
  <si>
    <t xml:space="preserve">$ 500 Mil Dolares </t>
  </si>
  <si>
    <t xml:space="preserve">$200 - 350 Mil Dolares </t>
  </si>
  <si>
    <t xml:space="preserve">$ 86.000 - 200.000 Mil Dolares  </t>
  </si>
  <si>
    <t xml:space="preserve">$ 25 - 85 Mil Dolares </t>
  </si>
  <si>
    <t xml:space="preserve">menos de 25 Mil Dolares </t>
  </si>
  <si>
    <t>4-5 Habitaciones con baño privado y walk-in closet, 1-2 Habitación de Huéspedes, estudio, 2 habitaciones para servidumbre, área de lavandería, Extenso Jardín, Piscina, central de aire acondicionado, Planta Electrica</t>
  </si>
  <si>
    <t>3-4 Habitaciones con baño privado, pequeña habitación para servidumbre, área de lavandería, jardín, sala, comedor, perqueo para dos vehiculos, Planta electrica, aire acondicionada</t>
  </si>
  <si>
    <t>3 Habitaciones pequeñas, área de lavandería,  área verde, sala, comedor, cocina, 3 baños, Inversor</t>
  </si>
  <si>
    <t>Computadora portatil, Sistemas de Teatro en casa, Calentador de Agua, Celulares tipo BlackBerry/Palm post-pago con roaming, portones eléctricos, TV LCD o Plasma, Lavadora.</t>
  </si>
  <si>
    <t>Mini Split, computadora portatil, DVD, Duchas de agua caliente , Celular modelos recientes post-pago con roaming, TV LCD o Plasma, Lavadora.</t>
  </si>
  <si>
    <t>Computadora, DVD, Ducha Agua Caliente, Celular modelos no muy recientes post-pago y tarjetas, Lavadora.</t>
  </si>
  <si>
    <t>VHS, Muebles de segunda, Celular prepago</t>
  </si>
  <si>
    <t>Carecen artículos electrodomésticos, no poseen agua potable, Servicios precarios o inexistente</t>
  </si>
  <si>
    <t>Cisterna de agua, Internet, Televisión por cable multiplas canales, variado personal de servicio</t>
  </si>
  <si>
    <t>Cisterna de agua, Internet, Cable, Servicio de Seguridad</t>
  </si>
  <si>
    <t>Cable, TV Nacional, radio.</t>
  </si>
  <si>
    <t>4 o más vehículos del año para uso personal , botes, cuatrimotos, wave Runner, motos de colección, auto deportivos.</t>
  </si>
  <si>
    <t>2-3 vehículos del Año o modelo reciente.</t>
  </si>
  <si>
    <t xml:space="preserve">1 Vehículo </t>
  </si>
  <si>
    <t>Utiliza el transporte público diariamente</t>
  </si>
  <si>
    <t>Utilizan el transporte público basico en ocasiones</t>
  </si>
  <si>
    <t>http://www.ine.gob.gt/</t>
  </si>
  <si>
    <t xml:space="preserve"> Vehículo usado de año no muy reciente en algunas ocasiones / utilizan transporte colectivo / motocicletas</t>
  </si>
  <si>
    <t>, computadora, DVD, Ducha Agua Caliente, Celular modelos no muy recientes post-pago y tarjetas, Lavadora, algunos con secadoras.</t>
  </si>
  <si>
    <t>computadora portatil, DVD, Duchas de agua caliente o calentador de agua, Celular modelos recientes post-pago con roaming, TV LCD o Plasma, Lavadora y Secadora de Ropa</t>
  </si>
  <si>
    <t>$ 2 o menos</t>
  </si>
  <si>
    <t>$ 20 - 70 Mil</t>
  </si>
  <si>
    <t>$ 100 - 270 Mil</t>
  </si>
  <si>
    <t>$ 400 Mil o Mas</t>
  </si>
  <si>
    <t>Visitan parques públicos (Parques Centrales), y por lo menos una vez al mes visitan centros comerciales de paseo</t>
  </si>
  <si>
    <t>Visitan parques públicos (Parque Parques Centrales, Parque de la Industria), y por lo menos una vez al mes visitan centros comerciales de paseo</t>
  </si>
  <si>
    <t>Al menos una vez al mes asisten a cines y centros comerciales (Proceres, Megacentro, Megaseis), restaurantes de comida rápida (McDonald's, Burguer King, Pizza Hut, Pollo Campero)</t>
  </si>
  <si>
    <t>Asiste a cines y centros comerciales (Okalnd Mall, Pradera Concepción), comen en restaurantes no muy elegantes con frecuencia (Friday´s Hacienda Real, Sushitto ), No tiene casa de campo, pero si tiene Time Shares.</t>
  </si>
  <si>
    <t>Socio de Club (Country Club), asiste a fiestas elegantes de la esfera social y política, practica golf, fan ecuestre y tiene casa de playa, visita restaurantes como Tamarindos, Jakes, realizan sus compras en el extranjero</t>
  </si>
  <si>
    <t>Instituciones Públicas y colegios vocacionales (Mentes Sanas, Canadiense, Instituto Aqueche)</t>
  </si>
  <si>
    <t>Instituciones públicas y privadas no muy caras (Maya, Univ. Del Valle, Francisco Marroquin Landivar)</t>
  </si>
  <si>
    <t>Instituciones privadas, las mas caras del país, o en el extranjero  (Interamericano, INCAE, EEUU)</t>
  </si>
  <si>
    <t>Asentamientos</t>
  </si>
  <si>
    <t>Colonia Venezuela, Sakerti</t>
  </si>
  <si>
    <t>Majadas, Molino de las Flores, Centroamerica</t>
  </si>
  <si>
    <t>Arazolas, Vista Hermosa I, II y III</t>
  </si>
  <si>
    <t>Cañada, ElGin, Las Luces, Arazolas</t>
  </si>
  <si>
    <t>$ 200.00  o Menos ( Q. 1,640)</t>
  </si>
  <si>
    <t>$500.00 a 1,200.00 ( Q 6,970)</t>
  </si>
  <si>
    <t>$ 1,200 - $2,800  ( Q 16,400)</t>
  </si>
  <si>
    <t>$ 3,000 - 6,000 ( Q 36,900)</t>
  </si>
  <si>
    <t>$ 10,000  o Mas ( Q 82,000)</t>
  </si>
  <si>
    <t>NSE -</t>
  </si>
  <si>
    <t>Variables Socio-Económicas Guatemala</t>
  </si>
  <si>
    <t>Valores referenciales para negociación Cuantitativa</t>
  </si>
  <si>
    <t>Menor 50%</t>
  </si>
  <si>
    <t>50-75%</t>
  </si>
  <si>
    <t>Mayor 75%</t>
  </si>
  <si>
    <t>Ecuador</t>
  </si>
  <si>
    <t>USD 29</t>
  </si>
  <si>
    <t>USD 17</t>
  </si>
  <si>
    <t>USD 12</t>
  </si>
  <si>
    <t>Venezuela</t>
  </si>
  <si>
    <t>USD  42</t>
  </si>
  <si>
    <t>USD 37</t>
  </si>
  <si>
    <t>USD 21</t>
  </si>
  <si>
    <t>USD 42</t>
  </si>
  <si>
    <t>USD  28</t>
  </si>
  <si>
    <t>USD 19</t>
  </si>
  <si>
    <t>Salvador</t>
  </si>
  <si>
    <t>USD  36</t>
  </si>
  <si>
    <t>USD  33</t>
  </si>
  <si>
    <t>USD 20</t>
  </si>
  <si>
    <t>USD 33</t>
  </si>
  <si>
    <t>USD  26</t>
  </si>
  <si>
    <t>USD 47</t>
  </si>
  <si>
    <t>USD  40</t>
  </si>
  <si>
    <t>USD 35</t>
  </si>
  <si>
    <t>USD 27</t>
  </si>
  <si>
    <t>USD  76</t>
  </si>
  <si>
    <t>T&amp;T</t>
  </si>
  <si>
    <t>USD  72</t>
  </si>
  <si>
    <t>USD  53</t>
  </si>
  <si>
    <t xml:space="preserve">México </t>
  </si>
  <si>
    <t>USD  63</t>
  </si>
  <si>
    <t>USD 32</t>
  </si>
  <si>
    <t>Argentina</t>
  </si>
  <si>
    <t>USD  136</t>
  </si>
  <si>
    <t>USD  85</t>
  </si>
  <si>
    <t>USD 51</t>
  </si>
  <si>
    <t>Valores referenciales para negociación Cualitativa</t>
  </si>
  <si>
    <t>Sesiones</t>
  </si>
  <si>
    <t xml:space="preserve">Entrev. </t>
  </si>
  <si>
    <t>Etnografias</t>
  </si>
  <si>
    <t>USD</t>
  </si>
  <si>
    <t xml:space="preserve">USD </t>
  </si>
  <si>
    <t>USD 130</t>
  </si>
  <si>
    <t>USD 3.750</t>
  </si>
  <si>
    <t xml:space="preserve">USD 2.700 </t>
  </si>
  <si>
    <t>USD 2.408</t>
  </si>
  <si>
    <t>USD 1.292</t>
  </si>
  <si>
    <t>USD 968</t>
  </si>
  <si>
    <t>USD 873</t>
  </si>
  <si>
    <t>USD 420</t>
  </si>
  <si>
    <t>USD 500</t>
  </si>
  <si>
    <t>USD 1.480</t>
  </si>
  <si>
    <t>USD 1.200</t>
  </si>
  <si>
    <t>USD 1.020</t>
  </si>
  <si>
    <t>Mystery/ Shopper</t>
  </si>
  <si>
    <t>Principal</t>
  </si>
  <si>
    <t>Ciudad 1</t>
  </si>
  <si>
    <t>Ciudad 2</t>
  </si>
  <si>
    <t>Ciudad 3</t>
  </si>
  <si>
    <t>CHÍA</t>
  </si>
  <si>
    <t>FACATATIVÁ</t>
  </si>
  <si>
    <t>NEIVA</t>
  </si>
  <si>
    <t>ITAGUI</t>
  </si>
  <si>
    <t>ENVIGADO</t>
  </si>
  <si>
    <t>PEREIRA</t>
  </si>
  <si>
    <t>PALMIRA</t>
  </si>
  <si>
    <t>JAMUNDI</t>
  </si>
  <si>
    <t>POPAYAN</t>
  </si>
  <si>
    <t>SOLEDAD</t>
  </si>
  <si>
    <t>CARTAGENA</t>
  </si>
  <si>
    <t>MONTERIA</t>
  </si>
  <si>
    <t>FLORIDABLANCA</t>
  </si>
  <si>
    <t>GIRÓN</t>
  </si>
  <si>
    <t>VILLAVICENCIO</t>
  </si>
  <si>
    <t>Costo telefónico para Siembra</t>
  </si>
  <si>
    <t>OBC001 - OBV Data &amp; Delivery</t>
  </si>
  <si>
    <t>OMN001 - Omnibus Online</t>
  </si>
  <si>
    <t>OBL001 - OBV Sample Access</t>
  </si>
  <si>
    <t>CRI006 - CPR ESG Tracking &amp; Evaluation</t>
  </si>
  <si>
    <t>PPI001 - Policy, Program Design</t>
  </si>
  <si>
    <t>PPI003 - Program Evaluation</t>
  </si>
  <si>
    <t>POP002 - Public Opinion Polls</t>
  </si>
  <si>
    <t>MME002 - Cnsmr Consumption/Usage Trkr</t>
  </si>
  <si>
    <t>CRI001 - Tailored Reputation Tracking</t>
  </si>
  <si>
    <t>MCI001 - Custom Segmentation</t>
  </si>
  <si>
    <t>UIM002 - In Context Immersion/Empathy</t>
  </si>
  <si>
    <t>ADHOC</t>
  </si>
  <si>
    <t>CNT002 - ASI:Check</t>
  </si>
  <si>
    <t>CMM001 - Custom Post Test</t>
  </si>
  <si>
    <t>CMM004 - Creative|Impact</t>
  </si>
  <si>
    <t>CNT001 - Creative|Spark IDP Only</t>
  </si>
  <si>
    <t>CED007 - Instant|Labs, Virtual|Labs</t>
  </si>
  <si>
    <t>HCU003 - HEC Brand Pos. &amp; Optimisation</t>
  </si>
  <si>
    <t>HCU011 - HEC Market Landscape</t>
  </si>
  <si>
    <t>HCU004 - HEC Messaging</t>
  </si>
  <si>
    <t>HCU015 - HEC Patient Journey &amp; Flow</t>
  </si>
  <si>
    <t>HMA001 - HEC AdvisoryBoards /Workshops</t>
  </si>
  <si>
    <t>HCU016 - HEC Concept</t>
  </si>
  <si>
    <t>UOE001 - Open Exchange (DX/Bridge)</t>
  </si>
  <si>
    <t>PAD004 - PA Communities</t>
  </si>
  <si>
    <t>PAD001 - PA Advisory</t>
  </si>
  <si>
    <t>PRE001 - Program Evaluation</t>
  </si>
  <si>
    <t>S3</t>
  </si>
  <si>
    <t>SAS002 - Corporate/Business Strategy</t>
  </si>
  <si>
    <t>SAS004 - Brand Strategy</t>
  </si>
  <si>
    <t>SAS003 - Innovation Strategy</t>
  </si>
  <si>
    <t>STN001 - Trends/Foresight/Futures</t>
  </si>
  <si>
    <t>CXA001 - CX Curation/Workshops</t>
  </si>
  <si>
    <t>MBP005 - Brand &amp; Portfolio - Templated</t>
  </si>
  <si>
    <t>UID001 - ID Interview</t>
  </si>
  <si>
    <t>INTERNACIONAL</t>
  </si>
  <si>
    <t xml:space="preserve">Productividad </t>
  </si>
  <si>
    <t>No Dias</t>
  </si>
  <si>
    <t>Encuestadores</t>
  </si>
  <si>
    <t>Costos</t>
  </si>
  <si>
    <t>Hotel</t>
  </si>
  <si>
    <t>Alimentación</t>
  </si>
  <si>
    <t>Total Transp</t>
  </si>
  <si>
    <t>Total Hotel + Alim</t>
  </si>
  <si>
    <t>Total Viáticos</t>
  </si>
  <si>
    <t>SCM Centroamérica.</t>
  </si>
  <si>
    <t>hugo.mendietar@scm-ca.com</t>
  </si>
  <si>
    <t xml:space="preserve">Hugo Mendieta R. </t>
  </si>
  <si>
    <t>Auditorias Basicas</t>
  </si>
  <si>
    <t>AuditoriasMedia</t>
  </si>
  <si>
    <t>Auditoriasalta</t>
  </si>
  <si>
    <t>Traducción pregunta abierta</t>
  </si>
  <si>
    <t>Valor por pregunta</t>
  </si>
  <si>
    <t># preguntas</t>
  </si>
  <si>
    <t>Valor por encuesta por pregunta</t>
  </si>
  <si>
    <t># encuestas</t>
  </si>
  <si>
    <t>Ciudad</t>
  </si>
  <si>
    <t>En ciudad</t>
  </si>
  <si>
    <t>TUNJA</t>
  </si>
  <si>
    <t>DUITAMA</t>
  </si>
  <si>
    <t>SOGAMOSO</t>
  </si>
  <si>
    <t>NEIA</t>
  </si>
  <si>
    <t>PASTO</t>
  </si>
  <si>
    <t>IBAGUE</t>
  </si>
  <si>
    <t>Pasaje Ida y regreso</t>
  </si>
  <si>
    <t>Teminales</t>
  </si>
  <si>
    <t>VALLEDUPAR</t>
  </si>
  <si>
    <t>SANTA MARTA</t>
  </si>
  <si>
    <t>BUGA</t>
  </si>
  <si>
    <t>No Encuestadores para otras ciudades</t>
  </si>
  <si>
    <t xml:space="preserve">Total </t>
  </si>
  <si>
    <t>No Ciudades para otras ciudades</t>
  </si>
  <si>
    <t>Otros Incentivos</t>
  </si>
  <si>
    <t>Viaticos</t>
  </si>
  <si>
    <t>Resumen de Costos</t>
  </si>
  <si>
    <t>TDD (Script+Code+Proc)</t>
  </si>
  <si>
    <t>Incentivos</t>
  </si>
  <si>
    <t>Resumen de Costos Operativos</t>
  </si>
  <si>
    <t>Campo+Calidad+ Viáticos</t>
  </si>
  <si>
    <t>Porcentaje de Sobre Muestra</t>
  </si>
  <si>
    <t>Viáticos para Campo</t>
  </si>
  <si>
    <t>Estados Unidos</t>
  </si>
  <si>
    <t>Valledupar</t>
  </si>
  <si>
    <t>Montería</t>
  </si>
  <si>
    <t>Chía</t>
  </si>
  <si>
    <t>Envigado</t>
  </si>
  <si>
    <t>Popayán</t>
  </si>
  <si>
    <t>Palmira</t>
  </si>
  <si>
    <t>Jamundi</t>
  </si>
  <si>
    <t>Buga</t>
  </si>
  <si>
    <t>Floridablanca</t>
  </si>
  <si>
    <t>Girón</t>
  </si>
  <si>
    <t>Pereira</t>
  </si>
  <si>
    <t>Villavicencio</t>
  </si>
  <si>
    <t>Factativá</t>
  </si>
  <si>
    <t>Tunja</t>
  </si>
  <si>
    <t>Duitama</t>
  </si>
  <si>
    <t>Sogamoso</t>
  </si>
  <si>
    <t>Neiva</t>
  </si>
  <si>
    <t>Pasto</t>
  </si>
  <si>
    <t>Antioquia</t>
  </si>
  <si>
    <t>Abejorral</t>
  </si>
  <si>
    <t>Bello</t>
  </si>
  <si>
    <t>Itagüí</t>
  </si>
  <si>
    <t>Caldas</t>
  </si>
  <si>
    <t>Manizales</t>
  </si>
  <si>
    <t>Pácora</t>
  </si>
  <si>
    <t>Quindío</t>
  </si>
  <si>
    <t>Armenia</t>
  </si>
  <si>
    <t>Risaralda</t>
  </si>
  <si>
    <t>Dosquebradas</t>
  </si>
  <si>
    <t>Atlántico</t>
  </si>
  <si>
    <t>Soledad</t>
  </si>
  <si>
    <t>Magdalena</t>
  </si>
  <si>
    <t>Santa Marta</t>
  </si>
  <si>
    <t>Bolívar</t>
  </si>
  <si>
    <t>Cartagena de Indias</t>
  </si>
  <si>
    <t>Arjona</t>
  </si>
  <si>
    <t>Cesar</t>
  </si>
  <si>
    <t>Pueblo Bello</t>
  </si>
  <si>
    <t>Córdoba</t>
  </si>
  <si>
    <t>Lorica</t>
  </si>
  <si>
    <t>La Guajira</t>
  </si>
  <si>
    <t>Riohacha</t>
  </si>
  <si>
    <t>Uribia</t>
  </si>
  <si>
    <t>Sucre</t>
  </si>
  <si>
    <t>Sincelejo</t>
  </si>
  <si>
    <t>Boyacá</t>
  </si>
  <si>
    <t>Cundinamarca</t>
  </si>
  <si>
    <t>Soacha</t>
  </si>
  <si>
    <t>Girardot</t>
  </si>
  <si>
    <t>Mosquera</t>
  </si>
  <si>
    <t>Huila</t>
  </si>
  <si>
    <t>Acevedo</t>
  </si>
  <si>
    <t>Rivera</t>
  </si>
  <si>
    <t>Norte de Santander</t>
  </si>
  <si>
    <t>Cúcuta</t>
  </si>
  <si>
    <t>Santander</t>
  </si>
  <si>
    <t>San Gil</t>
  </si>
  <si>
    <t>Tolima</t>
  </si>
  <si>
    <t>Ibagué</t>
  </si>
  <si>
    <t>Coello</t>
  </si>
  <si>
    <t>Fresno</t>
  </si>
  <si>
    <t>Caquetá</t>
  </si>
  <si>
    <t>Florencia</t>
  </si>
  <si>
    <t>Putumayo</t>
  </si>
  <si>
    <t>San Miguel</t>
  </si>
  <si>
    <t>Meta</t>
  </si>
  <si>
    <t>Acacías</t>
  </si>
  <si>
    <t>Granada</t>
  </si>
  <si>
    <t>Arauca</t>
  </si>
  <si>
    <t>Tame</t>
  </si>
  <si>
    <t>Casanare</t>
  </si>
  <si>
    <t>Yopal</t>
  </si>
  <si>
    <t>Paz de Ariporo</t>
  </si>
  <si>
    <t>Cauca</t>
  </si>
  <si>
    <t>Balboa</t>
  </si>
  <si>
    <t>Nariño</t>
  </si>
  <si>
    <t>Chocó</t>
  </si>
  <si>
    <t>Bagadó</t>
  </si>
  <si>
    <t>Carmen del Darién</t>
  </si>
  <si>
    <t>Valle del Cauca</t>
  </si>
  <si>
    <t>Buenaventura</t>
  </si>
  <si>
    <t>Jamundí</t>
  </si>
  <si>
    <t>Pradera</t>
  </si>
  <si>
    <t>Guaviare</t>
  </si>
  <si>
    <t>San José del Guaviare</t>
  </si>
  <si>
    <t>Vichada</t>
  </si>
  <si>
    <t>Cumaribo</t>
  </si>
  <si>
    <t>Anorí</t>
  </si>
  <si>
    <t>Bojayá ( se viaja en avión y Ferri)</t>
  </si>
  <si>
    <t>Cocorná</t>
  </si>
  <si>
    <t>Istmina</t>
  </si>
  <si>
    <t>Quibdó</t>
  </si>
  <si>
    <t>Fusagasuga</t>
  </si>
  <si>
    <t>El Carmen de Bolívar</t>
  </si>
  <si>
    <t>Hatonuevo</t>
  </si>
  <si>
    <t>San Onofre</t>
  </si>
  <si>
    <t>Tierralta</t>
  </si>
  <si>
    <t>Puerto Asís</t>
  </si>
  <si>
    <t>Tumaco</t>
  </si>
  <si>
    <t>Villagarzón</t>
  </si>
  <si>
    <t>Amazonas</t>
  </si>
  <si>
    <t>Leticia</t>
  </si>
  <si>
    <t>Pitalito</t>
  </si>
  <si>
    <t>Cartagena del Chairá</t>
  </si>
  <si>
    <t>Convención</t>
  </si>
  <si>
    <t>Villa Del Rosario</t>
  </si>
  <si>
    <t>Rural</t>
  </si>
  <si>
    <t>Paraguay</t>
  </si>
  <si>
    <t>carmen@visual.com.py Contacto de Paraguay</t>
  </si>
  <si>
    <t>ewainer@idretail.com contacto en Uruguay</t>
  </si>
  <si>
    <t>Uruguay</t>
  </si>
  <si>
    <t>Offline-IntercompanyQuotation-EC &lt;Offline-IntercompanyQuotation-EC@ipsos.com&gt;</t>
  </si>
  <si>
    <t>Perú</t>
  </si>
  <si>
    <t>Offline-IntercompanyQuotation-PE &lt;Offline-IntercompanyQuotation-PE@ipsos.com&gt;</t>
  </si>
  <si>
    <t>QuoteDPHubPeru &lt;QuoteDPHubPeru@ipsos.com&gt;</t>
  </si>
  <si>
    <t>Chile</t>
  </si>
  <si>
    <t>Offline-IntercompanyQuotation-CL &lt;Offline-IntercompanyQuotation-CL@ipsos.com&gt;</t>
  </si>
  <si>
    <t>Centro america</t>
  </si>
  <si>
    <t>Wilfredo.Chavez@ipsos.com</t>
  </si>
  <si>
    <t>cecilio.gutierrez@ipsos.com</t>
  </si>
  <si>
    <t>stanley.cardona@ipsos.com</t>
  </si>
  <si>
    <t>Sabaneta</t>
  </si>
  <si>
    <t>Costos Sin Gross</t>
  </si>
  <si>
    <t>P&amp;L</t>
  </si>
  <si>
    <t>Eliminaciones</t>
  </si>
  <si>
    <t>Total Compañía</t>
  </si>
  <si>
    <t>GM%</t>
  </si>
  <si>
    <t>Campo+Calidad+ Viaticos+ PMO</t>
  </si>
  <si>
    <t>Costos con Gross %</t>
  </si>
  <si>
    <t>Girardota</t>
  </si>
  <si>
    <t>Atlantico</t>
  </si>
  <si>
    <t>Malambo</t>
  </si>
  <si>
    <t>Funza</t>
  </si>
  <si>
    <t>La Virginia</t>
  </si>
  <si>
    <t>Bugalagrande</t>
  </si>
  <si>
    <t>Candelaria</t>
  </si>
  <si>
    <t>El cerrito</t>
  </si>
  <si>
    <t>Guacari</t>
  </si>
  <si>
    <t>Tulua</t>
  </si>
  <si>
    <t>Florida</t>
  </si>
  <si>
    <t>Yotoco</t>
  </si>
  <si>
    <t>Villa Rica</t>
  </si>
  <si>
    <t>Días hábiles</t>
  </si>
  <si>
    <t xml:space="preserve">Script </t>
  </si>
  <si>
    <t>Set Up OPS + Capacitación</t>
  </si>
  <si>
    <t>Code + Procesamiento</t>
  </si>
  <si>
    <t>TRM</t>
  </si>
  <si>
    <t>Departamento</t>
  </si>
  <si>
    <t>Rionegro</t>
  </si>
  <si>
    <t>Salgar</t>
  </si>
  <si>
    <t>Barbosa</t>
  </si>
  <si>
    <t>Amalfi</t>
  </si>
  <si>
    <t>Sabanalarga</t>
  </si>
  <si>
    <t>Chinchiná</t>
  </si>
  <si>
    <t>Támara</t>
  </si>
  <si>
    <t>Páez</t>
  </si>
  <si>
    <t>San andres de Sotavento</t>
  </si>
  <si>
    <t>Barandillas</t>
  </si>
  <si>
    <t>Briceño</t>
  </si>
  <si>
    <t>Cajicá</t>
  </si>
  <si>
    <t>Capallanía</t>
  </si>
  <si>
    <t>Caparrapi</t>
  </si>
  <si>
    <t>Cogua</t>
  </si>
  <si>
    <t>Cucaita</t>
  </si>
  <si>
    <t>Dorada</t>
  </si>
  <si>
    <t>El Valle</t>
  </si>
  <si>
    <t>Gachalá</t>
  </si>
  <si>
    <t>Gachancipá</t>
  </si>
  <si>
    <t>Gachetá</t>
  </si>
  <si>
    <t>Gama</t>
  </si>
  <si>
    <t>Guaduas</t>
  </si>
  <si>
    <t>Guasca</t>
  </si>
  <si>
    <t>Honda</t>
  </si>
  <si>
    <t>Junín</t>
  </si>
  <si>
    <t>La Calera</t>
  </si>
  <si>
    <t>La Caro</t>
  </si>
  <si>
    <t>La Playa</t>
  </si>
  <si>
    <t>La Portada</t>
  </si>
  <si>
    <t>La Vega</t>
  </si>
  <si>
    <t>Los Alpes</t>
  </si>
  <si>
    <t>Mirador</t>
  </si>
  <si>
    <t>Nemocón</t>
  </si>
  <si>
    <t>Páramo</t>
  </si>
  <si>
    <t>Pauso</t>
  </si>
  <si>
    <t>Potreritos</t>
  </si>
  <si>
    <t>Puente Licio</t>
  </si>
  <si>
    <t>San Roque Gama</t>
  </si>
  <si>
    <t>Salitre</t>
  </si>
  <si>
    <t>San Francico</t>
  </si>
  <si>
    <t>San Migule-Granja</t>
  </si>
  <si>
    <t>Suesca</t>
  </si>
  <si>
    <t>Sueva</t>
  </si>
  <si>
    <t>Tocancipá</t>
  </si>
  <si>
    <t>Tres Esquinas</t>
  </si>
  <si>
    <t>Ubalá</t>
  </si>
  <si>
    <t>Villa de Leyva</t>
  </si>
  <si>
    <t>Villeta</t>
  </si>
  <si>
    <t>Zipaquirá</t>
  </si>
  <si>
    <t>La Argentina</t>
  </si>
  <si>
    <t>Ipiales</t>
  </si>
  <si>
    <t>Los Patios</t>
  </si>
  <si>
    <t>La Tebaida</t>
  </si>
  <si>
    <t>Barrancabermeja</t>
  </si>
  <si>
    <t>Sampués</t>
  </si>
  <si>
    <t>Tuluá</t>
  </si>
  <si>
    <t>Trabajo de Campo </t>
  </si>
  <si>
    <t>Cronograma de las
Etapas del Proyecto </t>
  </si>
  <si>
    <t>Riosucio</t>
  </si>
  <si>
    <t>Belen de Umbria</t>
  </si>
  <si>
    <t>Apía</t>
  </si>
  <si>
    <t>Genova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</si>
</sst>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 #,##0;[Red]\-&quot;$&quot;\ #,##0"/>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0.00_-;\-&quot;$&quot;* #,##0.00_-;_-&quot;$&quot;* &quot;-&quot;??_-;_-@_-"/>
    <numFmt numFmtId="165" formatCode="_-&quot;$&quot;\ * #,##0_-;\-&quot;$&quot;\ * #,##0_-;_-&quot;$&quot;\ * &quot;-&quot;??_-;_-@_-"/>
    <numFmt numFmtId="166" formatCode="0.0"/>
    <numFmt numFmtId="167" formatCode="_(&quot;$&quot;\ * #,##0.00_);_(&quot;$&quot;\ * \(#,##0.00\);_(&quot;$&quot;\ * &quot;-&quot;??_);_(@_)"/>
    <numFmt numFmtId="168" formatCode="_(&quot;$&quot;\ * #,##0_);_(&quot;$&quot;\ * \(#,##0\);_(&quot;$&quot;\ * &quot;-&quot;??_);_(@_)"/>
    <numFmt numFmtId="169" formatCode="_ * #,##0.00_ ;_ * \-#,##0.00_ ;_ * &quot;-&quot;??_ ;_ @_ "/>
    <numFmt numFmtId="170" formatCode="_(* #,##0.00_);_(* \(#,##0.00\);_(* &quot;-&quot;??_);_(@_)"/>
    <numFmt numFmtId="171" formatCode="_-* #,##0.0_-;\-* #,##0.0_-;_-* &quot;-&quot;_-;_-@_-"/>
    <numFmt numFmtId="172" formatCode="0.000%"/>
    <numFmt numFmtId="173" formatCode="_(* #,##0_);_(* \(#,##0\);_(* &quot;-&quot;??_);_(@_)"/>
    <numFmt numFmtId="174" formatCode="_-[$$-240A]\ * #,##0_-;\-[$$-240A]\ * #,##0_-;_-[$$-240A]\ * &quot;-&quot;_-;_-@_-"/>
    <numFmt numFmtId="175" formatCode="[$$-240A]\ #,##0"/>
    <numFmt numFmtId="176" formatCode="_ * #,##0_ ;_ * \-#,##0_ ;_ * &quot;-&quot;??_ ;_ @_ "/>
    <numFmt numFmtId="177" formatCode="0.0%"/>
    <numFmt numFmtId="178" formatCode="[$$-240A]\ #,##0_);\([$$-240A]\ #,##0\)"/>
    <numFmt numFmtId="179" formatCode="_-* #,##0_-;\-* #,##0_-;_-* &quot;-&quot;??_-;_-@_-"/>
    <numFmt numFmtId="180" formatCode="_-* #,##0.0_-;\-* #,##0.0_-;_-* &quot;-&quot;??_-;_-@_-"/>
    <numFmt numFmtId="181" formatCode="_(* #,##0.0_);_(* \(#,##0.0\);_(* &quot;-&quot;??_);_(@_)"/>
    <numFmt numFmtId="182" formatCode="&quot;$&quot;#,##0_);[Red]\(&quot;$&quot;#,##0\)"/>
    <numFmt numFmtId="183" formatCode="_-[$USD]\ * #,##0.00_-;\-[$USD]\ * #,##0.00_-;_-[$USD]\ * &quot;-&quot;??_-;_-@_-"/>
  </numFmts>
  <fonts count="12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C00000"/>
      <name val="Calibri"/>
      <family val="2"/>
      <scheme val="minor"/>
    </font>
    <font>
      <sz val="9"/>
      <color rgb="FF555555"/>
      <name val="Arial"/>
      <family val="2"/>
    </font>
    <font>
      <b/>
      <sz val="9"/>
      <color rgb="FF555555"/>
      <name val="Arial"/>
      <family val="2"/>
    </font>
    <font>
      <b/>
      <sz val="11"/>
      <color rgb="FFFF0000"/>
      <name val="Calibri"/>
      <family val="2"/>
      <scheme val="minor"/>
    </font>
    <font>
      <sz val="10"/>
      <color theme="1"/>
      <name val="Calibri"/>
      <family val="2"/>
      <scheme val="minor"/>
    </font>
    <font>
      <sz val="11"/>
      <color rgb="FF000000"/>
      <name val="Calibri"/>
      <family val="2"/>
      <scheme val="minor"/>
    </font>
    <font>
      <sz val="11"/>
      <color rgb="FF548235"/>
      <name val="Calibri"/>
      <family val="2"/>
      <scheme val="minor"/>
    </font>
    <font>
      <sz val="10"/>
      <name val="Arial"/>
      <family val="2"/>
    </font>
    <font>
      <sz val="10"/>
      <name val="Arial"/>
      <family val="2"/>
    </font>
    <font>
      <b/>
      <sz val="10"/>
      <color theme="1"/>
      <name val="Arial"/>
      <family val="2"/>
    </font>
    <font>
      <b/>
      <sz val="12"/>
      <color theme="1"/>
      <name val="Calibri"/>
      <family val="2"/>
      <scheme val="minor"/>
    </font>
    <font>
      <b/>
      <sz val="10"/>
      <color theme="1"/>
      <name val="Calibri"/>
      <family val="2"/>
      <scheme val="minor"/>
    </font>
    <font>
      <sz val="9"/>
      <color rgb="FFFF0000"/>
      <name val="Arial"/>
      <family val="2"/>
    </font>
    <font>
      <b/>
      <sz val="11"/>
      <color theme="4" tint="0.39997558519241921"/>
      <name val="Calibri"/>
      <family val="2"/>
      <scheme val="minor"/>
    </font>
    <font>
      <b/>
      <sz val="11"/>
      <color rgb="FF000000"/>
      <name val="Aptos Narrow"/>
      <family val="2"/>
    </font>
    <font>
      <sz val="11"/>
      <color rgb="FF000000"/>
      <name val="Aptos Narrow"/>
      <family val="2"/>
    </font>
    <font>
      <sz val="10"/>
      <color theme="1"/>
      <name val="Arial"/>
      <family val="2"/>
    </font>
    <font>
      <b/>
      <sz val="11"/>
      <color theme="0"/>
      <name val="Calibri"/>
      <family val="2"/>
      <scheme val="minor"/>
    </font>
    <font>
      <b/>
      <sz val="10"/>
      <color theme="1"/>
      <name val="Calibri"/>
      <family val="2"/>
    </font>
    <font>
      <b/>
      <sz val="9"/>
      <name val="Calibri"/>
      <family val="2"/>
    </font>
    <font>
      <sz val="9"/>
      <color theme="1"/>
      <name val="Calibri"/>
      <family val="2"/>
      <scheme val="minor"/>
    </font>
    <font>
      <b/>
      <sz val="9"/>
      <color theme="0"/>
      <name val="Calibri"/>
      <family val="2"/>
      <scheme val="minor"/>
    </font>
    <font>
      <sz val="13"/>
      <color theme="1"/>
      <name val="Calibri"/>
      <family val="2"/>
      <scheme val="minor"/>
    </font>
    <font>
      <b/>
      <sz val="13"/>
      <color theme="0"/>
      <name val="Calibri"/>
      <family val="2"/>
      <scheme val="minor"/>
    </font>
    <font>
      <sz val="11"/>
      <color rgb="FF000000"/>
      <name val="Calibri"/>
      <family val="2"/>
    </font>
    <font>
      <sz val="12"/>
      <color theme="1"/>
      <name val="Calibri"/>
      <family val="2"/>
      <scheme val="minor"/>
    </font>
    <font>
      <sz val="12"/>
      <color rgb="FFFF0000"/>
      <name val="Calibri"/>
      <family val="2"/>
      <scheme val="minor"/>
    </font>
    <font>
      <b/>
      <sz val="12"/>
      <color theme="1"/>
      <name val="Arial"/>
      <family val="2"/>
    </font>
    <font>
      <sz val="10"/>
      <color theme="1"/>
      <name val="Calibri"/>
      <family val="2"/>
    </font>
    <font>
      <sz val="8"/>
      <name val="Calibri"/>
      <family val="2"/>
      <scheme val="minor"/>
    </font>
    <font>
      <b/>
      <sz val="8"/>
      <color theme="1"/>
      <name val="Calibri"/>
      <family val="2"/>
    </font>
    <font>
      <b/>
      <sz val="12"/>
      <name val="Calibri"/>
      <family val="2"/>
    </font>
    <font>
      <b/>
      <sz val="11"/>
      <color rgb="FFCD5937"/>
      <name val="Calibri"/>
      <family val="2"/>
      <scheme val="minor"/>
    </font>
    <font>
      <b/>
      <sz val="10"/>
      <name val="Calibri"/>
      <family val="2"/>
      <scheme val="minor"/>
    </font>
    <font>
      <b/>
      <sz val="10"/>
      <color theme="0"/>
      <name val="Calibri"/>
      <family val="2"/>
      <scheme val="minor"/>
    </font>
    <font>
      <sz val="10"/>
      <color theme="3"/>
      <name val="Calibri"/>
      <family val="2"/>
      <scheme val="minor"/>
    </font>
    <font>
      <sz val="10"/>
      <color theme="0" tint="-4.9989318521683403E-2"/>
      <name val="Calibri"/>
      <family val="2"/>
      <scheme val="minor"/>
    </font>
    <font>
      <sz val="9"/>
      <color theme="0" tint="-4.9989318521683403E-2"/>
      <name val="Calibri"/>
      <family val="2"/>
      <scheme val="minor"/>
    </font>
    <font>
      <sz val="11"/>
      <color theme="0"/>
      <name val="Calibri"/>
      <family val="2"/>
      <scheme val="minor"/>
    </font>
    <font>
      <sz val="11"/>
      <color theme="1"/>
      <name val="Calibri"/>
      <family val="2"/>
    </font>
    <font>
      <b/>
      <sz val="11"/>
      <color theme="0" tint="-0.499984740745262"/>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sz val="9"/>
      <name val="Calibri"/>
      <family val="2"/>
    </font>
    <font>
      <b/>
      <sz val="9"/>
      <color rgb="FFFFFFFF"/>
      <name val="Calibri"/>
      <family val="2"/>
    </font>
    <font>
      <b/>
      <sz val="10"/>
      <color rgb="FFFFFFFF"/>
      <name val="Calibri"/>
      <family val="2"/>
    </font>
    <font>
      <sz val="9"/>
      <color rgb="FF000000"/>
      <name val="Calibri"/>
      <family val="2"/>
    </font>
    <font>
      <sz val="10"/>
      <color rgb="FF000000"/>
      <name val="Calibri"/>
      <family val="2"/>
    </font>
    <font>
      <b/>
      <sz val="9"/>
      <color theme="1"/>
      <name val="Calibri"/>
      <family val="2"/>
    </font>
    <font>
      <sz val="9.5"/>
      <color rgb="FF000000"/>
      <name val="Daytona"/>
      <family val="2"/>
    </font>
    <font>
      <b/>
      <sz val="16"/>
      <color rgb="FF008000"/>
      <name val="Calibri"/>
      <family val="2"/>
      <scheme val="minor"/>
    </font>
    <font>
      <b/>
      <sz val="20"/>
      <color rgb="FF008000"/>
      <name val="Calibri"/>
      <family val="2"/>
      <scheme val="minor"/>
    </font>
    <font>
      <sz val="10"/>
      <color theme="0" tint="-0.14999847407452621"/>
      <name val="Calibri"/>
      <family val="2"/>
      <scheme val="minor"/>
    </font>
    <font>
      <b/>
      <sz val="10"/>
      <color theme="0" tint="-4.9989318521683403E-2"/>
      <name val="Calibri"/>
      <family val="2"/>
      <scheme val="minor"/>
    </font>
    <font>
      <sz val="9"/>
      <color indexed="81"/>
      <name val="Tahoma"/>
      <family val="2"/>
    </font>
    <font>
      <b/>
      <sz val="9"/>
      <color indexed="81"/>
      <name val="Tahoma"/>
      <family val="2"/>
    </font>
    <font>
      <b/>
      <sz val="11"/>
      <color rgb="FFFFFFFF"/>
      <name val="Calibri"/>
      <family val="2"/>
    </font>
    <font>
      <b/>
      <sz val="12"/>
      <color theme="8"/>
      <name val="Calibri"/>
      <family val="2"/>
      <scheme val="minor"/>
    </font>
    <font>
      <b/>
      <sz val="12"/>
      <name val="Arial"/>
      <family val="2"/>
    </font>
    <font>
      <sz val="12"/>
      <name val="Arial"/>
      <family val="2"/>
    </font>
    <font>
      <sz val="12"/>
      <color theme="8"/>
      <name val="Calibri"/>
      <family val="2"/>
      <scheme val="minor"/>
    </font>
    <font>
      <b/>
      <sz val="14"/>
      <color theme="1"/>
      <name val="Calibri"/>
      <family val="2"/>
      <scheme val="minor"/>
    </font>
    <font>
      <sz val="11"/>
      <name val="Calibri"/>
      <family val="2"/>
    </font>
    <font>
      <sz val="11"/>
      <color theme="2"/>
      <name val="Calibri"/>
      <family val="2"/>
      <scheme val="minor"/>
    </font>
    <font>
      <b/>
      <sz val="18"/>
      <color theme="1"/>
      <name val="Calibri"/>
      <family val="2"/>
      <scheme val="minor"/>
    </font>
    <font>
      <b/>
      <sz val="20"/>
      <color theme="1"/>
      <name val="Calibri"/>
      <family val="2"/>
      <scheme val="minor"/>
    </font>
    <font>
      <b/>
      <sz val="22"/>
      <color theme="1"/>
      <name val="Calibri"/>
      <family val="2"/>
      <scheme val="minor"/>
    </font>
    <font>
      <b/>
      <sz val="24"/>
      <color theme="1"/>
      <name val="Calibri"/>
      <family val="2"/>
      <scheme val="minor"/>
    </font>
    <font>
      <sz val="12"/>
      <color rgb="FF142366"/>
      <name val="Arial"/>
      <family val="2"/>
    </font>
    <font>
      <sz val="10"/>
      <color rgb="FFFF0000"/>
      <name val="Calibri"/>
      <family val="2"/>
      <scheme val="minor"/>
    </font>
    <font>
      <b/>
      <sz val="8"/>
      <name val="Calibri"/>
      <family val="2"/>
      <scheme val="minor"/>
    </font>
    <font>
      <sz val="8"/>
      <color theme="1"/>
      <name val="Calibri"/>
      <family val="2"/>
      <scheme val="minor"/>
    </font>
    <font>
      <b/>
      <sz val="8"/>
      <color theme="1"/>
      <name val="Calibri"/>
      <family val="2"/>
      <scheme val="minor"/>
    </font>
    <font>
      <sz val="8"/>
      <color theme="0"/>
      <name val="Calibri"/>
      <family val="2"/>
      <scheme val="minor"/>
    </font>
    <font>
      <b/>
      <sz val="9"/>
      <name val="Calibri"/>
      <family val="2"/>
      <scheme val="minor"/>
    </font>
    <font>
      <sz val="8"/>
      <color rgb="FFC00000"/>
      <name val="Calibri"/>
      <family val="2"/>
      <scheme val="minor"/>
    </font>
    <font>
      <u/>
      <sz val="11"/>
      <color theme="10"/>
      <name val="Calibri"/>
      <family val="2"/>
      <scheme val="minor"/>
    </font>
    <font>
      <sz val="8"/>
      <color rgb="FFFF0000"/>
      <name val="Calibri"/>
      <family val="2"/>
      <scheme val="minor"/>
    </font>
    <font>
      <sz val="14"/>
      <color theme="1"/>
      <name val="Calibri"/>
      <family val="2"/>
      <scheme val="minor"/>
    </font>
    <font>
      <sz val="11"/>
      <color theme="1"/>
      <name val="Calibri "/>
    </font>
    <font>
      <b/>
      <sz val="11"/>
      <color theme="1"/>
      <name val="Calibri "/>
    </font>
    <font>
      <b/>
      <sz val="9"/>
      <color rgb="FF252423"/>
      <name val="Calibri "/>
    </font>
    <font>
      <b/>
      <sz val="9"/>
      <color theme="1"/>
      <name val="Calibri "/>
    </font>
    <font>
      <b/>
      <sz val="10"/>
      <name val="Verdana"/>
      <family val="2"/>
    </font>
    <font>
      <b/>
      <sz val="10"/>
      <color indexed="9"/>
      <name val="Verdana"/>
      <family val="2"/>
    </font>
    <font>
      <sz val="10"/>
      <color indexed="12"/>
      <name val="Verdana"/>
      <family val="2"/>
    </font>
    <font>
      <sz val="10"/>
      <name val="Verdana"/>
      <family val="2"/>
    </font>
    <font>
      <b/>
      <sz val="10"/>
      <color indexed="8"/>
      <name val="Verdana"/>
      <family val="2"/>
    </font>
    <font>
      <b/>
      <sz val="8"/>
      <color indexed="8"/>
      <name val="Arial"/>
      <family val="2"/>
    </font>
    <font>
      <b/>
      <sz val="16"/>
      <color theme="1"/>
      <name val="Calibri"/>
      <family val="2"/>
      <scheme val="minor"/>
    </font>
    <font>
      <b/>
      <sz val="16"/>
      <name val="Arial"/>
      <family val="2"/>
    </font>
    <font>
      <b/>
      <sz val="14"/>
      <color indexed="9"/>
      <name val="Arial"/>
      <family val="2"/>
    </font>
    <font>
      <b/>
      <sz val="10"/>
      <name val="Arial"/>
      <family val="2"/>
    </font>
    <font>
      <sz val="10"/>
      <color indexed="8"/>
      <name val="Arial"/>
      <family val="2"/>
    </font>
    <font>
      <sz val="8"/>
      <name val="Arial"/>
      <family val="2"/>
    </font>
    <font>
      <u/>
      <sz val="10"/>
      <color indexed="12"/>
      <name val="Arial"/>
      <family val="2"/>
    </font>
    <font>
      <sz val="10"/>
      <color indexed="48"/>
      <name val="Arial"/>
      <family val="2"/>
    </font>
    <font>
      <sz val="10"/>
      <color indexed="10"/>
      <name val="Arial"/>
      <family val="2"/>
    </font>
    <font>
      <sz val="12"/>
      <name val="Verdana"/>
      <family val="2"/>
    </font>
    <font>
      <b/>
      <sz val="14"/>
      <color indexed="12"/>
      <name val="Arial"/>
      <family val="2"/>
    </font>
    <font>
      <sz val="10"/>
      <color indexed="9"/>
      <name val="Arial"/>
      <family val="2"/>
    </font>
    <font>
      <sz val="12"/>
      <color indexed="9"/>
      <name val="Arial"/>
      <family val="2"/>
    </font>
    <font>
      <b/>
      <sz val="12"/>
      <color indexed="8"/>
      <name val="Verdana"/>
      <family val="2"/>
    </font>
    <font>
      <b/>
      <sz val="10"/>
      <color indexed="10"/>
      <name val="Arial"/>
      <family val="2"/>
    </font>
    <font>
      <sz val="10"/>
      <color indexed="30"/>
      <name val="Arial"/>
      <family val="2"/>
    </font>
    <font>
      <sz val="18"/>
      <name val="Arial"/>
      <family val="2"/>
    </font>
    <font>
      <b/>
      <sz val="12"/>
      <color rgb="FFFFFFFF"/>
      <name val="Calibri"/>
      <family val="2"/>
    </font>
    <font>
      <sz val="12"/>
      <color rgb="FF000000"/>
      <name val="Calibri"/>
      <family val="2"/>
    </font>
    <font>
      <b/>
      <sz val="20"/>
      <color rgb="FFFF0000"/>
      <name val="Calibri"/>
      <family val="2"/>
      <scheme val="minor"/>
    </font>
    <font>
      <b/>
      <sz val="10.5"/>
      <color rgb="FFFFFFFF"/>
      <name val="Calibri"/>
      <family val="2"/>
    </font>
    <font>
      <sz val="10.5"/>
      <color rgb="FF000000"/>
      <name val="Calibri"/>
      <family val="2"/>
    </font>
    <font>
      <sz val="9"/>
      <color theme="1"/>
      <name val="Arial"/>
      <family val="2"/>
    </font>
    <font>
      <b/>
      <sz val="12"/>
      <color rgb="FFFF0000"/>
      <name val="Calibri"/>
      <family val="2"/>
      <scheme val="minor"/>
    </font>
    <font>
      <sz val="10"/>
      <color theme="1"/>
      <name val="Segoe UI"/>
      <family val="2"/>
    </font>
    <font>
      <sz val="12"/>
      <color rgb="FF174E86"/>
      <name val="Barlow"/>
    </font>
  </fonts>
  <fills count="62">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EFEFE"/>
        <bgColor indexed="64"/>
      </patternFill>
    </fill>
    <fill>
      <patternFill patternType="solid">
        <fgColor rgb="FFE8EAEB"/>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CE9B7C"/>
        <bgColor indexed="64"/>
      </patternFill>
    </fill>
    <fill>
      <patternFill patternType="solid">
        <fgColor rgb="FFFFFF00"/>
        <bgColor rgb="FF000000"/>
      </patternFill>
    </fill>
    <fill>
      <patternFill patternType="solid">
        <fgColor theme="3" tint="0.79998168889431442"/>
        <bgColor indexed="64"/>
      </patternFill>
    </fill>
    <fill>
      <patternFill patternType="solid">
        <fgColor theme="9" tint="0.59999389629810485"/>
        <bgColor indexed="64"/>
      </patternFill>
    </fill>
    <fill>
      <patternFill patternType="solid">
        <fgColor rgb="FFCCCCFF"/>
        <bgColor indexed="64"/>
      </patternFill>
    </fill>
    <fill>
      <patternFill patternType="solid">
        <fgColor theme="0" tint="-0.499984740745262"/>
        <bgColor indexed="64"/>
      </patternFill>
    </fill>
    <fill>
      <patternFill patternType="solid">
        <fgColor theme="3" tint="0.89999084444715716"/>
        <bgColor indexed="64"/>
      </patternFill>
    </fill>
    <fill>
      <patternFill patternType="solid">
        <fgColor rgb="FFFFC000"/>
        <bgColor indexed="64"/>
      </patternFill>
    </fill>
    <fill>
      <patternFill patternType="solid">
        <fgColor theme="9" tint="0.39997558519241921"/>
        <bgColor indexed="64"/>
      </patternFill>
    </fill>
    <fill>
      <patternFill patternType="solid">
        <fgColor theme="3"/>
        <bgColor indexed="64"/>
      </patternFill>
    </fill>
    <fill>
      <patternFill patternType="solid">
        <fgColor rgb="FFA3C7E7"/>
        <bgColor indexed="64"/>
      </patternFill>
    </fill>
    <fill>
      <patternFill patternType="solid">
        <fgColor rgb="FF92D050"/>
        <bgColor indexed="64"/>
      </patternFill>
    </fill>
    <fill>
      <patternFill patternType="solid">
        <fgColor theme="0"/>
        <bgColor indexed="64"/>
      </patternFill>
    </fill>
    <fill>
      <patternFill patternType="solid">
        <fgColor theme="1" tint="0.34998626667073579"/>
        <bgColor indexed="64"/>
      </patternFill>
    </fill>
    <fill>
      <patternFill patternType="solid">
        <fgColor theme="2"/>
        <bgColor indexed="64"/>
      </patternFill>
    </fill>
    <fill>
      <patternFill patternType="solid">
        <fgColor theme="8" tint="0.59999389629810485"/>
        <bgColor indexed="64"/>
      </patternFill>
    </fill>
    <fill>
      <patternFill patternType="solid">
        <fgColor rgb="FFDDEBF7"/>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0E5"/>
        <bgColor indexed="64"/>
      </patternFill>
    </fill>
    <fill>
      <patternFill patternType="solid">
        <fgColor rgb="FFFFEEE1"/>
        <bgColor indexed="64"/>
      </patternFill>
    </fill>
    <fill>
      <patternFill patternType="solid">
        <fgColor theme="1"/>
        <bgColor indexed="64"/>
      </patternFill>
    </fill>
    <fill>
      <patternFill patternType="solid">
        <fgColor theme="5" tint="0.39997558519241921"/>
        <bgColor indexed="64"/>
      </patternFill>
    </fill>
    <fill>
      <patternFill patternType="solid">
        <fgColor rgb="FF4472C4"/>
        <bgColor indexed="64"/>
      </patternFill>
    </fill>
    <fill>
      <patternFill patternType="solid">
        <fgColor rgb="FF66FF99"/>
        <bgColor indexed="64"/>
      </patternFill>
    </fill>
    <fill>
      <patternFill patternType="solid">
        <fgColor rgb="FFD9E1F2"/>
        <bgColor indexed="64"/>
      </patternFill>
    </fill>
    <fill>
      <patternFill patternType="solid">
        <fgColor rgb="FFFF0000"/>
        <bgColor indexed="64"/>
      </patternFill>
    </fill>
    <fill>
      <patternFill patternType="solid">
        <fgColor theme="2" tint="0.89999084444715716"/>
        <bgColor indexed="64"/>
      </patternFill>
    </fill>
    <fill>
      <patternFill patternType="solid">
        <fgColor theme="5"/>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0070C0"/>
        <bgColor indexed="64"/>
      </patternFill>
    </fill>
    <fill>
      <patternFill patternType="solid">
        <fgColor theme="6" tint="0.39997558519241921"/>
        <bgColor indexed="64"/>
      </patternFill>
    </fill>
    <fill>
      <patternFill patternType="solid">
        <fgColor rgb="FFE5E5FF"/>
        <bgColor indexed="64"/>
      </patternFill>
    </fill>
    <fill>
      <patternFill patternType="solid">
        <fgColor theme="2" tint="0.749992370372631"/>
        <bgColor indexed="64"/>
      </patternFill>
    </fill>
    <fill>
      <patternFill patternType="solid">
        <fgColor theme="6"/>
        <bgColor indexed="64"/>
      </patternFill>
    </fill>
    <fill>
      <patternFill patternType="solid">
        <fgColor indexed="19"/>
        <bgColor indexed="64"/>
      </patternFill>
    </fill>
    <fill>
      <patternFill patternType="solid">
        <fgColor indexed="42"/>
        <bgColor indexed="64"/>
      </patternFill>
    </fill>
    <fill>
      <patternFill patternType="solid">
        <fgColor indexed="43"/>
        <bgColor indexed="64"/>
      </patternFill>
    </fill>
    <fill>
      <patternFill patternType="solid">
        <fgColor rgb="FF9BBB59"/>
        <bgColor indexed="64"/>
      </patternFill>
    </fill>
    <fill>
      <patternFill patternType="solid">
        <fgColor rgb="FFDEE7D1"/>
        <bgColor indexed="64"/>
      </patternFill>
    </fill>
    <fill>
      <patternFill patternType="solid">
        <fgColor rgb="FFEFF3EA"/>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top/>
      <bottom/>
      <diagonal/>
    </border>
    <border>
      <left style="medium">
        <color indexed="64"/>
      </left>
      <right/>
      <top style="medium">
        <color indexed="64"/>
      </top>
      <bottom style="medium">
        <color rgb="FF8EA9DB"/>
      </bottom>
      <diagonal/>
    </border>
    <border>
      <left/>
      <right/>
      <top style="medium">
        <color indexed="64"/>
      </top>
      <bottom/>
      <diagonal/>
    </border>
    <border>
      <left/>
      <right style="medium">
        <color indexed="64"/>
      </right>
      <top style="medium">
        <color indexed="64"/>
      </top>
      <bottom style="medium">
        <color rgb="FF8EA9DB"/>
      </bottom>
      <diagonal/>
    </border>
    <border>
      <left style="medium">
        <color indexed="64"/>
      </left>
      <right/>
      <top/>
      <bottom style="medium">
        <color rgb="FF8EA9DB"/>
      </bottom>
      <diagonal/>
    </border>
    <border>
      <left/>
      <right/>
      <top style="medium">
        <color rgb="FF8EA9DB"/>
      </top>
      <bottom/>
      <diagonal/>
    </border>
    <border>
      <left/>
      <right style="medium">
        <color indexed="64"/>
      </right>
      <top/>
      <bottom/>
      <diagonal/>
    </border>
    <border>
      <left/>
      <right style="medium">
        <color indexed="64"/>
      </right>
      <top style="medium">
        <color rgb="FF8EA9DB"/>
      </top>
      <bottom/>
      <diagonal/>
    </border>
    <border>
      <left style="medium">
        <color indexed="64"/>
      </left>
      <right/>
      <top/>
      <bottom style="medium">
        <color indexed="64"/>
      </bottom>
      <diagonal/>
    </border>
    <border>
      <left/>
      <right/>
      <top style="medium">
        <color rgb="FF8EA9DB"/>
      </top>
      <bottom style="medium">
        <color indexed="64"/>
      </bottom>
      <diagonal/>
    </border>
    <border>
      <left/>
      <right style="medium">
        <color indexed="64"/>
      </right>
      <top style="medium">
        <color rgb="FF8EA9DB"/>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14999847407452621"/>
      </bottom>
      <diagonal/>
    </border>
    <border>
      <left style="thin">
        <color theme="0" tint="-0.34998626667073579"/>
      </left>
      <right/>
      <top style="thin">
        <color theme="0" tint="-0.34998626667073579"/>
      </top>
      <bottom style="thin">
        <color theme="0" tint="-0.14999847407452621"/>
      </bottom>
      <diagonal/>
    </border>
    <border>
      <left/>
      <right style="thin">
        <color theme="0" tint="-0.34998626667073579"/>
      </right>
      <top style="thin">
        <color theme="0" tint="-0.34998626667073579"/>
      </top>
      <bottom style="thin">
        <color theme="0" tint="-0.14999847407452621"/>
      </bottom>
      <diagonal/>
    </border>
    <border>
      <left style="thin">
        <color indexed="64"/>
      </left>
      <right/>
      <top style="thin">
        <color indexed="64"/>
      </top>
      <bottom/>
      <diagonal/>
    </border>
    <border>
      <left/>
      <right/>
      <top style="thin">
        <color indexed="64"/>
      </top>
      <bottom/>
      <diagonal/>
    </border>
    <border>
      <left/>
      <right style="medium">
        <color indexed="64"/>
      </right>
      <top style="medium">
        <color indexed="64"/>
      </top>
      <bottom/>
      <diagonal/>
    </border>
    <border>
      <left/>
      <right/>
      <top/>
      <bottom style="medium">
        <color indexed="64"/>
      </bottom>
      <diagonal/>
    </border>
    <border>
      <left style="thin">
        <color theme="0" tint="-0.34998626667073579"/>
      </left>
      <right style="thin">
        <color theme="0" tint="-0.249977111117893"/>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1"/>
      </left>
      <right style="thin">
        <color theme="1"/>
      </right>
      <top style="thin">
        <color theme="1"/>
      </top>
      <bottom style="thin">
        <color theme="1"/>
      </bottom>
      <diagonal/>
    </border>
    <border>
      <left style="medium">
        <color indexed="64"/>
      </left>
      <right/>
      <top style="medium">
        <color indexed="64"/>
      </top>
      <bottom/>
      <diagonal/>
    </border>
    <border>
      <left style="medium">
        <color indexed="64"/>
      </left>
      <right/>
      <top/>
      <bottom/>
      <diagonal/>
    </border>
    <border>
      <left/>
      <right/>
      <top style="medium">
        <color indexed="64"/>
      </top>
      <bottom style="thin">
        <color indexed="64"/>
      </bottom>
      <diagonal/>
    </border>
    <border>
      <left style="thin">
        <color theme="1"/>
      </left>
      <right/>
      <top style="thin">
        <color theme="1"/>
      </top>
      <bottom style="thin">
        <color theme="1"/>
      </bottom>
      <diagonal/>
    </border>
    <border>
      <left style="thin">
        <color theme="0" tint="-0.249977111117893"/>
      </left>
      <right style="thin">
        <color theme="0" tint="-0.34998626667073579"/>
      </right>
      <top style="thin">
        <color theme="0" tint="-0.34998626667073579"/>
      </top>
      <bottom style="thin">
        <color theme="0" tint="-0.34998626667073579"/>
      </bottom>
      <diagonal/>
    </border>
    <border>
      <left style="medium">
        <color indexed="64"/>
      </left>
      <right/>
      <top style="dotted">
        <color auto="1"/>
      </top>
      <bottom style="dotted">
        <color auto="1"/>
      </bottom>
      <diagonal/>
    </border>
    <border>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diagonal/>
    </border>
    <border>
      <left/>
      <right/>
      <top style="dotted">
        <color auto="1"/>
      </top>
      <bottom/>
      <diagonal/>
    </border>
    <border>
      <left/>
      <right style="medium">
        <color indexed="64"/>
      </right>
      <top style="dotted">
        <color auto="1"/>
      </top>
      <bottom/>
      <diagonal/>
    </border>
    <border>
      <left style="thin">
        <color theme="0" tint="-0.34998626667073579"/>
      </left>
      <right style="thin">
        <color theme="0" tint="-0.34998626667073579"/>
      </right>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34998626667073579"/>
      </left>
      <right/>
      <top/>
      <bottom style="thin">
        <color theme="0" tint="-0.249977111117893"/>
      </bottom>
      <diagonal/>
    </border>
    <border>
      <left style="thin">
        <color theme="0" tint="-0.34998626667073579"/>
      </left>
      <right/>
      <top style="thin">
        <color theme="0" tint="-0.34998626667073579"/>
      </top>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style="medium">
        <color indexed="64"/>
      </right>
      <top style="medium">
        <color indexed="64"/>
      </top>
      <bottom style="dotted">
        <color auto="1"/>
      </bottom>
      <diagonal/>
    </border>
    <border>
      <left style="medium">
        <color indexed="64"/>
      </left>
      <right style="thin">
        <color indexed="64"/>
      </right>
      <top style="dotted">
        <color auto="1"/>
      </top>
      <bottom style="dotted">
        <color auto="1"/>
      </bottom>
      <diagonal/>
    </border>
    <border>
      <left style="medium">
        <color indexed="64"/>
      </left>
      <right style="thin">
        <color indexed="64"/>
      </right>
      <top style="dotted">
        <color auto="1"/>
      </top>
      <bottom/>
      <diagonal/>
    </border>
    <border>
      <left style="thin">
        <color indexed="64"/>
      </left>
      <right/>
      <top style="dotted">
        <color auto="1"/>
      </top>
      <bottom style="dotted">
        <color auto="1"/>
      </bottom>
      <diagonal/>
    </border>
    <border>
      <left style="thin">
        <color indexed="64"/>
      </left>
      <right/>
      <top style="dotted">
        <color auto="1"/>
      </top>
      <bottom/>
      <diagonal/>
    </border>
    <border>
      <left/>
      <right style="medium">
        <color theme="0" tint="-0.499984740745262"/>
      </right>
      <top style="medium">
        <color theme="0" tint="-0.499984740745262"/>
      </top>
      <bottom style="thin">
        <color theme="0" tint="-0.249977111117893"/>
      </bottom>
      <diagonal/>
    </border>
    <border>
      <left style="medium">
        <color theme="0" tint="-0.499984740745262"/>
      </left>
      <right style="medium">
        <color theme="0" tint="-0.499984740745262"/>
      </right>
      <top style="medium">
        <color theme="0" tint="-0.499984740745262"/>
      </top>
      <bottom style="thin">
        <color theme="0" tint="-0.249977111117893"/>
      </bottom>
      <diagonal/>
    </border>
    <border>
      <left style="medium">
        <color theme="0" tint="-0.499984740745262"/>
      </left>
      <right style="medium">
        <color theme="0" tint="-0.499984740745262"/>
      </right>
      <top style="thin">
        <color theme="0" tint="-0.249977111117893"/>
      </top>
      <bottom/>
      <diagonal/>
    </border>
    <border>
      <left/>
      <right style="medium">
        <color theme="0" tint="-0.499984740745262"/>
      </right>
      <top style="thin">
        <color theme="0" tint="-0.249977111117893"/>
      </top>
      <bottom/>
      <diagonal/>
    </border>
    <border>
      <left style="medium">
        <color theme="0" tint="-0.499984740745262"/>
      </left>
      <right style="thin">
        <color theme="0" tint="-0.249977111117893"/>
      </right>
      <top style="medium">
        <color theme="0" tint="-0.499984740745262"/>
      </top>
      <bottom style="medium">
        <color theme="0" tint="-0.499984740745262"/>
      </bottom>
      <diagonal/>
    </border>
    <border>
      <left style="thin">
        <color theme="0" tint="-0.249977111117893"/>
      </left>
      <right style="thin">
        <color theme="0" tint="-0.249977111117893"/>
      </right>
      <top style="medium">
        <color theme="0" tint="-0.499984740745262"/>
      </top>
      <bottom style="medium">
        <color theme="0" tint="-0.499984740745262"/>
      </bottom>
      <diagonal/>
    </border>
    <border>
      <left style="thin">
        <color theme="0" tint="-0.249977111117893"/>
      </left>
      <right style="medium">
        <color theme="0" tint="-0.499984740745262"/>
      </right>
      <top style="medium">
        <color theme="0" tint="-0.499984740745262"/>
      </top>
      <bottom style="medium">
        <color theme="0" tint="-0.499984740745262"/>
      </bottom>
      <diagonal/>
    </border>
    <border>
      <left/>
      <right style="thin">
        <color theme="0" tint="-0.249977111117893"/>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right/>
      <top/>
      <bottom style="thin">
        <color indexed="64"/>
      </bottom>
      <diagonal/>
    </border>
    <border>
      <left style="medium">
        <color rgb="FFF6C5AC"/>
      </left>
      <right style="medium">
        <color rgb="FFF6C5AC"/>
      </right>
      <top style="medium">
        <color rgb="FFF6C5AC"/>
      </top>
      <bottom style="thick">
        <color rgb="FFF1A983"/>
      </bottom>
      <diagonal/>
    </border>
    <border>
      <left/>
      <right style="medium">
        <color rgb="FFF6C5AC"/>
      </right>
      <top style="medium">
        <color rgb="FFF6C5AC"/>
      </top>
      <bottom style="thick">
        <color rgb="FFF1A983"/>
      </bottom>
      <diagonal/>
    </border>
    <border>
      <left style="medium">
        <color rgb="FFF6C5AC"/>
      </left>
      <right style="medium">
        <color rgb="FFF6C5AC"/>
      </right>
      <top/>
      <bottom style="medium">
        <color rgb="FFF6C5AC"/>
      </bottom>
      <diagonal/>
    </border>
    <border>
      <left/>
      <right style="medium">
        <color rgb="FFF6C5AC"/>
      </right>
      <top/>
      <bottom style="medium">
        <color rgb="FFF6C5AC"/>
      </bottom>
      <diagonal/>
    </border>
  </borders>
  <cellStyleXfs count="22">
    <xf numFmtId="0" fontId="0" fillId="0" borderId="0"/>
    <xf numFmtId="41"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169" fontId="11" fillId="0" borderId="0" applyFont="0" applyFill="0" applyBorder="0" applyAlignment="0" applyProtection="0"/>
    <xf numFmtId="169" fontId="11" fillId="0" borderId="0" applyFont="0" applyFill="0" applyBorder="0" applyAlignment="0" applyProtection="0"/>
    <xf numFmtId="0" fontId="12" fillId="0" borderId="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81" fillId="0" borderId="0" applyNumberFormat="0" applyFill="0" applyBorder="0" applyAlignment="0" applyProtection="0"/>
    <xf numFmtId="0" fontId="11" fillId="0" borderId="0"/>
    <xf numFmtId="9" fontId="11" fillId="0" borderId="0" applyFont="0" applyFill="0" applyBorder="0" applyAlignment="0" applyProtection="0"/>
    <xf numFmtId="0" fontId="100" fillId="0" borderId="0" applyNumberFormat="0" applyFill="0" applyBorder="0" applyAlignment="0" applyProtection="0">
      <alignment vertical="top"/>
      <protection locked="0"/>
    </xf>
    <xf numFmtId="170" fontId="11" fillId="0" borderId="0" applyFont="0" applyFill="0" applyBorder="0" applyAlignment="0" applyProtection="0"/>
    <xf numFmtId="0" fontId="11" fillId="0" borderId="0"/>
    <xf numFmtId="0" fontId="11" fillId="0" borderId="0"/>
    <xf numFmtId="9" fontId="11" fillId="0" borderId="0" applyFont="0" applyFill="0" applyBorder="0" applyAlignment="0" applyProtection="0"/>
  </cellStyleXfs>
  <cellXfs count="1423">
    <xf numFmtId="0" fontId="0" fillId="0" borderId="0" xfId="0"/>
    <xf numFmtId="41" fontId="0" fillId="0" borderId="0" xfId="0" applyNumberFormat="1"/>
    <xf numFmtId="41" fontId="1" fillId="0" borderId="0" xfId="4" applyNumberFormat="1" applyFont="1"/>
    <xf numFmtId="0" fontId="0" fillId="0" borderId="1" xfId="0" applyBorder="1"/>
    <xf numFmtId="0" fontId="0" fillId="2" borderId="1" xfId="0" applyFill="1" applyBorder="1"/>
    <xf numFmtId="0" fontId="0" fillId="4" borderId="1" xfId="0" applyFill="1" applyBorder="1"/>
    <xf numFmtId="41" fontId="1" fillId="0" borderId="1" xfId="1" applyBorder="1"/>
    <xf numFmtId="165" fontId="1" fillId="2" borderId="1" xfId="2" applyNumberFormat="1" applyFill="1" applyBorder="1"/>
    <xf numFmtId="165" fontId="1" fillId="4" borderId="1" xfId="2" applyNumberFormat="1" applyFont="1" applyFill="1" applyBorder="1"/>
    <xf numFmtId="44" fontId="0" fillId="0" borderId="0" xfId="2" applyFont="1"/>
    <xf numFmtId="165" fontId="0" fillId="0" borderId="0" xfId="2" applyNumberFormat="1" applyFont="1"/>
    <xf numFmtId="0" fontId="0" fillId="5" borderId="1" xfId="0" applyFill="1" applyBorder="1"/>
    <xf numFmtId="44" fontId="0" fillId="5" borderId="0" xfId="2" applyFont="1" applyFill="1"/>
    <xf numFmtId="0" fontId="2" fillId="2" borderId="1" xfId="0" applyFont="1" applyFill="1" applyBorder="1"/>
    <xf numFmtId="0" fontId="7" fillId="0" borderId="0" xfId="0" applyFont="1"/>
    <xf numFmtId="0" fontId="5" fillId="6" borderId="0" xfId="0" applyFont="1" applyFill="1" applyAlignment="1">
      <alignment horizontal="left" vertical="center" wrapText="1"/>
    </xf>
    <xf numFmtId="166" fontId="0" fillId="0" borderId="0" xfId="0" applyNumberFormat="1"/>
    <xf numFmtId="0" fontId="0" fillId="0" borderId="0" xfId="0" applyAlignment="1">
      <alignment horizontal="left"/>
    </xf>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0" fillId="0" borderId="1" xfId="0" applyBorder="1" applyAlignment="1">
      <alignment horizontal="center" vertical="center"/>
    </xf>
    <xf numFmtId="41" fontId="3" fillId="3" borderId="0" xfId="1" applyFont="1" applyFill="1"/>
    <xf numFmtId="0" fontId="7" fillId="8" borderId="0" xfId="0" applyFont="1" applyFill="1" applyAlignment="1">
      <alignment horizontal="center"/>
    </xf>
    <xf numFmtId="0" fontId="3" fillId="8" borderId="1" xfId="0" applyFont="1" applyFill="1" applyBorder="1" applyAlignment="1">
      <alignment horizontal="center"/>
    </xf>
    <xf numFmtId="0" fontId="6" fillId="8" borderId="1" xfId="0" applyFont="1" applyFill="1" applyBorder="1" applyAlignment="1">
      <alignment horizontal="center" wrapText="1"/>
    </xf>
    <xf numFmtId="0" fontId="6" fillId="8" borderId="1" xfId="0" applyFont="1" applyFill="1" applyBorder="1" applyAlignment="1">
      <alignment horizontal="center"/>
    </xf>
    <xf numFmtId="0" fontId="3" fillId="3" borderId="1" xfId="0" applyFont="1" applyFill="1" applyBorder="1"/>
    <xf numFmtId="41" fontId="0" fillId="0" borderId="1" xfId="0" applyNumberFormat="1" applyBorder="1"/>
    <xf numFmtId="41" fontId="0" fillId="4" borderId="1" xfId="0" applyNumberFormat="1" applyFill="1" applyBorder="1"/>
    <xf numFmtId="165" fontId="0" fillId="4" borderId="1" xfId="2" applyNumberFormat="1" applyFont="1" applyFill="1" applyBorder="1"/>
    <xf numFmtId="165" fontId="1" fillId="0" borderId="0" xfId="2" applyNumberFormat="1" applyFont="1" applyFill="1" applyBorder="1"/>
    <xf numFmtId="0" fontId="3" fillId="9" borderId="1" xfId="0" applyFont="1" applyFill="1" applyBorder="1"/>
    <xf numFmtId="165" fontId="3" fillId="9" borderId="1" xfId="2" applyNumberFormat="1" applyFont="1" applyFill="1" applyBorder="1"/>
    <xf numFmtId="165" fontId="0" fillId="0" borderId="1" xfId="0" applyNumberFormat="1" applyBorder="1"/>
    <xf numFmtId="41" fontId="3" fillId="8" borderId="1" xfId="4" applyNumberFormat="1" applyFont="1" applyFill="1" applyBorder="1" applyAlignment="1">
      <alignment horizontal="center"/>
    </xf>
    <xf numFmtId="0" fontId="3" fillId="0" borderId="0" xfId="0" applyFont="1" applyAlignment="1">
      <alignment horizontal="right"/>
    </xf>
    <xf numFmtId="165" fontId="3" fillId="0" borderId="0" xfId="2" applyNumberFormat="1" applyFont="1" applyFill="1" applyBorder="1"/>
    <xf numFmtId="165" fontId="0" fillId="0" borderId="1" xfId="2" applyNumberFormat="1" applyFont="1" applyBorder="1"/>
    <xf numFmtId="165" fontId="0" fillId="3" borderId="0" xfId="2" applyNumberFormat="1" applyFont="1" applyFill="1"/>
    <xf numFmtId="44" fontId="0" fillId="3" borderId="0" xfId="2" applyFont="1" applyFill="1"/>
    <xf numFmtId="0" fontId="0" fillId="2" borderId="1" xfId="0" applyFill="1" applyBorder="1" applyAlignment="1">
      <alignment wrapText="1"/>
    </xf>
    <xf numFmtId="41" fontId="1" fillId="0" borderId="0" xfId="1" applyFont="1"/>
    <xf numFmtId="9" fontId="3" fillId="9" borderId="1" xfId="6" applyFont="1" applyFill="1" applyBorder="1"/>
    <xf numFmtId="0" fontId="0" fillId="0" borderId="1" xfId="0" applyBorder="1" applyAlignment="1">
      <alignment wrapText="1"/>
    </xf>
    <xf numFmtId="165" fontId="0" fillId="12" borderId="0" xfId="2" applyNumberFormat="1" applyFont="1" applyFill="1"/>
    <xf numFmtId="165" fontId="0" fillId="0" borderId="0" xfId="0" applyNumberFormat="1"/>
    <xf numFmtId="9" fontId="0" fillId="0" borderId="0" xfId="6" applyFont="1"/>
    <xf numFmtId="165" fontId="0" fillId="13" borderId="0" xfId="2" applyNumberFormat="1" applyFont="1" applyFill="1"/>
    <xf numFmtId="0" fontId="3" fillId="0" borderId="0" xfId="0" applyFont="1"/>
    <xf numFmtId="0" fontId="0" fillId="14" borderId="1" xfId="0" applyFill="1" applyBorder="1"/>
    <xf numFmtId="165" fontId="1" fillId="14" borderId="1" xfId="2" applyNumberFormat="1" applyFont="1" applyFill="1" applyBorder="1"/>
    <xf numFmtId="165" fontId="0" fillId="14" borderId="1" xfId="2" applyNumberFormat="1" applyFont="1" applyFill="1" applyBorder="1"/>
    <xf numFmtId="0" fontId="9" fillId="0" borderId="0" xfId="0" applyFont="1"/>
    <xf numFmtId="0" fontId="9" fillId="0" borderId="1" xfId="0" applyFont="1" applyBorder="1"/>
    <xf numFmtId="0" fontId="2" fillId="0" borderId="1" xfId="0" applyFont="1" applyBorder="1"/>
    <xf numFmtId="3" fontId="9" fillId="0" borderId="1" xfId="0" applyNumberFormat="1" applyFont="1" applyBorder="1"/>
    <xf numFmtId="0" fontId="10" fillId="0" borderId="1" xfId="0" applyFont="1" applyBorder="1"/>
    <xf numFmtId="44" fontId="9" fillId="0" borderId="0" xfId="2" applyFont="1"/>
    <xf numFmtId="0" fontId="0" fillId="0" borderId="5" xfId="0" applyBorder="1"/>
    <xf numFmtId="3" fontId="9" fillId="0" borderId="5" xfId="0" applyNumberFormat="1" applyFont="1" applyBorder="1"/>
    <xf numFmtId="3" fontId="0" fillId="0" borderId="5" xfId="0" applyNumberFormat="1" applyBorder="1"/>
    <xf numFmtId="0" fontId="9" fillId="15" borderId="1" xfId="0" applyFont="1" applyFill="1" applyBorder="1"/>
    <xf numFmtId="44" fontId="9" fillId="0" borderId="1" xfId="2" applyFont="1" applyBorder="1"/>
    <xf numFmtId="44" fontId="9" fillId="10" borderId="1" xfId="2" applyFont="1" applyFill="1" applyBorder="1"/>
    <xf numFmtId="0" fontId="2" fillId="0" borderId="0" xfId="0" applyFont="1" applyAlignment="1">
      <alignment horizontal="left"/>
    </xf>
    <xf numFmtId="44" fontId="9" fillId="0" borderId="0" xfId="2" applyFont="1" applyBorder="1"/>
    <xf numFmtId="44" fontId="0" fillId="9" borderId="0" xfId="0" applyNumberFormat="1" applyFill="1"/>
    <xf numFmtId="6" fontId="0" fillId="4" borderId="0" xfId="0" applyNumberFormat="1" applyFill="1"/>
    <xf numFmtId="165" fontId="8" fillId="0" borderId="1" xfId="2" applyNumberFormat="1" applyFont="1" applyBorder="1"/>
    <xf numFmtId="44" fontId="8" fillId="0" borderId="1" xfId="2" applyFont="1" applyBorder="1"/>
    <xf numFmtId="0" fontId="5" fillId="6" borderId="1" xfId="0" applyFont="1" applyFill="1" applyBorder="1" applyAlignment="1">
      <alignment horizontal="left" vertical="center" wrapText="1"/>
    </xf>
    <xf numFmtId="6" fontId="5" fillId="9" borderId="1" xfId="0" applyNumberFormat="1" applyFont="1" applyFill="1" applyBorder="1" applyAlignment="1">
      <alignment horizontal="right" vertical="center" wrapText="1"/>
    </xf>
    <xf numFmtId="0" fontId="5" fillId="6" borderId="1" xfId="0" applyFont="1" applyFill="1" applyBorder="1" applyAlignment="1">
      <alignment horizontal="right" vertical="center" wrapText="1"/>
    </xf>
    <xf numFmtId="6" fontId="5" fillId="4" borderId="1" xfId="0" applyNumberFormat="1" applyFont="1" applyFill="1" applyBorder="1" applyAlignment="1">
      <alignment horizontal="right" vertical="center" wrapText="1"/>
    </xf>
    <xf numFmtId="6" fontId="5" fillId="11" borderId="1" xfId="0" applyNumberFormat="1" applyFont="1" applyFill="1" applyBorder="1" applyAlignment="1">
      <alignment horizontal="right" vertical="center" wrapText="1"/>
    </xf>
    <xf numFmtId="6" fontId="5" fillId="6" borderId="1" xfId="0" applyNumberFormat="1" applyFont="1" applyFill="1" applyBorder="1" applyAlignment="1">
      <alignment horizontal="right" vertical="center" wrapText="1"/>
    </xf>
    <xf numFmtId="6" fontId="5" fillId="10" borderId="1" xfId="0" applyNumberFormat="1" applyFont="1" applyFill="1" applyBorder="1" applyAlignment="1">
      <alignment horizontal="right" vertical="center" wrapText="1"/>
    </xf>
    <xf numFmtId="6" fontId="0" fillId="17" borderId="0" xfId="0" applyNumberFormat="1" applyFill="1"/>
    <xf numFmtId="0" fontId="0" fillId="0" borderId="1" xfId="0" applyBorder="1" applyAlignment="1">
      <alignment horizontal="center"/>
    </xf>
    <xf numFmtId="0" fontId="7" fillId="3" borderId="1" xfId="0" applyFont="1" applyFill="1" applyBorder="1" applyAlignment="1">
      <alignment wrapText="1"/>
    </xf>
    <xf numFmtId="168" fontId="0" fillId="0" borderId="1" xfId="7" applyNumberFormat="1" applyFont="1" applyBorder="1"/>
    <xf numFmtId="168" fontId="0" fillId="0" borderId="1" xfId="7" applyNumberFormat="1" applyFont="1" applyFill="1" applyBorder="1"/>
    <xf numFmtId="0" fontId="3" fillId="0" borderId="1" xfId="0" applyFont="1" applyBorder="1"/>
    <xf numFmtId="168" fontId="0" fillId="0" borderId="0" xfId="0" applyNumberFormat="1"/>
    <xf numFmtId="168" fontId="0" fillId="4" borderId="1" xfId="7" applyNumberFormat="1" applyFont="1" applyFill="1" applyBorder="1"/>
    <xf numFmtId="0" fontId="0" fillId="0" borderId="0" xfId="0" applyAlignment="1">
      <alignment horizontal="center"/>
    </xf>
    <xf numFmtId="168" fontId="3" fillId="9" borderId="1" xfId="7" applyNumberFormat="1" applyFont="1" applyFill="1" applyBorder="1"/>
    <xf numFmtId="168" fontId="0" fillId="0" borderId="0" xfId="7" applyNumberFormat="1" applyFont="1" applyBorder="1"/>
    <xf numFmtId="168" fontId="0" fillId="0" borderId="1" xfId="0" applyNumberFormat="1" applyBorder="1"/>
    <xf numFmtId="44" fontId="3" fillId="5" borderId="0" xfId="2" applyFont="1" applyFill="1"/>
    <xf numFmtId="44" fontId="3" fillId="0" borderId="0" xfId="2" applyFont="1"/>
    <xf numFmtId="165" fontId="15" fillId="0" borderId="1" xfId="2" applyNumberFormat="1" applyFont="1" applyFill="1" applyBorder="1"/>
    <xf numFmtId="165" fontId="15" fillId="0" borderId="1" xfId="2" applyNumberFormat="1" applyFont="1" applyBorder="1"/>
    <xf numFmtId="0" fontId="5" fillId="18" borderId="1" xfId="0" applyFont="1" applyFill="1" applyBorder="1" applyAlignment="1">
      <alignment horizontal="left" vertical="center" wrapText="1"/>
    </xf>
    <xf numFmtId="165" fontId="3" fillId="0" borderId="0" xfId="2" applyNumberFormat="1" applyFont="1"/>
    <xf numFmtId="41" fontId="3" fillId="0" borderId="0" xfId="4" applyNumberFormat="1" applyFont="1"/>
    <xf numFmtId="0" fontId="16" fillId="6" borderId="1" xfId="0" applyFont="1" applyFill="1" applyBorder="1" applyAlignment="1">
      <alignment horizontal="left" vertical="center" wrapText="1"/>
    </xf>
    <xf numFmtId="1" fontId="0" fillId="0" borderId="1" xfId="0" applyNumberFormat="1" applyBorder="1"/>
    <xf numFmtId="1" fontId="0" fillId="0" borderId="0" xfId="0" applyNumberFormat="1"/>
    <xf numFmtId="0" fontId="2" fillId="0" borderId="2" xfId="0" applyFont="1" applyBorder="1" applyAlignment="1">
      <alignment horizontal="left"/>
    </xf>
    <xf numFmtId="0" fontId="2" fillId="0" borderId="4" xfId="0" applyFont="1" applyBorder="1" applyAlignment="1">
      <alignment horizontal="left"/>
    </xf>
    <xf numFmtId="0" fontId="2" fillId="15" borderId="1" xfId="0" applyFont="1" applyFill="1" applyBorder="1" applyAlignment="1">
      <alignment horizontal="left"/>
    </xf>
    <xf numFmtId="0" fontId="9" fillId="0" borderId="1" xfId="0" applyFont="1" applyBorder="1" applyAlignment="1">
      <alignment horizontal="left"/>
    </xf>
    <xf numFmtId="0" fontId="7" fillId="3" borderId="2" xfId="0" applyFont="1" applyFill="1" applyBorder="1" applyAlignment="1">
      <alignment wrapText="1"/>
    </xf>
    <xf numFmtId="0" fontId="7" fillId="3" borderId="3" xfId="0" applyFont="1" applyFill="1" applyBorder="1" applyAlignment="1">
      <alignment wrapText="1"/>
    </xf>
    <xf numFmtId="0" fontId="7" fillId="3" borderId="4" xfId="0" applyFont="1" applyFill="1" applyBorder="1" applyAlignment="1">
      <alignment wrapText="1"/>
    </xf>
    <xf numFmtId="9" fontId="7" fillId="8" borderId="0" xfId="0" applyNumberFormat="1" applyFont="1" applyFill="1" applyAlignment="1">
      <alignment horizontal="center"/>
    </xf>
    <xf numFmtId="0" fontId="0" fillId="20" borderId="1" xfId="0" applyFill="1" applyBorder="1"/>
    <xf numFmtId="41" fontId="4" fillId="2" borderId="1" xfId="0" applyNumberFormat="1" applyFont="1" applyFill="1" applyBorder="1" applyAlignment="1">
      <alignment horizontal="center"/>
    </xf>
    <xf numFmtId="41" fontId="1" fillId="0" borderId="0" xfId="4" applyNumberFormat="1" applyFont="1" applyFill="1" applyBorder="1"/>
    <xf numFmtId="0" fontId="3" fillId="8" borderId="6" xfId="0" applyFont="1" applyFill="1" applyBorder="1" applyAlignment="1">
      <alignment horizontal="center"/>
    </xf>
    <xf numFmtId="44" fontId="0" fillId="0" borderId="0" xfId="0" applyNumberFormat="1"/>
    <xf numFmtId="171" fontId="0" fillId="0" borderId="1" xfId="0" applyNumberFormat="1" applyBorder="1"/>
    <xf numFmtId="14" fontId="7" fillId="3" borderId="0" xfId="0" applyNumberFormat="1" applyFont="1" applyFill="1"/>
    <xf numFmtId="14" fontId="3" fillId="3" borderId="1" xfId="0" applyNumberFormat="1" applyFont="1" applyFill="1" applyBorder="1"/>
    <xf numFmtId="0" fontId="0" fillId="3" borderId="1" xfId="0" applyFill="1" applyBorder="1"/>
    <xf numFmtId="14" fontId="7" fillId="3" borderId="1" xfId="0" applyNumberFormat="1" applyFont="1" applyFill="1" applyBorder="1"/>
    <xf numFmtId="0" fontId="3" fillId="0" borderId="0" xfId="0" applyFont="1" applyAlignment="1">
      <alignment horizontal="center"/>
    </xf>
    <xf numFmtId="41" fontId="0" fillId="3" borderId="1" xfId="1" applyFont="1" applyFill="1" applyBorder="1"/>
    <xf numFmtId="41" fontId="3" fillId="3" borderId="1" xfId="1" applyFont="1" applyFill="1" applyBorder="1"/>
    <xf numFmtId="9" fontId="0" fillId="0" borderId="0" xfId="0" applyNumberFormat="1"/>
    <xf numFmtId="41" fontId="3" fillId="0" borderId="1" xfId="1" applyFont="1" applyFill="1" applyBorder="1"/>
    <xf numFmtId="0" fontId="17" fillId="3" borderId="1" xfId="0" applyFont="1" applyFill="1" applyBorder="1"/>
    <xf numFmtId="0" fontId="17" fillId="0" borderId="1" xfId="0" applyFont="1" applyBorder="1"/>
    <xf numFmtId="41" fontId="0" fillId="0" borderId="1" xfId="1" applyFont="1" applyFill="1" applyBorder="1"/>
    <xf numFmtId="9" fontId="0" fillId="3" borderId="1" xfId="0" applyNumberFormat="1" applyFill="1" applyBorder="1"/>
    <xf numFmtId="9" fontId="0" fillId="0" borderId="1" xfId="0" applyNumberFormat="1" applyBorder="1"/>
    <xf numFmtId="0" fontId="3" fillId="3" borderId="0" xfId="0" applyFont="1" applyFill="1"/>
    <xf numFmtId="41" fontId="0" fillId="3" borderId="1" xfId="0" applyNumberFormat="1" applyFill="1" applyBorder="1"/>
    <xf numFmtId="0" fontId="2" fillId="0" borderId="0" xfId="0" applyFont="1"/>
    <xf numFmtId="42" fontId="0" fillId="0" borderId="0" xfId="3" applyFont="1"/>
    <xf numFmtId="1" fontId="0" fillId="3" borderId="1" xfId="0" applyNumberFormat="1" applyFill="1" applyBorder="1"/>
    <xf numFmtId="42" fontId="0" fillId="0" borderId="0" xfId="0" applyNumberFormat="1"/>
    <xf numFmtId="166" fontId="0" fillId="3" borderId="1" xfId="0" applyNumberFormat="1" applyFill="1" applyBorder="1"/>
    <xf numFmtId="166" fontId="0" fillId="3" borderId="2" xfId="0" applyNumberFormat="1" applyFill="1" applyBorder="1"/>
    <xf numFmtId="0" fontId="0" fillId="3" borderId="4" xfId="0" applyFill="1" applyBorder="1"/>
    <xf numFmtId="166" fontId="0" fillId="0" borderId="1" xfId="0" applyNumberFormat="1" applyBorder="1"/>
    <xf numFmtId="43" fontId="0" fillId="0" borderId="0" xfId="5" applyFont="1"/>
    <xf numFmtId="0" fontId="2" fillId="3" borderId="1" xfId="0" applyFont="1" applyFill="1" applyBorder="1"/>
    <xf numFmtId="166" fontId="2" fillId="0" borderId="1" xfId="0" applyNumberFormat="1" applyFont="1" applyBorder="1"/>
    <xf numFmtId="166" fontId="0" fillId="0" borderId="4" xfId="0" applyNumberFormat="1" applyBorder="1"/>
    <xf numFmtId="41" fontId="0" fillId="0" borderId="0" xfId="1" applyFont="1"/>
    <xf numFmtId="41" fontId="5" fillId="0" borderId="0" xfId="1" applyFont="1"/>
    <xf numFmtId="0" fontId="0" fillId="3" borderId="0" xfId="0" applyFill="1"/>
    <xf numFmtId="0" fontId="0" fillId="5" borderId="0" xfId="0" applyFill="1"/>
    <xf numFmtId="168" fontId="0" fillId="5" borderId="0" xfId="7" applyNumberFormat="1" applyFont="1" applyFill="1" applyBorder="1"/>
    <xf numFmtId="0" fontId="3" fillId="5" borderId="0" xfId="0" applyFont="1" applyFill="1"/>
    <xf numFmtId="168" fontId="3" fillId="5" borderId="0" xfId="7" applyNumberFormat="1" applyFont="1" applyFill="1" applyBorder="1"/>
    <xf numFmtId="1" fontId="3" fillId="9" borderId="1" xfId="0" applyNumberFormat="1" applyFont="1" applyFill="1" applyBorder="1" applyAlignment="1">
      <alignment horizontal="center" vertical="center"/>
    </xf>
    <xf numFmtId="0" fontId="0" fillId="4" borderId="0" xfId="0" applyFill="1"/>
    <xf numFmtId="3" fontId="0" fillId="4" borderId="0" xfId="0" applyNumberFormat="1" applyFill="1"/>
    <xf numFmtId="0" fontId="3" fillId="4" borderId="0" xfId="0" applyFont="1" applyFill="1"/>
    <xf numFmtId="0" fontId="18" fillId="0" borderId="7" xfId="0" applyFont="1" applyBorder="1" applyAlignment="1">
      <alignment vertical="center"/>
    </xf>
    <xf numFmtId="0" fontId="18" fillId="0" borderId="8" xfId="0" applyFont="1" applyBorder="1" applyAlignment="1">
      <alignment vertical="center"/>
    </xf>
    <xf numFmtId="0" fontId="19" fillId="0" borderId="9" xfId="0" applyFont="1" applyBorder="1" applyAlignment="1">
      <alignment vertical="center"/>
    </xf>
    <xf numFmtId="44" fontId="19" fillId="0" borderId="10" xfId="2" applyFont="1" applyBorder="1" applyAlignment="1">
      <alignment vertical="center"/>
    </xf>
    <xf numFmtId="172" fontId="18" fillId="0" borderId="8" xfId="6" applyNumberFormat="1" applyFont="1" applyBorder="1" applyAlignment="1">
      <alignment vertical="center"/>
    </xf>
    <xf numFmtId="165" fontId="19" fillId="0" borderId="10" xfId="2" applyNumberFormat="1" applyFont="1" applyBorder="1" applyAlignment="1">
      <alignment vertical="center"/>
    </xf>
    <xf numFmtId="44" fontId="19" fillId="0" borderId="0" xfId="2" applyFont="1" applyFill="1" applyBorder="1" applyAlignment="1">
      <alignment vertical="center"/>
    </xf>
    <xf numFmtId="0" fontId="19" fillId="0" borderId="0" xfId="0" applyFont="1" applyAlignment="1">
      <alignment vertical="center"/>
    </xf>
    <xf numFmtId="0" fontId="20" fillId="0" borderId="1" xfId="0" applyFont="1" applyBorder="1"/>
    <xf numFmtId="0" fontId="20" fillId="0" borderId="1" xfId="0" applyFont="1" applyBorder="1" applyAlignment="1">
      <alignment vertical="center" wrapText="1"/>
    </xf>
    <xf numFmtId="0" fontId="20" fillId="0" borderId="0" xfId="0" applyFont="1"/>
    <xf numFmtId="0" fontId="20" fillId="0" borderId="5" xfId="0" applyFont="1" applyBorder="1" applyAlignment="1">
      <alignment vertical="center" wrapText="1"/>
    </xf>
    <xf numFmtId="0" fontId="20" fillId="0" borderId="1" xfId="0" applyFont="1" applyBorder="1" applyAlignment="1">
      <alignment wrapText="1"/>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2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20" fillId="3" borderId="0" xfId="0" applyFont="1" applyFill="1"/>
    <xf numFmtId="0" fontId="22" fillId="24" borderId="1" xfId="0" applyFont="1" applyFill="1" applyBorder="1"/>
    <xf numFmtId="0" fontId="0" fillId="24" borderId="1" xfId="0" applyFill="1" applyBorder="1"/>
    <xf numFmtId="173" fontId="0" fillId="24" borderId="1" xfId="5" applyNumberFormat="1" applyFont="1" applyFill="1" applyBorder="1"/>
    <xf numFmtId="173" fontId="0" fillId="25" borderId="1" xfId="5" applyNumberFormat="1" applyFont="1" applyFill="1" applyBorder="1"/>
    <xf numFmtId="0" fontId="0" fillId="0" borderId="0" xfId="0" applyAlignment="1">
      <alignment vertical="center"/>
    </xf>
    <xf numFmtId="0" fontId="24" fillId="0" borderId="0" xfId="0" applyFont="1" applyAlignment="1">
      <alignment horizontal="left" vertical="center" wrapText="1"/>
    </xf>
    <xf numFmtId="0" fontId="24" fillId="0" borderId="0" xfId="0" applyFont="1" applyAlignment="1">
      <alignment vertical="center" wrapText="1"/>
    </xf>
    <xf numFmtId="0" fontId="24" fillId="0" borderId="0" xfId="0" applyFont="1" applyAlignment="1">
      <alignment vertical="center"/>
    </xf>
    <xf numFmtId="168" fontId="24" fillId="0" borderId="0" xfId="7" applyNumberFormat="1" applyFont="1" applyAlignment="1">
      <alignment vertical="center"/>
    </xf>
    <xf numFmtId="0" fontId="25" fillId="27" borderId="15" xfId="0" applyFont="1" applyFill="1" applyBorder="1" applyAlignment="1">
      <alignment horizontal="center" vertical="center" wrapText="1"/>
    </xf>
    <xf numFmtId="0" fontId="25" fillId="27" borderId="1" xfId="0" applyFont="1" applyFill="1" applyBorder="1" applyAlignment="1">
      <alignment horizontal="center" vertical="center" wrapText="1"/>
    </xf>
    <xf numFmtId="0" fontId="25" fillId="27" borderId="16" xfId="0" applyFont="1" applyFill="1" applyBorder="1" applyAlignment="1">
      <alignment horizontal="center" vertical="center" wrapText="1"/>
    </xf>
    <xf numFmtId="0" fontId="24" fillId="0" borderId="17" xfId="0" applyFont="1" applyBorder="1" applyAlignment="1">
      <alignment vertical="center" wrapText="1"/>
    </xf>
    <xf numFmtId="168" fontId="24" fillId="0" borderId="18" xfId="7" applyNumberFormat="1" applyFont="1" applyBorder="1" applyAlignment="1">
      <alignment vertical="center"/>
    </xf>
    <xf numFmtId="168" fontId="24" fillId="0" borderId="18" xfId="7" applyNumberFormat="1" applyFont="1" applyFill="1" applyBorder="1" applyAlignment="1">
      <alignment vertical="center"/>
    </xf>
    <xf numFmtId="9" fontId="0" fillId="0" borderId="18" xfId="0" applyNumberFormat="1" applyBorder="1" applyAlignment="1">
      <alignment vertical="center"/>
    </xf>
    <xf numFmtId="168" fontId="24" fillId="0" borderId="19" xfId="7" applyNumberFormat="1" applyFont="1" applyFill="1" applyBorder="1" applyAlignment="1">
      <alignment vertical="center"/>
    </xf>
    <xf numFmtId="0" fontId="26" fillId="0" borderId="0" xfId="0" applyFont="1"/>
    <xf numFmtId="168" fontId="27" fillId="27" borderId="22" xfId="7" applyNumberFormat="1" applyFont="1" applyFill="1" applyBorder="1" applyAlignment="1">
      <alignment horizontal="center" vertical="center"/>
    </xf>
    <xf numFmtId="0" fontId="27" fillId="27" borderId="23" xfId="0" applyFont="1" applyFill="1" applyBorder="1" applyAlignment="1">
      <alignment horizontal="center" vertical="center"/>
    </xf>
    <xf numFmtId="0" fontId="27" fillId="27" borderId="23" xfId="0" applyFont="1" applyFill="1" applyBorder="1" applyAlignment="1">
      <alignment horizontal="center" vertical="center" wrapText="1"/>
    </xf>
    <xf numFmtId="168" fontId="27" fillId="27" borderId="23" xfId="7" applyNumberFormat="1" applyFont="1" applyFill="1" applyBorder="1" applyAlignment="1">
      <alignment horizontal="center" vertical="center"/>
    </xf>
    <xf numFmtId="0" fontId="27" fillId="27" borderId="22" xfId="0" applyFont="1" applyFill="1" applyBorder="1" applyAlignment="1">
      <alignment horizontal="center" vertical="center" wrapText="1"/>
    </xf>
    <xf numFmtId="168" fontId="27" fillId="27" borderId="24" xfId="7" applyNumberFormat="1" applyFont="1" applyFill="1" applyBorder="1" applyAlignment="1">
      <alignment horizontal="center" vertical="center"/>
    </xf>
    <xf numFmtId="0" fontId="28" fillId="0" borderId="15" xfId="0" applyFont="1" applyBorder="1"/>
    <xf numFmtId="174" fontId="28" fillId="9" borderId="1" xfId="3" applyNumberFormat="1" applyFont="1" applyFill="1" applyBorder="1" applyAlignment="1">
      <alignment horizontal="left"/>
    </xf>
    <xf numFmtId="174" fontId="28" fillId="0" borderId="1" xfId="3" applyNumberFormat="1" applyFont="1" applyFill="1" applyBorder="1" applyAlignment="1">
      <alignment horizontal="left"/>
    </xf>
    <xf numFmtId="175" fontId="0" fillId="0" borderId="1" xfId="0" applyNumberFormat="1" applyBorder="1"/>
    <xf numFmtId="175" fontId="0" fillId="0" borderId="16" xfId="0" applyNumberFormat="1" applyBorder="1"/>
    <xf numFmtId="0" fontId="28" fillId="0" borderId="17" xfId="0" applyFont="1" applyBorder="1"/>
    <xf numFmtId="0" fontId="0" fillId="0" borderId="18" xfId="0" applyBorder="1"/>
    <xf numFmtId="0" fontId="0" fillId="3" borderId="18" xfId="0" applyFill="1" applyBorder="1"/>
    <xf numFmtId="1" fontId="0" fillId="0" borderId="18" xfId="0" applyNumberFormat="1" applyBorder="1"/>
    <xf numFmtId="174" fontId="28" fillId="9" borderId="18" xfId="3" applyNumberFormat="1" applyFont="1" applyFill="1" applyBorder="1" applyAlignment="1">
      <alignment horizontal="left"/>
    </xf>
    <xf numFmtId="174" fontId="28" fillId="0" borderId="18" xfId="3" applyNumberFormat="1" applyFont="1" applyFill="1" applyBorder="1" applyAlignment="1">
      <alignment horizontal="left"/>
    </xf>
    <xf numFmtId="175" fontId="0" fillId="0" borderId="18" xfId="0" applyNumberFormat="1" applyBorder="1"/>
    <xf numFmtId="175" fontId="0" fillId="0" borderId="19" xfId="0" applyNumberFormat="1" applyBorder="1"/>
    <xf numFmtId="0" fontId="28" fillId="0" borderId="0" xfId="0" applyFont="1"/>
    <xf numFmtId="0" fontId="0" fillId="29" borderId="1" xfId="0" applyFill="1" applyBorder="1"/>
    <xf numFmtId="0" fontId="14" fillId="9" borderId="1" xfId="0" applyFont="1" applyFill="1" applyBorder="1"/>
    <xf numFmtId="0" fontId="29" fillId="9" borderId="1" xfId="0" applyFont="1" applyFill="1" applyBorder="1"/>
    <xf numFmtId="0" fontId="14" fillId="9" borderId="1" xfId="0" applyFont="1" applyFill="1" applyBorder="1" applyAlignment="1">
      <alignment wrapText="1"/>
    </xf>
    <xf numFmtId="0" fontId="29" fillId="5" borderId="1" xfId="0" applyFont="1" applyFill="1" applyBorder="1"/>
    <xf numFmtId="0" fontId="29" fillId="0" borderId="1" xfId="0" applyFont="1" applyBorder="1"/>
    <xf numFmtId="0" fontId="14" fillId="0" borderId="0" xfId="0" applyFont="1"/>
    <xf numFmtId="165" fontId="14" fillId="19" borderId="1" xfId="2" applyNumberFormat="1" applyFont="1" applyFill="1" applyBorder="1"/>
    <xf numFmtId="165" fontId="29" fillId="0" borderId="1" xfId="2" applyNumberFormat="1" applyFont="1" applyBorder="1"/>
    <xf numFmtId="165" fontId="29" fillId="19" borderId="1" xfId="2" applyNumberFormat="1" applyFont="1" applyFill="1" applyBorder="1"/>
    <xf numFmtId="165" fontId="30" fillId="0" borderId="1" xfId="2" applyNumberFormat="1" applyFont="1" applyBorder="1"/>
    <xf numFmtId="0" fontId="29" fillId="9" borderId="1" xfId="0" applyFont="1" applyFill="1" applyBorder="1" applyAlignment="1">
      <alignment wrapText="1"/>
    </xf>
    <xf numFmtId="165" fontId="29" fillId="0" borderId="0" xfId="2" applyNumberFormat="1" applyFont="1" applyBorder="1"/>
    <xf numFmtId="165" fontId="29" fillId="5" borderId="1" xfId="2" applyNumberFormat="1" applyFont="1" applyFill="1" applyBorder="1"/>
    <xf numFmtId="0" fontId="29" fillId="12" borderId="1" xfId="0" applyFont="1" applyFill="1" applyBorder="1"/>
    <xf numFmtId="165" fontId="29" fillId="12" borderId="1" xfId="2" applyNumberFormat="1" applyFont="1" applyFill="1" applyBorder="1"/>
    <xf numFmtId="0" fontId="29" fillId="0" borderId="0" xfId="0" applyFont="1"/>
    <xf numFmtId="165" fontId="29" fillId="0" borderId="0" xfId="2" applyNumberFormat="1" applyFont="1"/>
    <xf numFmtId="44" fontId="29" fillId="0" borderId="1" xfId="2" applyFont="1" applyBorder="1"/>
    <xf numFmtId="165" fontId="29" fillId="0" borderId="1" xfId="0" applyNumberFormat="1" applyFont="1" applyBorder="1"/>
    <xf numFmtId="0" fontId="14" fillId="12" borderId="1" xfId="0" applyFont="1" applyFill="1" applyBorder="1"/>
    <xf numFmtId="165" fontId="14" fillId="12" borderId="1" xfId="0" applyNumberFormat="1" applyFont="1" applyFill="1" applyBorder="1"/>
    <xf numFmtId="165" fontId="30" fillId="4" borderId="1" xfId="0" applyNumberFormat="1" applyFont="1" applyFill="1" applyBorder="1"/>
    <xf numFmtId="165" fontId="29" fillId="4" borderId="1" xfId="0" applyNumberFormat="1" applyFont="1" applyFill="1" applyBorder="1"/>
    <xf numFmtId="165" fontId="30" fillId="0" borderId="1" xfId="0" applyNumberFormat="1" applyFont="1" applyBorder="1"/>
    <xf numFmtId="9" fontId="29" fillId="0" borderId="1" xfId="6" applyFont="1" applyBorder="1"/>
    <xf numFmtId="3" fontId="10" fillId="0" borderId="1" xfId="0" applyNumberFormat="1" applyFont="1" applyBorder="1"/>
    <xf numFmtId="173" fontId="0" fillId="24" borderId="2" xfId="5" applyNumberFormat="1" applyFont="1" applyFill="1" applyBorder="1"/>
    <xf numFmtId="3" fontId="32" fillId="30" borderId="1" xfId="0" applyNumberFormat="1" applyFont="1" applyFill="1" applyBorder="1" applyAlignment="1">
      <alignment horizontal="center" vertical="center"/>
    </xf>
    <xf numFmtId="3" fontId="32" fillId="30" borderId="2" xfId="0" applyNumberFormat="1" applyFont="1" applyFill="1" applyBorder="1" applyAlignment="1">
      <alignment horizontal="center" vertical="center"/>
    </xf>
    <xf numFmtId="3" fontId="32" fillId="4" borderId="2" xfId="0" applyNumberFormat="1" applyFont="1" applyFill="1" applyBorder="1" applyAlignment="1">
      <alignment horizontal="center" vertical="center"/>
    </xf>
    <xf numFmtId="3" fontId="32" fillId="4" borderId="1" xfId="0" applyNumberFormat="1" applyFont="1" applyFill="1" applyBorder="1" applyAlignment="1">
      <alignment horizontal="center" vertical="center"/>
    </xf>
    <xf numFmtId="3" fontId="32" fillId="30" borderId="25" xfId="0" applyNumberFormat="1" applyFont="1" applyFill="1" applyBorder="1" applyAlignment="1">
      <alignment horizontal="center" vertical="center"/>
    </xf>
    <xf numFmtId="3" fontId="32" fillId="30" borderId="26" xfId="0" applyNumberFormat="1" applyFont="1" applyFill="1" applyBorder="1" applyAlignment="1">
      <alignment horizontal="center" vertical="center"/>
    </xf>
    <xf numFmtId="3" fontId="32" fillId="4" borderId="26" xfId="0" applyNumberFormat="1" applyFont="1" applyFill="1" applyBorder="1" applyAlignment="1">
      <alignment horizontal="center" vertical="center"/>
    </xf>
    <xf numFmtId="43" fontId="0" fillId="31" borderId="1" xfId="5" applyFont="1" applyFill="1" applyBorder="1"/>
    <xf numFmtId="0" fontId="34" fillId="24" borderId="1" xfId="0" applyFont="1" applyFill="1" applyBorder="1" applyAlignment="1">
      <alignment wrapText="1"/>
    </xf>
    <xf numFmtId="4" fontId="23" fillId="25" borderId="1" xfId="0" applyNumberFormat="1" applyFont="1" applyFill="1" applyBorder="1" applyAlignment="1">
      <alignment horizontal="right" vertical="top" wrapText="1"/>
    </xf>
    <xf numFmtId="43" fontId="20" fillId="0" borderId="0" xfId="0" applyNumberFormat="1" applyFont="1"/>
    <xf numFmtId="10" fontId="20" fillId="0" borderId="0" xfId="0" applyNumberFormat="1" applyFont="1"/>
    <xf numFmtId="3" fontId="7" fillId="8" borderId="0" xfId="0" applyNumberFormat="1" applyFont="1" applyFill="1" applyAlignment="1">
      <alignment horizontal="center"/>
    </xf>
    <xf numFmtId="165" fontId="29" fillId="32" borderId="1" xfId="2" applyNumberFormat="1" applyFont="1" applyFill="1" applyBorder="1"/>
    <xf numFmtId="165" fontId="29" fillId="9" borderId="1" xfId="2" applyNumberFormat="1" applyFont="1" applyFill="1" applyBorder="1"/>
    <xf numFmtId="165" fontId="30" fillId="9" borderId="1" xfId="2" applyNumberFormat="1" applyFont="1" applyFill="1" applyBorder="1"/>
    <xf numFmtId="9" fontId="29" fillId="9" borderId="1" xfId="6" applyFont="1" applyFill="1" applyBorder="1"/>
    <xf numFmtId="0" fontId="29" fillId="12" borderId="1" xfId="0" applyFont="1" applyFill="1" applyBorder="1" applyAlignment="1">
      <alignment wrapText="1"/>
    </xf>
    <xf numFmtId="10" fontId="29" fillId="12" borderId="1" xfId="6" applyNumberFormat="1" applyFont="1" applyFill="1" applyBorder="1"/>
    <xf numFmtId="1" fontId="0" fillId="4" borderId="1" xfId="0" applyNumberFormat="1" applyFill="1" applyBorder="1"/>
    <xf numFmtId="9" fontId="3" fillId="0" borderId="0" xfId="0" applyNumberFormat="1" applyFont="1" applyAlignment="1">
      <alignment horizontal="right"/>
    </xf>
    <xf numFmtId="0" fontId="0" fillId="14" borderId="27" xfId="0" applyFill="1" applyBorder="1"/>
    <xf numFmtId="165" fontId="29" fillId="0" borderId="1" xfId="2" applyNumberFormat="1" applyFont="1" applyFill="1" applyBorder="1"/>
    <xf numFmtId="4" fontId="35" fillId="25" borderId="1" xfId="0" applyNumberFormat="1" applyFont="1" applyFill="1" applyBorder="1" applyAlignment="1">
      <alignment horizontal="center" vertical="top" wrapText="1"/>
    </xf>
    <xf numFmtId="173" fontId="0" fillId="0" borderId="0" xfId="0" applyNumberFormat="1"/>
    <xf numFmtId="0" fontId="0" fillId="24" borderId="0" xfId="0" applyFill="1"/>
    <xf numFmtId="173" fontId="0" fillId="24" borderId="0" xfId="5" applyNumberFormat="1" applyFont="1" applyFill="1" applyBorder="1"/>
    <xf numFmtId="173" fontId="0" fillId="25" borderId="0" xfId="5" applyNumberFormat="1" applyFont="1" applyFill="1" applyBorder="1"/>
    <xf numFmtId="3" fontId="32" fillId="30" borderId="0" xfId="0" applyNumberFormat="1" applyFont="1" applyFill="1" applyAlignment="1">
      <alignment horizontal="center" vertical="center"/>
    </xf>
    <xf numFmtId="173" fontId="0" fillId="0" borderId="1" xfId="0" applyNumberFormat="1" applyBorder="1"/>
    <xf numFmtId="3" fontId="22" fillId="30" borderId="1" xfId="0" applyNumberFormat="1" applyFont="1" applyFill="1" applyBorder="1" applyAlignment="1">
      <alignment horizontal="center" vertical="center"/>
    </xf>
    <xf numFmtId="177" fontId="0" fillId="0" borderId="0" xfId="6" applyNumberFormat="1" applyFont="1"/>
    <xf numFmtId="0" fontId="0" fillId="0" borderId="0" xfId="0" applyAlignment="1">
      <alignment vertical="center" wrapText="1"/>
    </xf>
    <xf numFmtId="0" fontId="36" fillId="0" borderId="0" xfId="0" applyFont="1" applyAlignment="1">
      <alignment vertical="center" wrapText="1"/>
    </xf>
    <xf numFmtId="0" fontId="36" fillId="0" borderId="1" xfId="0"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xf numFmtId="44" fontId="0" fillId="9" borderId="1" xfId="0" applyNumberFormat="1" applyFill="1" applyBorder="1" applyAlignment="1">
      <alignment vertical="center" wrapText="1"/>
    </xf>
    <xf numFmtId="44" fontId="0" fillId="9" borderId="1" xfId="2" applyFont="1" applyFill="1" applyBorder="1" applyAlignment="1">
      <alignment vertical="center" wrapText="1"/>
    </xf>
    <xf numFmtId="0" fontId="0" fillId="9" borderId="1" xfId="0" applyFill="1" applyBorder="1" applyAlignment="1">
      <alignment vertical="center" wrapText="1"/>
    </xf>
    <xf numFmtId="0" fontId="3" fillId="9" borderId="1" xfId="0" applyFont="1" applyFill="1" applyBorder="1" applyAlignment="1">
      <alignment vertical="center" wrapText="1"/>
    </xf>
    <xf numFmtId="0" fontId="0" fillId="33" borderId="1" xfId="0" applyFill="1" applyBorder="1" applyAlignment="1">
      <alignment vertical="center" wrapText="1"/>
    </xf>
    <xf numFmtId="10" fontId="0" fillId="33" borderId="1" xfId="0" applyNumberFormat="1" applyFill="1" applyBorder="1" applyAlignment="1">
      <alignment vertical="center" wrapText="1"/>
    </xf>
    <xf numFmtId="0" fontId="8" fillId="23" borderId="0" xfId="0" applyFont="1" applyFill="1" applyAlignment="1">
      <alignment vertical="center"/>
    </xf>
    <xf numFmtId="0" fontId="15" fillId="26" borderId="28" xfId="0" applyFont="1" applyFill="1" applyBorder="1" applyAlignment="1" applyProtection="1">
      <alignment horizontal="center" vertical="center"/>
      <protection hidden="1"/>
    </xf>
    <xf numFmtId="0" fontId="15" fillId="22" borderId="28" xfId="0" applyFont="1" applyFill="1" applyBorder="1" applyAlignment="1">
      <alignment horizontal="left" vertical="center" wrapText="1" indent="1"/>
    </xf>
    <xf numFmtId="0" fontId="8" fillId="34" borderId="0" xfId="0" applyFont="1" applyFill="1" applyAlignment="1">
      <alignment vertical="center"/>
    </xf>
    <xf numFmtId="0" fontId="8" fillId="34" borderId="0" xfId="0" applyFont="1" applyFill="1" applyAlignment="1">
      <alignment horizontal="left" vertical="center"/>
    </xf>
    <xf numFmtId="0" fontId="40" fillId="34" borderId="0" xfId="0" applyFont="1" applyFill="1" applyAlignment="1">
      <alignment vertical="center"/>
    </xf>
    <xf numFmtId="0" fontId="40" fillId="34" borderId="0" xfId="0" applyFont="1" applyFill="1" applyAlignment="1">
      <alignment horizontal="center" vertical="center"/>
    </xf>
    <xf numFmtId="0" fontId="15" fillId="35" borderId="28" xfId="0" applyFont="1" applyFill="1" applyBorder="1" applyAlignment="1">
      <alignment horizontal="left" vertical="center" wrapText="1" indent="1"/>
    </xf>
    <xf numFmtId="0" fontId="8" fillId="26" borderId="28" xfId="0" applyFont="1" applyFill="1" applyBorder="1" applyAlignment="1" applyProtection="1">
      <alignment horizontal="center" vertical="center"/>
      <protection hidden="1"/>
    </xf>
    <xf numFmtId="0" fontId="15" fillId="36" borderId="28" xfId="0" applyFont="1" applyFill="1" applyBorder="1" applyAlignment="1">
      <alignment horizontal="center" vertical="center" wrapText="1"/>
    </xf>
    <xf numFmtId="0" fontId="40" fillId="0" borderId="0" xfId="0" applyFont="1" applyAlignment="1">
      <alignment horizontal="center" vertical="center"/>
    </xf>
    <xf numFmtId="0" fontId="40" fillId="0" borderId="0" xfId="0" applyFont="1" applyAlignment="1">
      <alignment vertical="center"/>
    </xf>
    <xf numFmtId="0" fontId="8" fillId="0" borderId="0" xfId="0" applyFont="1" applyAlignment="1">
      <alignment vertical="center"/>
    </xf>
    <xf numFmtId="0" fontId="38" fillId="23" borderId="28" xfId="0" applyFont="1" applyFill="1" applyBorder="1" applyAlignment="1">
      <alignment horizontal="center" vertical="center" wrapText="1"/>
    </xf>
    <xf numFmtId="0" fontId="38" fillId="23" borderId="28" xfId="0" applyFont="1" applyFill="1" applyBorder="1" applyAlignment="1">
      <alignment vertical="center" wrapText="1"/>
    </xf>
    <xf numFmtId="0" fontId="8" fillId="26" borderId="28" xfId="0" applyFont="1" applyFill="1" applyBorder="1" applyAlignment="1" applyProtection="1">
      <alignment horizontal="center" vertical="center"/>
      <protection locked="0"/>
    </xf>
    <xf numFmtId="3" fontId="8" fillId="37" borderId="28" xfId="0" applyNumberFormat="1" applyFont="1" applyFill="1" applyBorder="1" applyAlignment="1" applyProtection="1">
      <alignment horizontal="center" vertical="center"/>
      <protection hidden="1"/>
    </xf>
    <xf numFmtId="1" fontId="8" fillId="26" borderId="28" xfId="0" applyNumberFormat="1" applyFont="1" applyFill="1" applyBorder="1" applyAlignment="1" applyProtection="1">
      <alignment horizontal="center" vertical="center"/>
      <protection hidden="1"/>
    </xf>
    <xf numFmtId="1" fontId="15" fillId="26" borderId="28" xfId="0" applyNumberFormat="1" applyFont="1" applyFill="1" applyBorder="1" applyAlignment="1" applyProtection="1">
      <alignment horizontal="center" vertical="center"/>
      <protection hidden="1"/>
    </xf>
    <xf numFmtId="178" fontId="15" fillId="0" borderId="28" xfId="7" applyNumberFormat="1" applyFont="1" applyFill="1" applyBorder="1" applyAlignment="1" applyProtection="1">
      <alignment horizontal="center" vertical="center"/>
      <protection hidden="1"/>
    </xf>
    <xf numFmtId="178" fontId="15" fillId="8" borderId="28" xfId="7" applyNumberFormat="1" applyFont="1" applyFill="1" applyBorder="1" applyAlignment="1" applyProtection="1">
      <alignment horizontal="center" vertical="center"/>
      <protection hidden="1"/>
    </xf>
    <xf numFmtId="0" fontId="15" fillId="8" borderId="28" xfId="0" applyFont="1" applyFill="1" applyBorder="1" applyAlignment="1" applyProtection="1">
      <alignment horizontal="center" vertical="center"/>
      <protection hidden="1"/>
    </xf>
    <xf numFmtId="178" fontId="8" fillId="0" borderId="28" xfId="7" applyNumberFormat="1" applyFont="1" applyFill="1" applyBorder="1" applyAlignment="1" applyProtection="1">
      <alignment horizontal="center" vertical="center"/>
      <protection hidden="1"/>
    </xf>
    <xf numFmtId="0" fontId="0" fillId="26" borderId="1" xfId="0" applyFill="1" applyBorder="1"/>
    <xf numFmtId="0" fontId="0" fillId="26" borderId="5" xfId="0" applyFill="1" applyBorder="1"/>
    <xf numFmtId="0" fontId="8" fillId="39" borderId="28" xfId="0" applyFont="1" applyFill="1" applyBorder="1" applyAlignment="1" applyProtection="1">
      <alignment horizontal="center" vertical="center"/>
      <protection locked="0"/>
    </xf>
    <xf numFmtId="1" fontId="8" fillId="39" borderId="28" xfId="0" applyNumberFormat="1" applyFont="1" applyFill="1" applyBorder="1" applyAlignment="1" applyProtection="1">
      <alignment horizontal="center" vertical="center"/>
      <protection locked="0"/>
    </xf>
    <xf numFmtId="0" fontId="15" fillId="39" borderId="28" xfId="0" applyFont="1" applyFill="1" applyBorder="1" applyAlignment="1" applyProtection="1">
      <alignment horizontal="center" vertical="center"/>
      <protection locked="0"/>
    </xf>
    <xf numFmtId="0" fontId="8" fillId="38" borderId="28" xfId="0" applyFont="1" applyFill="1" applyBorder="1" applyAlignment="1" applyProtection="1">
      <alignment horizontal="center" vertical="center"/>
      <protection locked="0"/>
    </xf>
    <xf numFmtId="9" fontId="15" fillId="39" borderId="28" xfId="6" applyFont="1" applyFill="1" applyBorder="1" applyAlignment="1" applyProtection="1">
      <alignment horizontal="center" vertical="center"/>
      <protection locked="0"/>
    </xf>
    <xf numFmtId="0" fontId="15" fillId="39" borderId="28" xfId="0" applyFont="1" applyFill="1" applyBorder="1" applyAlignment="1" applyProtection="1">
      <alignment horizontal="left" vertical="center" indent="1"/>
      <protection locked="0"/>
    </xf>
    <xf numFmtId="0" fontId="15" fillId="39" borderId="28" xfId="0" applyFont="1" applyFill="1" applyBorder="1" applyAlignment="1" applyProtection="1">
      <alignment horizontal="left" vertical="center" wrapText="1" indent="1"/>
      <protection locked="0"/>
    </xf>
    <xf numFmtId="0" fontId="15" fillId="39" borderId="28" xfId="0" applyFont="1" applyFill="1" applyBorder="1" applyAlignment="1" applyProtection="1">
      <alignment horizontal="center" vertical="center" wrapText="1"/>
      <protection locked="0"/>
    </xf>
    <xf numFmtId="0" fontId="15" fillId="38" borderId="28" xfId="0" applyFont="1" applyFill="1" applyBorder="1" applyAlignment="1" applyProtection="1">
      <alignment horizontal="left" vertical="center" indent="1"/>
      <protection locked="0"/>
    </xf>
    <xf numFmtId="10" fontId="14" fillId="12" borderId="1" xfId="6" applyNumberFormat="1" applyFont="1" applyFill="1" applyBorder="1"/>
    <xf numFmtId="0" fontId="0" fillId="39" borderId="1" xfId="0" applyFill="1" applyBorder="1"/>
    <xf numFmtId="0" fontId="0" fillId="38" borderId="1" xfId="0" applyFill="1" applyBorder="1"/>
    <xf numFmtId="0" fontId="40" fillId="34" borderId="0" xfId="0" applyFont="1" applyFill="1" applyAlignment="1">
      <alignment horizontal="center" vertical="center" wrapText="1"/>
    </xf>
    <xf numFmtId="0" fontId="3" fillId="34" borderId="1" xfId="0" applyFont="1" applyFill="1" applyBorder="1" applyAlignment="1">
      <alignment horizontal="center" vertical="center"/>
    </xf>
    <xf numFmtId="0" fontId="44" fillId="34" borderId="1" xfId="0" applyFont="1" applyFill="1" applyBorder="1" applyAlignment="1">
      <alignment horizontal="center" vertical="center"/>
    </xf>
    <xf numFmtId="0" fontId="44" fillId="34" borderId="1" xfId="0" applyFont="1" applyFill="1" applyBorder="1" applyAlignment="1">
      <alignment horizontal="center" vertical="center" wrapText="1"/>
    </xf>
    <xf numFmtId="0" fontId="3" fillId="34" borderId="1" xfId="0" applyFont="1" applyFill="1" applyBorder="1" applyAlignment="1">
      <alignment horizontal="center" vertical="center" wrapText="1"/>
    </xf>
    <xf numFmtId="0" fontId="3" fillId="35" borderId="1" xfId="0" applyFont="1" applyFill="1" applyBorder="1" applyAlignment="1">
      <alignment horizontal="center" vertical="center" wrapText="1"/>
    </xf>
    <xf numFmtId="0" fontId="21" fillId="40"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25" borderId="1" xfId="0" applyFont="1" applyFill="1" applyBorder="1" applyAlignment="1">
      <alignment horizontal="center" vertical="center" wrapText="1"/>
    </xf>
    <xf numFmtId="0" fontId="0" fillId="0" borderId="1" xfId="0" applyBorder="1" applyAlignment="1">
      <alignment vertical="center"/>
    </xf>
    <xf numFmtId="3" fontId="0" fillId="0" borderId="1" xfId="0" applyNumberFormat="1" applyBorder="1" applyAlignment="1">
      <alignment vertical="center"/>
    </xf>
    <xf numFmtId="165" fontId="0" fillId="0" borderId="1" xfId="0" applyNumberFormat="1" applyBorder="1" applyAlignment="1">
      <alignment vertical="center"/>
    </xf>
    <xf numFmtId="165" fontId="45" fillId="0" borderId="1" xfId="2" applyNumberFormat="1" applyFont="1" applyBorder="1" applyAlignment="1">
      <alignment vertical="center"/>
    </xf>
    <xf numFmtId="165" fontId="45" fillId="0" borderId="1" xfId="2" applyNumberFormat="1" applyFont="1" applyBorder="1" applyAlignment="1">
      <alignment horizontal="left" vertical="center"/>
    </xf>
    <xf numFmtId="9" fontId="0" fillId="0" borderId="1" xfId="6" applyFont="1" applyBorder="1" applyAlignment="1">
      <alignment horizontal="center"/>
    </xf>
    <xf numFmtId="43" fontId="42" fillId="40" borderId="2" xfId="5" applyFont="1" applyFill="1" applyBorder="1" applyAlignment="1">
      <alignment vertical="center"/>
    </xf>
    <xf numFmtId="165" fontId="0" fillId="34" borderId="1" xfId="0" applyNumberFormat="1" applyFill="1" applyBorder="1" applyAlignment="1">
      <alignment vertical="center"/>
    </xf>
    <xf numFmtId="165" fontId="45" fillId="0" borderId="1" xfId="2" applyNumberFormat="1" applyFont="1" applyBorder="1" applyAlignment="1">
      <alignment horizontal="center" vertical="center"/>
    </xf>
    <xf numFmtId="165" fontId="45" fillId="0" borderId="1" xfId="2" applyNumberFormat="1" applyFont="1" applyFill="1" applyBorder="1" applyAlignment="1">
      <alignment vertical="center"/>
    </xf>
    <xf numFmtId="165" fontId="45" fillId="0" borderId="1" xfId="2" applyNumberFormat="1" applyFont="1" applyFill="1" applyBorder="1" applyAlignment="1">
      <alignment horizontal="left" vertical="center"/>
    </xf>
    <xf numFmtId="9" fontId="0" fillId="0" borderId="1" xfId="6" applyFont="1" applyFill="1" applyBorder="1" applyAlignment="1">
      <alignment horizontal="center"/>
    </xf>
    <xf numFmtId="0" fontId="9" fillId="0" borderId="1" xfId="0" applyFont="1" applyBorder="1" applyAlignment="1">
      <alignment vertical="center"/>
    </xf>
    <xf numFmtId="0" fontId="0" fillId="3" borderId="1" xfId="0" applyFill="1" applyBorder="1" applyAlignment="1">
      <alignment vertical="center"/>
    </xf>
    <xf numFmtId="165" fontId="45" fillId="40" borderId="1" xfId="2" applyNumberFormat="1" applyFont="1" applyFill="1" applyBorder="1" applyAlignment="1">
      <alignment horizontal="center" vertical="center"/>
    </xf>
    <xf numFmtId="165" fontId="45" fillId="40" borderId="1" xfId="2" applyNumberFormat="1" applyFont="1" applyFill="1" applyBorder="1" applyAlignment="1">
      <alignment vertical="center"/>
    </xf>
    <xf numFmtId="43" fontId="42" fillId="40" borderId="32" xfId="5" applyFont="1" applyFill="1" applyBorder="1" applyAlignment="1">
      <alignment vertical="center"/>
    </xf>
    <xf numFmtId="43" fontId="42" fillId="40" borderId="0" xfId="5" applyFont="1" applyFill="1" applyBorder="1" applyAlignment="1">
      <alignment vertical="center"/>
    </xf>
    <xf numFmtId="0" fontId="3" fillId="8" borderId="1"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1" fillId="40" borderId="1" xfId="0" applyFont="1" applyFill="1" applyBorder="1" applyAlignment="1">
      <alignment horizontal="center" vertical="top" wrapText="1"/>
    </xf>
    <xf numFmtId="0" fontId="46" fillId="41" borderId="1" xfId="0" applyFont="1" applyFill="1" applyBorder="1" applyAlignment="1">
      <alignment horizontal="center" vertical="center" wrapText="1"/>
    </xf>
    <xf numFmtId="165" fontId="45" fillId="0" borderId="1" xfId="2" applyNumberFormat="1" applyFont="1" applyFill="1" applyBorder="1" applyAlignment="1">
      <alignment horizontal="left" vertical="center" wrapText="1"/>
    </xf>
    <xf numFmtId="165" fontId="0" fillId="0" borderId="2" xfId="0" applyNumberFormat="1" applyBorder="1" applyAlignment="1">
      <alignment vertical="center"/>
    </xf>
    <xf numFmtId="179" fontId="0" fillId="0" borderId="1" xfId="5" applyNumberFormat="1" applyFont="1" applyFill="1" applyBorder="1" applyAlignment="1">
      <alignment horizontal="center" vertical="center"/>
    </xf>
    <xf numFmtId="0" fontId="0" fillId="12" borderId="1" xfId="0" applyFill="1" applyBorder="1" applyAlignment="1">
      <alignment vertical="center" wrapText="1"/>
    </xf>
    <xf numFmtId="0" fontId="0" fillId="0" borderId="1" xfId="0" applyBorder="1" applyAlignment="1">
      <alignment horizontal="right" vertical="center" wrapText="1"/>
    </xf>
    <xf numFmtId="49" fontId="45" fillId="0" borderId="1" xfId="2" applyNumberFormat="1" applyFont="1" applyFill="1" applyBorder="1" applyAlignment="1">
      <alignment horizontal="left" vertical="center" wrapText="1"/>
    </xf>
    <xf numFmtId="179" fontId="0" fillId="0" borderId="0" xfId="0" applyNumberFormat="1"/>
    <xf numFmtId="0" fontId="9" fillId="0" borderId="1" xfId="0" applyFont="1" applyBorder="1" applyAlignment="1">
      <alignment vertical="center" wrapText="1"/>
    </xf>
    <xf numFmtId="0" fontId="0" fillId="3" borderId="1" xfId="0" applyFill="1" applyBorder="1" applyAlignment="1">
      <alignment vertical="center" wrapText="1"/>
    </xf>
    <xf numFmtId="165" fontId="45" fillId="0" borderId="1" xfId="2" applyNumberFormat="1" applyFont="1" applyFill="1" applyBorder="1" applyAlignment="1">
      <alignment vertical="center" wrapText="1"/>
    </xf>
    <xf numFmtId="0" fontId="45" fillId="0" borderId="1" xfId="0" applyFont="1" applyBorder="1" applyAlignment="1">
      <alignment vertical="center" wrapText="1"/>
    </xf>
    <xf numFmtId="0" fontId="47" fillId="0" borderId="1" xfId="0" applyFont="1" applyBorder="1" applyAlignment="1">
      <alignment vertical="center" wrapText="1"/>
    </xf>
    <xf numFmtId="165" fontId="45" fillId="0" borderId="1" xfId="2" applyNumberFormat="1" applyFont="1" applyBorder="1" applyAlignment="1">
      <alignment horizontal="left" vertical="center" wrapText="1"/>
    </xf>
    <xf numFmtId="0" fontId="0" fillId="0" borderId="5" xfId="0" applyBorder="1" applyAlignment="1">
      <alignment vertical="center" wrapText="1"/>
    </xf>
    <xf numFmtId="165" fontId="47" fillId="0" borderId="1" xfId="2" applyNumberFormat="1" applyFont="1" applyFill="1" applyBorder="1" applyAlignment="1">
      <alignment horizontal="left" vertical="center" wrapText="1"/>
    </xf>
    <xf numFmtId="165" fontId="45" fillId="0" borderId="5" xfId="2" applyNumberFormat="1" applyFont="1" applyFill="1" applyBorder="1" applyAlignment="1">
      <alignment horizontal="left" vertical="center" wrapText="1"/>
    </xf>
    <xf numFmtId="165" fontId="47" fillId="0" borderId="5" xfId="2" applyNumberFormat="1" applyFont="1" applyFill="1" applyBorder="1" applyAlignment="1">
      <alignment horizontal="left" vertical="center" wrapText="1"/>
    </xf>
    <xf numFmtId="0" fontId="0" fillId="0" borderId="5" xfId="0" applyBorder="1" applyAlignment="1">
      <alignment horizontal="left" wrapText="1"/>
    </xf>
    <xf numFmtId="0" fontId="0" fillId="0" borderId="27" xfId="0" applyBorder="1" applyAlignment="1">
      <alignment horizontal="left" wrapText="1"/>
    </xf>
    <xf numFmtId="0" fontId="0" fillId="0" borderId="6" xfId="0" applyBorder="1" applyAlignment="1">
      <alignment horizontal="left" wrapText="1"/>
    </xf>
    <xf numFmtId="0" fontId="0" fillId="0" borderId="1" xfId="0" applyBorder="1" applyAlignment="1">
      <alignment horizontal="center" vertical="center" wrapText="1"/>
    </xf>
    <xf numFmtId="179" fontId="0" fillId="0" borderId="0" xfId="0" applyNumberFormat="1" applyAlignment="1">
      <alignment vertical="center"/>
    </xf>
    <xf numFmtId="0" fontId="42" fillId="0" borderId="0" xfId="0" applyFont="1"/>
    <xf numFmtId="0" fontId="0" fillId="0" borderId="0" xfId="0" applyAlignment="1">
      <alignment horizontal="center" vertical="center"/>
    </xf>
    <xf numFmtId="165" fontId="0" fillId="0" borderId="0" xfId="0" applyNumberFormat="1" applyAlignment="1">
      <alignment horizontal="center" vertical="center"/>
    </xf>
    <xf numFmtId="179" fontId="0" fillId="0" borderId="0" xfId="5" applyNumberFormat="1" applyFont="1"/>
    <xf numFmtId="0" fontId="45" fillId="0" borderId="0" xfId="0" applyFont="1"/>
    <xf numFmtId="3" fontId="48" fillId="0" borderId="0" xfId="0" applyNumberFormat="1" applyFont="1"/>
    <xf numFmtId="4" fontId="48" fillId="3" borderId="0" xfId="0" applyNumberFormat="1" applyFont="1" applyFill="1" applyAlignment="1">
      <alignment horizontal="right"/>
    </xf>
    <xf numFmtId="3" fontId="48" fillId="12" borderId="0" xfId="0" applyNumberFormat="1" applyFont="1" applyFill="1"/>
    <xf numFmtId="4" fontId="48" fillId="12" borderId="0" xfId="0" applyNumberFormat="1" applyFont="1" applyFill="1" applyAlignment="1">
      <alignment horizontal="right"/>
    </xf>
    <xf numFmtId="180" fontId="0" fillId="0" borderId="0" xfId="5" applyNumberFormat="1" applyFont="1"/>
    <xf numFmtId="0" fontId="42" fillId="40" borderId="1" xfId="0" applyFont="1" applyFill="1" applyBorder="1" applyAlignment="1">
      <alignment horizontal="center" vertical="center"/>
    </xf>
    <xf numFmtId="0" fontId="49" fillId="42" borderId="33" xfId="0" applyFont="1" applyFill="1" applyBorder="1" applyAlignment="1">
      <alignment horizontal="center" vertical="center"/>
    </xf>
    <xf numFmtId="0" fontId="50" fillId="43" borderId="34" xfId="0" applyFont="1" applyFill="1" applyBorder="1" applyAlignment="1">
      <alignment horizontal="center" vertical="center"/>
    </xf>
    <xf numFmtId="0" fontId="49" fillId="42" borderId="35" xfId="0" applyFont="1" applyFill="1" applyBorder="1" applyAlignment="1">
      <alignment horizontal="center" vertical="center" wrapText="1"/>
    </xf>
    <xf numFmtId="165" fontId="0" fillId="3" borderId="1" xfId="0" applyNumberFormat="1" applyFill="1" applyBorder="1"/>
    <xf numFmtId="165" fontId="0" fillId="25" borderId="1" xfId="0" applyNumberFormat="1" applyFill="1" applyBorder="1"/>
    <xf numFmtId="0" fontId="51" fillId="44" borderId="36" xfId="0" applyFont="1" applyFill="1" applyBorder="1" applyAlignment="1">
      <alignment vertical="center"/>
    </xf>
    <xf numFmtId="179" fontId="52" fillId="43" borderId="37" xfId="5" applyNumberFormat="1" applyFont="1" applyFill="1" applyBorder="1" applyAlignment="1">
      <alignment vertical="center"/>
    </xf>
    <xf numFmtId="0" fontId="52" fillId="44" borderId="38" xfId="0" applyFont="1" applyFill="1" applyBorder="1" applyAlignment="1">
      <alignment vertical="center"/>
    </xf>
    <xf numFmtId="0" fontId="51" fillId="0" borderId="36" xfId="0" applyFont="1" applyBorder="1" applyAlignment="1">
      <alignment vertical="center"/>
    </xf>
    <xf numFmtId="179" fontId="32" fillId="45" borderId="37" xfId="5" applyNumberFormat="1" applyFont="1" applyFill="1" applyBorder="1" applyAlignment="1">
      <alignment vertical="center"/>
    </xf>
    <xf numFmtId="0" fontId="32" fillId="25" borderId="39" xfId="0" applyFont="1" applyFill="1" applyBorder="1" applyAlignment="1">
      <alignment vertical="center"/>
    </xf>
    <xf numFmtId="0" fontId="52" fillId="44" borderId="39" xfId="0" applyFont="1" applyFill="1" applyBorder="1" applyAlignment="1">
      <alignment vertical="center"/>
    </xf>
    <xf numFmtId="0" fontId="32" fillId="0" borderId="39" xfId="0" applyFont="1" applyBorder="1" applyAlignment="1">
      <alignment vertical="center"/>
    </xf>
    <xf numFmtId="179" fontId="52" fillId="45" borderId="37" xfId="5" applyNumberFormat="1" applyFont="1" applyFill="1" applyBorder="1" applyAlignment="1">
      <alignment vertical="center"/>
    </xf>
    <xf numFmtId="0" fontId="51" fillId="0" borderId="40" xfId="0" applyFont="1" applyBorder="1" applyAlignment="1">
      <alignment vertical="center"/>
    </xf>
    <xf numFmtId="179" fontId="32" fillId="43" borderId="41" xfId="5" applyNumberFormat="1" applyFont="1" applyFill="1" applyBorder="1" applyAlignment="1">
      <alignment vertical="center"/>
    </xf>
    <xf numFmtId="0" fontId="32" fillId="0" borderId="42" xfId="0" applyFont="1" applyBorder="1" applyAlignment="1">
      <alignment vertical="center"/>
    </xf>
    <xf numFmtId="0" fontId="53" fillId="0" borderId="7" xfId="0" applyFont="1" applyBorder="1" applyAlignment="1">
      <alignment vertical="center" wrapText="1"/>
    </xf>
    <xf numFmtId="0" fontId="53" fillId="0" borderId="8" xfId="0" applyFont="1" applyBorder="1" applyAlignment="1">
      <alignment vertical="center" wrapText="1"/>
    </xf>
    <xf numFmtId="0" fontId="53" fillId="0" borderId="8" xfId="0" applyFont="1" applyBorder="1" applyAlignment="1">
      <alignment horizontal="right" vertical="center" wrapText="1"/>
    </xf>
    <xf numFmtId="0" fontId="43" fillId="0" borderId="9" xfId="0" applyFont="1" applyBorder="1" applyAlignment="1">
      <alignment vertical="center"/>
    </xf>
    <xf numFmtId="0" fontId="52" fillId="0" borderId="10" xfId="0" applyFont="1" applyBorder="1" applyAlignment="1">
      <alignment vertical="center"/>
    </xf>
    <xf numFmtId="14" fontId="52" fillId="0" borderId="10" xfId="0" applyNumberFormat="1" applyFont="1" applyBorder="1" applyAlignment="1">
      <alignment horizontal="right" vertical="center"/>
    </xf>
    <xf numFmtId="0" fontId="54" fillId="0" borderId="0" xfId="0" applyFont="1" applyAlignment="1">
      <alignment vertical="center"/>
    </xf>
    <xf numFmtId="165" fontId="45" fillId="34" borderId="1" xfId="2" applyNumberFormat="1" applyFont="1" applyFill="1" applyBorder="1" applyAlignment="1">
      <alignment vertical="center"/>
    </xf>
    <xf numFmtId="43" fontId="42" fillId="40" borderId="1" xfId="5" applyFont="1" applyFill="1" applyBorder="1" applyAlignment="1">
      <alignment vertical="center"/>
    </xf>
    <xf numFmtId="165" fontId="45" fillId="34" borderId="1" xfId="2" applyNumberFormat="1" applyFont="1" applyFill="1" applyBorder="1" applyAlignment="1">
      <alignment horizontal="left" vertical="center"/>
    </xf>
    <xf numFmtId="165" fontId="0" fillId="40" borderId="1" xfId="0" applyNumberFormat="1" applyFill="1" applyBorder="1" applyAlignment="1">
      <alignment vertical="center"/>
    </xf>
    <xf numFmtId="0" fontId="0" fillId="40" borderId="1" xfId="0" applyFill="1" applyBorder="1" applyAlignment="1">
      <alignment vertical="center"/>
    </xf>
    <xf numFmtId="0" fontId="0" fillId="0" borderId="3" xfId="0" applyBorder="1" applyAlignment="1">
      <alignment vertical="center"/>
    </xf>
    <xf numFmtId="165" fontId="45" fillId="34" borderId="3" xfId="2" applyNumberFormat="1" applyFont="1" applyFill="1" applyBorder="1" applyAlignment="1">
      <alignment vertical="center"/>
    </xf>
    <xf numFmtId="165" fontId="0" fillId="3" borderId="1" xfId="0" applyNumberFormat="1" applyFill="1" applyBorder="1" applyAlignment="1">
      <alignment vertical="center"/>
    </xf>
    <xf numFmtId="165" fontId="45" fillId="34" borderId="0" xfId="2" applyNumberFormat="1" applyFont="1" applyFill="1" applyBorder="1" applyAlignment="1">
      <alignment horizontal="left" vertical="center"/>
    </xf>
    <xf numFmtId="165" fontId="3" fillId="34" borderId="1" xfId="0" applyNumberFormat="1" applyFont="1" applyFill="1" applyBorder="1" applyAlignment="1">
      <alignment vertical="center"/>
    </xf>
    <xf numFmtId="0" fontId="0" fillId="0" borderId="27" xfId="0" applyBorder="1" applyAlignment="1">
      <alignment vertical="center"/>
    </xf>
    <xf numFmtId="165" fontId="45" fillId="0" borderId="0" xfId="2" applyNumberFormat="1" applyFont="1" applyFill="1" applyBorder="1" applyAlignment="1">
      <alignment vertical="center"/>
    </xf>
    <xf numFmtId="165" fontId="42" fillId="0" borderId="0" xfId="0" applyNumberFormat="1" applyFont="1"/>
    <xf numFmtId="179" fontId="42" fillId="0" borderId="0" xfId="0" applyNumberFormat="1" applyFont="1" applyAlignment="1">
      <alignment horizontal="center" vertical="center"/>
    </xf>
    <xf numFmtId="0" fontId="42" fillId="0" borderId="0" xfId="0" applyFont="1" applyAlignment="1">
      <alignment horizontal="center" vertical="center"/>
    </xf>
    <xf numFmtId="179" fontId="42" fillId="0" borderId="0" xfId="5" applyNumberFormat="1" applyFont="1"/>
    <xf numFmtId="0" fontId="42" fillId="0" borderId="0" xfId="0" applyFont="1" applyAlignment="1">
      <alignment vertical="center"/>
    </xf>
    <xf numFmtId="179" fontId="55" fillId="0" borderId="1" xfId="5" applyNumberFormat="1" applyFont="1" applyFill="1" applyBorder="1" applyAlignment="1">
      <alignment horizontal="center" vertical="center"/>
    </xf>
    <xf numFmtId="0" fontId="56" fillId="0" borderId="1" xfId="0" applyFont="1" applyBorder="1" applyAlignment="1">
      <alignment horizontal="center" vertical="center"/>
    </xf>
    <xf numFmtId="165" fontId="0" fillId="0" borderId="0" xfId="0" applyNumberFormat="1" applyAlignment="1">
      <alignment vertical="center"/>
    </xf>
    <xf numFmtId="179" fontId="42" fillId="0" borderId="0" xfId="0" applyNumberFormat="1" applyFont="1"/>
    <xf numFmtId="1" fontId="15" fillId="38" borderId="28" xfId="0" applyNumberFormat="1" applyFont="1" applyFill="1" applyBorder="1" applyAlignment="1" applyProtection="1">
      <alignment horizontal="center" vertical="center"/>
      <protection locked="0"/>
    </xf>
    <xf numFmtId="0" fontId="14" fillId="46" borderId="1" xfId="0" applyFont="1" applyFill="1" applyBorder="1" applyAlignment="1">
      <alignment horizontal="center"/>
    </xf>
    <xf numFmtId="1" fontId="29" fillId="46" borderId="1" xfId="0" applyNumberFormat="1" applyFont="1" applyFill="1" applyBorder="1" applyAlignment="1">
      <alignment horizontal="center"/>
    </xf>
    <xf numFmtId="1" fontId="14" fillId="46" borderId="1" xfId="0" applyNumberFormat="1" applyFont="1" applyFill="1" applyBorder="1" applyAlignment="1">
      <alignment horizontal="center" vertical="center"/>
    </xf>
    <xf numFmtId="3" fontId="14" fillId="46" borderId="1" xfId="0" applyNumberFormat="1" applyFont="1" applyFill="1" applyBorder="1" applyAlignment="1">
      <alignment horizontal="center"/>
    </xf>
    <xf numFmtId="9" fontId="14" fillId="46" borderId="1" xfId="6" applyFont="1" applyFill="1" applyBorder="1" applyAlignment="1">
      <alignment horizontal="center"/>
    </xf>
    <xf numFmtId="0" fontId="15" fillId="39" borderId="31" xfId="0" applyFont="1" applyFill="1" applyBorder="1" applyAlignment="1" applyProtection="1">
      <alignment horizontal="center" vertical="center"/>
      <protection locked="0"/>
    </xf>
    <xf numFmtId="0" fontId="8" fillId="38" borderId="44" xfId="0" applyFont="1" applyFill="1" applyBorder="1" applyAlignment="1" applyProtection="1">
      <alignment horizontal="center" vertical="center"/>
      <protection locked="0"/>
    </xf>
    <xf numFmtId="1" fontId="8" fillId="39" borderId="43" xfId="0" applyNumberFormat="1" applyFont="1" applyFill="1" applyBorder="1" applyAlignment="1" applyProtection="1">
      <alignment horizontal="center" vertical="center"/>
      <protection locked="0"/>
    </xf>
    <xf numFmtId="0" fontId="0" fillId="47" borderId="1" xfId="0" applyFill="1" applyBorder="1"/>
    <xf numFmtId="165" fontId="29" fillId="37" borderId="1" xfId="2" applyNumberFormat="1" applyFont="1" applyFill="1" applyBorder="1"/>
    <xf numFmtId="168" fontId="3" fillId="37" borderId="1" xfId="7" applyNumberFormat="1" applyFont="1" applyFill="1" applyBorder="1"/>
    <xf numFmtId="0" fontId="0" fillId="23" borderId="0" xfId="0" applyFill="1"/>
    <xf numFmtId="0" fontId="0" fillId="2" borderId="26" xfId="0" applyFill="1" applyBorder="1"/>
    <xf numFmtId="0" fontId="20" fillId="23" borderId="0" xfId="0" applyFont="1" applyFill="1"/>
    <xf numFmtId="0" fontId="0" fillId="48" borderId="1" xfId="0" applyFill="1" applyBorder="1"/>
    <xf numFmtId="0" fontId="0" fillId="49" borderId="1" xfId="0" applyFill="1" applyBorder="1"/>
    <xf numFmtId="0" fontId="30" fillId="9" borderId="1" xfId="0" applyFont="1" applyFill="1" applyBorder="1" applyAlignment="1">
      <alignment wrapText="1"/>
    </xf>
    <xf numFmtId="0" fontId="15" fillId="26" borderId="30" xfId="0" applyFont="1" applyFill="1" applyBorder="1" applyAlignment="1" applyProtection="1">
      <alignment horizontal="center" vertical="center"/>
      <protection hidden="1"/>
    </xf>
    <xf numFmtId="178" fontId="8" fillId="34" borderId="0" xfId="0" applyNumberFormat="1" applyFont="1" applyFill="1" applyAlignment="1">
      <alignment vertical="center"/>
    </xf>
    <xf numFmtId="0" fontId="40" fillId="23" borderId="0" xfId="0" applyFont="1" applyFill="1" applyAlignment="1">
      <alignment horizontal="center" vertical="center"/>
    </xf>
    <xf numFmtId="9" fontId="8" fillId="22" borderId="28" xfId="6" applyFont="1" applyFill="1" applyBorder="1" applyAlignment="1" applyProtection="1">
      <alignment horizontal="left" vertical="center" indent="1"/>
    </xf>
    <xf numFmtId="0" fontId="8" fillId="0" borderId="0" xfId="0" applyFont="1" applyAlignment="1">
      <alignment horizontal="left" vertical="center"/>
    </xf>
    <xf numFmtId="0" fontId="40" fillId="34" borderId="28" xfId="0" applyFont="1" applyFill="1" applyBorder="1" applyAlignment="1" applyProtection="1">
      <alignment vertical="center"/>
      <protection hidden="1"/>
    </xf>
    <xf numFmtId="0" fontId="40" fillId="34" borderId="0" xfId="0" applyFont="1" applyFill="1" applyAlignment="1" applyProtection="1">
      <alignment vertical="center"/>
      <protection hidden="1"/>
    </xf>
    <xf numFmtId="0" fontId="8" fillId="34" borderId="0" xfId="0" applyFont="1" applyFill="1" applyAlignment="1" applyProtection="1">
      <alignment horizontal="left" vertical="center"/>
      <protection hidden="1"/>
    </xf>
    <xf numFmtId="0" fontId="8" fillId="34" borderId="0" xfId="0" applyFont="1" applyFill="1" applyAlignment="1" applyProtection="1">
      <alignment vertical="center"/>
      <protection hidden="1"/>
    </xf>
    <xf numFmtId="0" fontId="8" fillId="34" borderId="0" xfId="0" applyFont="1" applyFill="1" applyAlignment="1" applyProtection="1">
      <alignment horizontal="left" vertical="center" wrapText="1"/>
      <protection hidden="1"/>
    </xf>
    <xf numFmtId="0" fontId="40" fillId="34" borderId="0" xfId="0" applyFont="1" applyFill="1" applyAlignment="1" applyProtection="1">
      <alignment horizontal="center" vertical="center"/>
      <protection hidden="1"/>
    </xf>
    <xf numFmtId="0" fontId="40" fillId="0" borderId="0" xfId="0" applyFont="1" applyAlignment="1" applyProtection="1">
      <alignment horizontal="center" vertical="center"/>
      <protection hidden="1"/>
    </xf>
    <xf numFmtId="0" fontId="38" fillId="23" borderId="28" xfId="0" applyFont="1" applyFill="1" applyBorder="1" applyAlignment="1" applyProtection="1">
      <alignment horizontal="center" vertical="center"/>
      <protection hidden="1"/>
    </xf>
    <xf numFmtId="0" fontId="0" fillId="0" borderId="0" xfId="0" applyAlignment="1">
      <alignment wrapText="1"/>
    </xf>
    <xf numFmtId="0" fontId="61" fillId="51" borderId="7" xfId="0" applyFont="1" applyFill="1" applyBorder="1" applyAlignment="1">
      <alignment horizontal="center" vertical="center"/>
    </xf>
    <xf numFmtId="0" fontId="61" fillId="51" borderId="8" xfId="0" applyFont="1" applyFill="1" applyBorder="1" applyAlignment="1">
      <alignment horizontal="center" vertical="center"/>
    </xf>
    <xf numFmtId="0" fontId="61" fillId="51" borderId="9" xfId="0" applyFont="1" applyFill="1" applyBorder="1" applyAlignment="1">
      <alignment horizontal="center" vertical="center" wrapText="1"/>
    </xf>
    <xf numFmtId="0" fontId="28" fillId="0" borderId="10" xfId="0" applyFont="1" applyBorder="1" applyAlignment="1">
      <alignment horizontal="center" vertical="center" wrapText="1"/>
    </xf>
    <xf numFmtId="0" fontId="61" fillId="51" borderId="40" xfId="0" applyFont="1" applyFill="1" applyBorder="1" applyAlignment="1">
      <alignment horizontal="center" vertical="center" wrapText="1"/>
    </xf>
    <xf numFmtId="0" fontId="61" fillId="51" borderId="52" xfId="0" applyFont="1" applyFill="1" applyBorder="1" applyAlignment="1">
      <alignment horizontal="center" vertical="center"/>
    </xf>
    <xf numFmtId="0" fontId="61" fillId="51" borderId="38" xfId="0" applyFont="1" applyFill="1" applyBorder="1" applyAlignment="1">
      <alignment horizontal="center" vertical="center"/>
    </xf>
    <xf numFmtId="0" fontId="28" fillId="0" borderId="53" xfId="0" applyFont="1" applyBorder="1" applyAlignment="1">
      <alignment horizontal="center" vertical="center" wrapText="1"/>
    </xf>
    <xf numFmtId="165" fontId="0" fillId="0" borderId="2" xfId="2" applyNumberFormat="1" applyFont="1" applyBorder="1"/>
    <xf numFmtId="0" fontId="0" fillId="32" borderId="1" xfId="0" applyFill="1" applyBorder="1"/>
    <xf numFmtId="168" fontId="0" fillId="48" borderId="1" xfId="7" applyNumberFormat="1" applyFont="1" applyFill="1" applyBorder="1"/>
    <xf numFmtId="168" fontId="0" fillId="52" borderId="1" xfId="7" applyNumberFormat="1" applyFont="1" applyFill="1" applyBorder="1"/>
    <xf numFmtId="0" fontId="0" fillId="52" borderId="1" xfId="0" applyFill="1" applyBorder="1"/>
    <xf numFmtId="0" fontId="40" fillId="34" borderId="0" xfId="0" applyFont="1" applyFill="1" applyAlignment="1">
      <alignment vertical="center" wrapText="1"/>
    </xf>
    <xf numFmtId="0" fontId="15" fillId="38" borderId="44" xfId="0" applyFont="1" applyFill="1" applyBorder="1" applyAlignment="1" applyProtection="1">
      <alignment horizontal="center" vertical="center"/>
      <protection locked="0"/>
    </xf>
    <xf numFmtId="0" fontId="8" fillId="39" borderId="54" xfId="0" applyFont="1" applyFill="1" applyBorder="1" applyAlignment="1" applyProtection="1">
      <alignment horizontal="center" vertical="center"/>
      <protection locked="0"/>
    </xf>
    <xf numFmtId="0" fontId="29" fillId="46" borderId="1" xfId="0" applyFont="1" applyFill="1" applyBorder="1" applyAlignment="1">
      <alignment horizontal="center"/>
    </xf>
    <xf numFmtId="0" fontId="29" fillId="16" borderId="1" xfId="0" applyFont="1" applyFill="1" applyBorder="1"/>
    <xf numFmtId="0" fontId="14" fillId="16" borderId="1" xfId="0" applyFont="1" applyFill="1" applyBorder="1"/>
    <xf numFmtId="0" fontId="14" fillId="35" borderId="1" xfId="0" applyFont="1" applyFill="1" applyBorder="1"/>
    <xf numFmtId="0" fontId="14" fillId="35" borderId="2" xfId="0" applyFont="1" applyFill="1" applyBorder="1"/>
    <xf numFmtId="0" fontId="14" fillId="35" borderId="1" xfId="0" applyFont="1" applyFill="1" applyBorder="1" applyAlignment="1">
      <alignment wrapText="1"/>
    </xf>
    <xf numFmtId="0" fontId="14" fillId="16" borderId="1" xfId="0" applyFont="1" applyFill="1" applyBorder="1" applyAlignment="1">
      <alignment wrapText="1"/>
    </xf>
    <xf numFmtId="1" fontId="14" fillId="9" borderId="1" xfId="0" applyNumberFormat="1" applyFont="1" applyFill="1" applyBorder="1"/>
    <xf numFmtId="0" fontId="14" fillId="23" borderId="1" xfId="0" applyFont="1" applyFill="1" applyBorder="1"/>
    <xf numFmtId="0" fontId="41" fillId="34" borderId="0" xfId="0" applyFont="1" applyFill="1" applyAlignment="1">
      <alignment vertical="center" wrapText="1"/>
    </xf>
    <xf numFmtId="0" fontId="15" fillId="23" borderId="0" xfId="0" applyFont="1" applyFill="1" applyAlignment="1">
      <alignment horizontal="center" vertical="center"/>
    </xf>
    <xf numFmtId="3" fontId="15" fillId="53" borderId="28" xfId="0" applyNumberFormat="1" applyFont="1" applyFill="1" applyBorder="1" applyAlignment="1" applyProtection="1">
      <alignment horizontal="center" vertical="center"/>
      <protection hidden="1"/>
    </xf>
    <xf numFmtId="0" fontId="29" fillId="12" borderId="4" xfId="0" applyFont="1" applyFill="1" applyBorder="1" applyAlignment="1">
      <alignment horizontal="center"/>
    </xf>
    <xf numFmtId="0" fontId="29" fillId="12" borderId="1" xfId="0" applyFont="1" applyFill="1" applyBorder="1" applyAlignment="1">
      <alignment horizontal="center"/>
    </xf>
    <xf numFmtId="0" fontId="14" fillId="12" borderId="1" xfId="0" applyFont="1" applyFill="1" applyBorder="1" applyAlignment="1">
      <alignment horizontal="center" vertical="center"/>
    </xf>
    <xf numFmtId="0" fontId="14" fillId="12" borderId="1" xfId="0" applyFont="1" applyFill="1" applyBorder="1" applyAlignment="1">
      <alignment horizontal="center"/>
    </xf>
    <xf numFmtId="0" fontId="29" fillId="12" borderId="1" xfId="0" applyFont="1" applyFill="1" applyBorder="1" applyAlignment="1">
      <alignment horizontal="center" vertical="center"/>
    </xf>
    <xf numFmtId="0" fontId="14" fillId="12" borderId="1" xfId="0" applyFont="1" applyFill="1" applyBorder="1" applyAlignment="1" applyProtection="1">
      <alignment horizontal="center"/>
      <protection hidden="1"/>
    </xf>
    <xf numFmtId="1" fontId="14" fillId="12" borderId="6" xfId="0" applyNumberFormat="1" applyFont="1" applyFill="1" applyBorder="1" applyAlignment="1">
      <alignment horizontal="center" vertical="center"/>
    </xf>
    <xf numFmtId="1" fontId="14" fillId="12" borderId="1" xfId="0" applyNumberFormat="1" applyFont="1" applyFill="1" applyBorder="1" applyAlignment="1">
      <alignment horizontal="center" vertical="center"/>
    </xf>
    <xf numFmtId="0" fontId="14" fillId="53" borderId="1" xfId="0" applyFont="1" applyFill="1" applyBorder="1"/>
    <xf numFmtId="1" fontId="14" fillId="53" borderId="1" xfId="0" applyNumberFormat="1" applyFont="1" applyFill="1" applyBorder="1"/>
    <xf numFmtId="0" fontId="14" fillId="53" borderId="1" xfId="0" applyFont="1" applyFill="1" applyBorder="1" applyAlignment="1">
      <alignment horizontal="center" vertical="center"/>
    </xf>
    <xf numFmtId="44" fontId="14" fillId="53" borderId="1" xfId="2" applyFont="1" applyFill="1" applyBorder="1" applyAlignment="1">
      <alignment horizontal="center" vertical="center"/>
    </xf>
    <xf numFmtId="3" fontId="14" fillId="53" borderId="1" xfId="0" applyNumberFormat="1" applyFont="1" applyFill="1" applyBorder="1" applyAlignment="1">
      <alignment horizontal="center" vertical="center"/>
    </xf>
    <xf numFmtId="0" fontId="29" fillId="53" borderId="1" xfId="0" applyFont="1" applyFill="1" applyBorder="1"/>
    <xf numFmtId="1" fontId="29" fillId="53" borderId="1" xfId="0" applyNumberFormat="1" applyFont="1" applyFill="1" applyBorder="1" applyAlignment="1">
      <alignment horizontal="center"/>
    </xf>
    <xf numFmtId="1" fontId="14" fillId="53" borderId="1" xfId="0" applyNumberFormat="1" applyFont="1" applyFill="1" applyBorder="1" applyAlignment="1">
      <alignment horizontal="center" vertical="center"/>
    </xf>
    <xf numFmtId="0" fontId="14" fillId="53" borderId="1" xfId="0" applyFont="1" applyFill="1" applyBorder="1" applyAlignment="1">
      <alignment horizontal="center"/>
    </xf>
    <xf numFmtId="0" fontId="29" fillId="53" borderId="1" xfId="0" applyFont="1" applyFill="1" applyBorder="1" applyAlignment="1">
      <alignment horizontal="center" vertical="center"/>
    </xf>
    <xf numFmtId="0" fontId="14" fillId="54" borderId="1" xfId="0" applyFont="1" applyFill="1" applyBorder="1"/>
    <xf numFmtId="0" fontId="29" fillId="54" borderId="1" xfId="0" applyFont="1" applyFill="1" applyBorder="1"/>
    <xf numFmtId="1" fontId="29" fillId="54" borderId="1" xfId="0" applyNumberFormat="1" applyFont="1" applyFill="1" applyBorder="1"/>
    <xf numFmtId="1" fontId="14" fillId="54" borderId="1" xfId="0" applyNumberFormat="1" applyFont="1" applyFill="1" applyBorder="1"/>
    <xf numFmtId="0" fontId="29" fillId="54" borderId="1" xfId="0" applyFont="1" applyFill="1" applyBorder="1" applyAlignment="1">
      <alignment wrapText="1"/>
    </xf>
    <xf numFmtId="0" fontId="14" fillId="54" borderId="1" xfId="0" applyFont="1" applyFill="1" applyBorder="1" applyAlignment="1">
      <alignment wrapText="1"/>
    </xf>
    <xf numFmtId="9" fontId="14" fillId="46" borderId="1" xfId="0" applyNumberFormat="1" applyFont="1" applyFill="1" applyBorder="1"/>
    <xf numFmtId="1" fontId="14" fillId="46" borderId="6" xfId="0" applyNumberFormat="1" applyFont="1" applyFill="1" applyBorder="1" applyAlignment="1">
      <alignment horizontal="center"/>
    </xf>
    <xf numFmtId="1" fontId="14" fillId="46" borderId="1" xfId="0" applyNumberFormat="1" applyFont="1" applyFill="1" applyBorder="1" applyAlignment="1">
      <alignment horizontal="center"/>
    </xf>
    <xf numFmtId="1" fontId="29" fillId="46" borderId="1" xfId="0" applyNumberFormat="1" applyFont="1" applyFill="1" applyBorder="1"/>
    <xf numFmtId="165" fontId="14" fillId="46" borderId="1" xfId="2" applyNumberFormat="1" applyFont="1" applyFill="1" applyBorder="1"/>
    <xf numFmtId="172" fontId="14" fillId="46" borderId="1" xfId="6" applyNumberFormat="1" applyFont="1" applyFill="1" applyBorder="1"/>
    <xf numFmtId="9" fontId="62" fillId="12" borderId="1" xfId="0" applyNumberFormat="1" applyFont="1" applyFill="1" applyBorder="1" applyAlignment="1">
      <alignment horizontal="center"/>
    </xf>
    <xf numFmtId="0" fontId="29" fillId="26" borderId="1" xfId="0" applyFont="1" applyFill="1" applyBorder="1"/>
    <xf numFmtId="1" fontId="29" fillId="0" borderId="0" xfId="0" applyNumberFormat="1" applyFont="1"/>
    <xf numFmtId="1" fontId="14" fillId="12" borderId="1" xfId="0" applyNumberFormat="1" applyFont="1" applyFill="1" applyBorder="1"/>
    <xf numFmtId="0" fontId="29" fillId="0" borderId="0" xfId="0" applyFont="1" applyAlignment="1">
      <alignment wrapText="1"/>
    </xf>
    <xf numFmtId="44" fontId="29" fillId="0" borderId="0" xfId="0" applyNumberFormat="1" applyFont="1"/>
    <xf numFmtId="165" fontId="29" fillId="0" borderId="0" xfId="0" applyNumberFormat="1" applyFont="1"/>
    <xf numFmtId="44" fontId="29" fillId="0" borderId="0" xfId="2" applyFont="1"/>
    <xf numFmtId="0" fontId="14" fillId="9" borderId="0" xfId="0" applyFont="1" applyFill="1" applyAlignment="1">
      <alignment horizontal="center" vertical="center"/>
    </xf>
    <xf numFmtId="0" fontId="29" fillId="20" borderId="1" xfId="0" applyFont="1" applyFill="1" applyBorder="1" applyAlignment="1">
      <alignment wrapText="1"/>
    </xf>
    <xf numFmtId="10" fontId="14" fillId="16" borderId="1" xfId="0" applyNumberFormat="1" applyFont="1" applyFill="1" applyBorder="1"/>
    <xf numFmtId="176" fontId="63" fillId="38" borderId="1" xfId="5" applyNumberFormat="1" applyFont="1" applyFill="1" applyBorder="1" applyAlignment="1" applyProtection="1"/>
    <xf numFmtId="9" fontId="64" fillId="38" borderId="14" xfId="6" applyFont="1" applyFill="1" applyBorder="1" applyAlignment="1" applyProtection="1">
      <alignment vertical="center"/>
      <protection locked="0"/>
    </xf>
    <xf numFmtId="10" fontId="64" fillId="38" borderId="4" xfId="6" applyNumberFormat="1" applyFont="1" applyFill="1" applyBorder="1" applyAlignment="1" applyProtection="1">
      <alignment vertical="center"/>
      <protection locked="0"/>
    </xf>
    <xf numFmtId="0" fontId="14" fillId="26" borderId="6" xfId="0" applyFont="1" applyFill="1" applyBorder="1"/>
    <xf numFmtId="0" fontId="14" fillId="0" borderId="0" xfId="0" applyFont="1" applyAlignment="1">
      <alignment horizontal="center" vertical="center"/>
    </xf>
    <xf numFmtId="0" fontId="0" fillId="16" borderId="28" xfId="0" applyFill="1" applyBorder="1"/>
    <xf numFmtId="0" fontId="0" fillId="50" borderId="28" xfId="0" applyFill="1" applyBorder="1"/>
    <xf numFmtId="0" fontId="0" fillId="50" borderId="0" xfId="0" applyFill="1"/>
    <xf numFmtId="0" fontId="14" fillId="35" borderId="2" xfId="0" applyFont="1" applyFill="1" applyBorder="1" applyAlignment="1">
      <alignment wrapText="1"/>
    </xf>
    <xf numFmtId="0" fontId="29" fillId="12" borderId="28" xfId="0" applyFont="1" applyFill="1" applyBorder="1"/>
    <xf numFmtId="0" fontId="3" fillId="16" borderId="28" xfId="0" applyFont="1" applyFill="1" applyBorder="1"/>
    <xf numFmtId="1" fontId="14" fillId="12" borderId="0" xfId="0" applyNumberFormat="1" applyFont="1" applyFill="1"/>
    <xf numFmtId="0" fontId="14" fillId="12" borderId="2" xfId="0" applyFont="1" applyFill="1" applyBorder="1" applyAlignment="1">
      <alignment horizontal="center" vertical="center"/>
    </xf>
    <xf numFmtId="0" fontId="65" fillId="0" borderId="0" xfId="0" applyFont="1"/>
    <xf numFmtId="44" fontId="65" fillId="0" borderId="0" xfId="2" applyFont="1"/>
    <xf numFmtId="44" fontId="29" fillId="9" borderId="1" xfId="2" applyFont="1" applyFill="1" applyBorder="1"/>
    <xf numFmtId="165" fontId="3" fillId="9" borderId="2" xfId="2" applyNumberFormat="1" applyFont="1" applyFill="1" applyBorder="1"/>
    <xf numFmtId="0" fontId="31" fillId="16" borderId="1" xfId="0" applyFont="1" applyFill="1" applyBorder="1" applyAlignment="1">
      <alignment horizontal="center" vertical="center"/>
    </xf>
    <xf numFmtId="0" fontId="29" fillId="53" borderId="1" xfId="0" applyFont="1" applyFill="1" applyBorder="1" applyAlignment="1">
      <alignment wrapText="1"/>
    </xf>
    <xf numFmtId="0" fontId="14" fillId="53" borderId="1" xfId="0" applyFont="1" applyFill="1" applyBorder="1" applyAlignment="1">
      <alignment wrapText="1"/>
    </xf>
    <xf numFmtId="0" fontId="0" fillId="0" borderId="2" xfId="0" applyBorder="1" applyAlignment="1">
      <alignment wrapText="1"/>
    </xf>
    <xf numFmtId="44" fontId="14" fillId="35" borderId="1" xfId="2" applyFont="1" applyFill="1" applyBorder="1"/>
    <xf numFmtId="165" fontId="29" fillId="16" borderId="1" xfId="2" applyNumberFormat="1" applyFont="1" applyFill="1" applyBorder="1"/>
    <xf numFmtId="165" fontId="14" fillId="9" borderId="1" xfId="2" applyNumberFormat="1" applyFont="1" applyFill="1" applyBorder="1"/>
    <xf numFmtId="0" fontId="0" fillId="16" borderId="1" xfId="0" applyFill="1" applyBorder="1" applyAlignment="1">
      <alignment horizontal="center" vertical="center"/>
    </xf>
    <xf numFmtId="165" fontId="15" fillId="41" borderId="28" xfId="2" applyNumberFormat="1" applyFont="1" applyFill="1" applyBorder="1" applyAlignment="1" applyProtection="1">
      <alignment horizontal="center" vertical="center"/>
      <protection locked="0"/>
    </xf>
    <xf numFmtId="165" fontId="15" fillId="41" borderId="54" xfId="2" applyNumberFormat="1" applyFont="1" applyFill="1" applyBorder="1" applyAlignment="1" applyProtection="1">
      <alignment horizontal="center" vertical="center"/>
      <protection locked="0"/>
    </xf>
    <xf numFmtId="44" fontId="65" fillId="9" borderId="2" xfId="2" applyFont="1" applyFill="1" applyBorder="1"/>
    <xf numFmtId="44" fontId="29" fillId="21" borderId="1" xfId="2" applyFont="1" applyFill="1" applyBorder="1"/>
    <xf numFmtId="165" fontId="29" fillId="21" borderId="1" xfId="0" applyNumberFormat="1" applyFont="1" applyFill="1" applyBorder="1"/>
    <xf numFmtId="9" fontId="29" fillId="0" borderId="0" xfId="6" applyFont="1" applyAlignment="1">
      <alignment horizontal="center"/>
    </xf>
    <xf numFmtId="0" fontId="29" fillId="0" borderId="0" xfId="6" applyNumberFormat="1" applyFont="1" applyAlignment="1">
      <alignment horizontal="center"/>
    </xf>
    <xf numFmtId="0" fontId="0" fillId="9" borderId="1" xfId="0" applyFill="1" applyBorder="1"/>
    <xf numFmtId="165" fontId="14" fillId="12" borderId="2" xfId="0" applyNumberFormat="1" applyFont="1" applyFill="1" applyBorder="1"/>
    <xf numFmtId="165" fontId="14" fillId="12" borderId="1" xfId="2" applyNumberFormat="1" applyFont="1" applyFill="1" applyBorder="1"/>
    <xf numFmtId="0" fontId="66" fillId="47" borderId="1" xfId="0" applyFont="1" applyFill="1" applyBorder="1" applyAlignment="1">
      <alignment wrapText="1"/>
    </xf>
    <xf numFmtId="0" fontId="15" fillId="39" borderId="30" xfId="0" applyFont="1" applyFill="1" applyBorder="1" applyAlignment="1" applyProtection="1">
      <alignment horizontal="center" vertical="center" wrapText="1"/>
      <protection locked="0"/>
    </xf>
    <xf numFmtId="0" fontId="14" fillId="53" borderId="2" xfId="0" applyFont="1" applyFill="1" applyBorder="1" applyAlignment="1">
      <alignment horizontal="center" vertical="center"/>
    </xf>
    <xf numFmtId="44" fontId="29" fillId="9" borderId="0" xfId="2" applyFont="1" applyFill="1"/>
    <xf numFmtId="0" fontId="3" fillId="50" borderId="1" xfId="0" applyFont="1" applyFill="1" applyBorder="1" applyAlignment="1">
      <alignment horizontal="center"/>
    </xf>
    <xf numFmtId="9" fontId="0" fillId="0" borderId="1" xfId="6" applyFont="1" applyBorder="1"/>
    <xf numFmtId="0" fontId="3" fillId="0" borderId="1" xfId="0" applyFont="1" applyBorder="1" applyAlignment="1">
      <alignment wrapText="1"/>
    </xf>
    <xf numFmtId="9" fontId="3" fillId="0" borderId="1" xfId="6" applyFont="1" applyBorder="1"/>
    <xf numFmtId="9" fontId="3" fillId="0" borderId="1" xfId="0" applyNumberFormat="1" applyFont="1" applyBorder="1"/>
    <xf numFmtId="9" fontId="1" fillId="0" borderId="1" xfId="6" applyFont="1" applyBorder="1"/>
    <xf numFmtId="9" fontId="3" fillId="0" borderId="4" xfId="6" applyFont="1" applyBorder="1"/>
    <xf numFmtId="0" fontId="67" fillId="0" borderId="1" xfId="0" applyFont="1" applyBorder="1" applyAlignment="1">
      <alignment wrapText="1"/>
    </xf>
    <xf numFmtId="9" fontId="1" fillId="0" borderId="4" xfId="6" applyFont="1" applyBorder="1"/>
    <xf numFmtId="10" fontId="0" fillId="3" borderId="1" xfId="6" applyNumberFormat="1" applyFont="1" applyFill="1" applyBorder="1"/>
    <xf numFmtId="9" fontId="0" fillId="3" borderId="1" xfId="6" applyFont="1" applyFill="1" applyBorder="1"/>
    <xf numFmtId="0" fontId="0" fillId="47" borderId="1" xfId="0" applyFill="1" applyBorder="1" applyAlignment="1">
      <alignment horizontal="center" vertical="center"/>
    </xf>
    <xf numFmtId="1" fontId="29" fillId="4" borderId="1" xfId="0" applyNumberFormat="1" applyFont="1" applyFill="1" applyBorder="1"/>
    <xf numFmtId="1" fontId="0" fillId="0" borderId="1" xfId="0" applyNumberFormat="1" applyBorder="1" applyAlignment="1">
      <alignment horizontal="center" vertical="center"/>
    </xf>
    <xf numFmtId="0" fontId="68" fillId="48" borderId="1" xfId="0" applyFont="1" applyFill="1" applyBorder="1"/>
    <xf numFmtId="0" fontId="66" fillId="0" borderId="0" xfId="0" applyFont="1" applyAlignment="1">
      <alignment horizontal="center"/>
    </xf>
    <xf numFmtId="168" fontId="0" fillId="4" borderId="27" xfId="7" applyNumberFormat="1" applyFont="1" applyFill="1" applyBorder="1"/>
    <xf numFmtId="0" fontId="14" fillId="12" borderId="6" xfId="0" applyFont="1" applyFill="1" applyBorder="1" applyAlignment="1">
      <alignment horizontal="center" vertical="center" wrapText="1"/>
    </xf>
    <xf numFmtId="0" fontId="20" fillId="0" borderId="0" xfId="0" applyFont="1" applyAlignment="1">
      <alignment wrapText="1"/>
    </xf>
    <xf numFmtId="168" fontId="0" fillId="0" borderId="0" xfId="7" applyNumberFormat="1" applyFont="1" applyFill="1" applyBorder="1"/>
    <xf numFmtId="0" fontId="0" fillId="21" borderId="6" xfId="0" applyFill="1" applyBorder="1"/>
    <xf numFmtId="0" fontId="72" fillId="0" borderId="0" xfId="0" applyFont="1" applyAlignment="1">
      <alignment horizontal="center"/>
    </xf>
    <xf numFmtId="0" fontId="0" fillId="0" borderId="6" xfId="0" applyBorder="1"/>
    <xf numFmtId="0" fontId="0" fillId="0" borderId="6" xfId="0" applyBorder="1" applyAlignment="1">
      <alignment wrapText="1"/>
    </xf>
    <xf numFmtId="0" fontId="3" fillId="9" borderId="6" xfId="0" applyFont="1" applyFill="1" applyBorder="1"/>
    <xf numFmtId="0" fontId="0" fillId="46" borderId="58" xfId="0" applyFill="1" applyBorder="1"/>
    <xf numFmtId="0" fontId="0" fillId="46" borderId="0" xfId="0" applyFill="1"/>
    <xf numFmtId="0" fontId="0" fillId="46" borderId="38" xfId="0" applyFill="1" applyBorder="1"/>
    <xf numFmtId="0" fontId="0" fillId="46" borderId="40" xfId="0" applyFill="1" applyBorder="1"/>
    <xf numFmtId="0" fontId="0" fillId="46" borderId="53" xfId="0" applyFill="1" applyBorder="1"/>
    <xf numFmtId="0" fontId="0" fillId="46" borderId="10" xfId="0" applyFill="1" applyBorder="1"/>
    <xf numFmtId="0" fontId="0" fillId="47" borderId="58" xfId="0" applyFill="1" applyBorder="1"/>
    <xf numFmtId="0" fontId="0" fillId="47" borderId="0" xfId="0" applyFill="1"/>
    <xf numFmtId="0" fontId="0" fillId="47" borderId="38" xfId="0" applyFill="1" applyBorder="1"/>
    <xf numFmtId="0" fontId="0" fillId="47" borderId="40" xfId="0" applyFill="1" applyBorder="1"/>
    <xf numFmtId="0" fontId="0" fillId="47" borderId="53" xfId="0" applyFill="1" applyBorder="1"/>
    <xf numFmtId="0" fontId="0" fillId="47" borderId="10" xfId="0" applyFill="1" applyBorder="1"/>
    <xf numFmtId="0" fontId="0" fillId="16" borderId="58" xfId="0" applyFill="1" applyBorder="1"/>
    <xf numFmtId="0" fontId="0" fillId="16" borderId="0" xfId="0" applyFill="1"/>
    <xf numFmtId="17" fontId="0" fillId="16" borderId="0" xfId="0" applyNumberFormat="1" applyFill="1"/>
    <xf numFmtId="0" fontId="0" fillId="16" borderId="38" xfId="0" applyFill="1" applyBorder="1"/>
    <xf numFmtId="0" fontId="0" fillId="16" borderId="40" xfId="0" applyFill="1" applyBorder="1"/>
    <xf numFmtId="0" fontId="0" fillId="16" borderId="53" xfId="0" applyFill="1" applyBorder="1"/>
    <xf numFmtId="0" fontId="0" fillId="16" borderId="10" xfId="0" applyFill="1" applyBorder="1"/>
    <xf numFmtId="0" fontId="70" fillId="0" borderId="0" xfId="0" applyFont="1" applyAlignment="1">
      <alignment horizontal="center"/>
    </xf>
    <xf numFmtId="0" fontId="73" fillId="16" borderId="1" xfId="0" applyFont="1" applyFill="1" applyBorder="1" applyAlignment="1">
      <alignment horizontal="left" vertical="center"/>
    </xf>
    <xf numFmtId="165" fontId="29" fillId="32" borderId="2" xfId="2" applyNumberFormat="1" applyFont="1" applyFill="1" applyBorder="1"/>
    <xf numFmtId="1" fontId="5" fillId="6" borderId="1" xfId="0" applyNumberFormat="1" applyFont="1" applyFill="1" applyBorder="1" applyAlignment="1">
      <alignment horizontal="center" vertical="center"/>
    </xf>
    <xf numFmtId="1" fontId="0" fillId="14" borderId="1" xfId="0" applyNumberFormat="1" applyFill="1" applyBorder="1"/>
    <xf numFmtId="1" fontId="3" fillId="9" borderId="1" xfId="0" applyNumberFormat="1" applyFont="1" applyFill="1" applyBorder="1"/>
    <xf numFmtId="0" fontId="14" fillId="11" borderId="1" xfId="0" applyFont="1" applyFill="1" applyBorder="1" applyAlignment="1">
      <alignment horizontal="center" vertical="center"/>
    </xf>
    <xf numFmtId="0" fontId="29" fillId="0" borderId="0" xfId="0" applyFont="1" applyAlignment="1">
      <alignment horizontal="center"/>
    </xf>
    <xf numFmtId="0" fontId="29" fillId="0" borderId="0" xfId="0" applyFont="1" applyAlignment="1">
      <alignment horizontal="center" wrapText="1"/>
    </xf>
    <xf numFmtId="0" fontId="29" fillId="16" borderId="60" xfId="0" applyFont="1" applyFill="1" applyBorder="1" applyAlignment="1">
      <alignment horizontal="center"/>
    </xf>
    <xf numFmtId="0" fontId="29" fillId="4" borderId="1" xfId="0" applyFont="1" applyFill="1" applyBorder="1" applyAlignment="1">
      <alignment horizontal="center" wrapText="1"/>
    </xf>
    <xf numFmtId="0" fontId="29" fillId="16" borderId="56" xfId="0" applyFont="1" applyFill="1" applyBorder="1" applyAlignment="1">
      <alignment horizontal="center"/>
    </xf>
    <xf numFmtId="1" fontId="14" fillId="53" borderId="1" xfId="0" applyNumberFormat="1" applyFont="1" applyFill="1" applyBorder="1" applyAlignment="1">
      <alignment horizontal="center"/>
    </xf>
    <xf numFmtId="171" fontId="0" fillId="0" borderId="0" xfId="0" applyNumberFormat="1"/>
    <xf numFmtId="0" fontId="2" fillId="0" borderId="1" xfId="0" applyFont="1" applyBorder="1" applyAlignment="1">
      <alignment wrapText="1"/>
    </xf>
    <xf numFmtId="0" fontId="0" fillId="0" borderId="3" xfId="0" applyBorder="1" applyAlignment="1">
      <alignment wrapText="1"/>
    </xf>
    <xf numFmtId="0" fontId="3" fillId="0" borderId="3" xfId="0" applyFont="1" applyBorder="1" applyAlignment="1">
      <alignment wrapText="1"/>
    </xf>
    <xf numFmtId="16" fontId="0" fillId="0" borderId="0" xfId="0" applyNumberFormat="1"/>
    <xf numFmtId="177" fontId="2" fillId="0" borderId="1" xfId="6" applyNumberFormat="1" applyFont="1" applyBorder="1"/>
    <xf numFmtId="0" fontId="45" fillId="0" borderId="1" xfId="0" applyFont="1" applyBorder="1" applyAlignment="1">
      <alignment wrapText="1"/>
    </xf>
    <xf numFmtId="177" fontId="45" fillId="0" borderId="1" xfId="6" applyNumberFormat="1" applyFont="1" applyBorder="1"/>
    <xf numFmtId="9" fontId="2" fillId="0" borderId="1" xfId="6" applyFont="1" applyBorder="1"/>
    <xf numFmtId="9" fontId="29" fillId="0" borderId="0" xfId="6" applyFont="1"/>
    <xf numFmtId="0" fontId="3" fillId="0" borderId="2" xfId="0" applyFont="1" applyBorder="1" applyAlignment="1">
      <alignment wrapText="1"/>
    </xf>
    <xf numFmtId="9" fontId="20" fillId="0" borderId="0" xfId="0" applyNumberFormat="1" applyFont="1"/>
    <xf numFmtId="44" fontId="20" fillId="0" borderId="0" xfId="2" applyFont="1"/>
    <xf numFmtId="165" fontId="20" fillId="0" borderId="0" xfId="2" applyNumberFormat="1" applyFont="1"/>
    <xf numFmtId="44" fontId="20" fillId="0" borderId="0" xfId="0" applyNumberFormat="1" applyFont="1"/>
    <xf numFmtId="0" fontId="0" fillId="0" borderId="27" xfId="0" applyBorder="1"/>
    <xf numFmtId="0" fontId="71" fillId="0" borderId="0" xfId="0" applyFont="1" applyAlignment="1">
      <alignment horizontal="center"/>
    </xf>
    <xf numFmtId="44" fontId="8" fillId="34" borderId="0" xfId="2" applyFont="1" applyFill="1" applyAlignment="1">
      <alignment vertical="center"/>
    </xf>
    <xf numFmtId="0" fontId="0" fillId="19" borderId="0" xfId="0" applyFill="1"/>
    <xf numFmtId="0" fontId="0" fillId="19" borderId="1" xfId="0" applyFill="1" applyBorder="1"/>
    <xf numFmtId="165" fontId="0" fillId="19" borderId="1" xfId="2" applyNumberFormat="1" applyFont="1" applyFill="1" applyBorder="1"/>
    <xf numFmtId="168" fontId="0" fillId="19" borderId="1" xfId="7" applyNumberFormat="1" applyFont="1" applyFill="1" applyBorder="1"/>
    <xf numFmtId="168" fontId="3" fillId="19" borderId="1" xfId="7" applyNumberFormat="1" applyFont="1" applyFill="1" applyBorder="1"/>
    <xf numFmtId="168" fontId="0" fillId="19" borderId="1" xfId="0" applyNumberFormat="1" applyFill="1" applyBorder="1"/>
    <xf numFmtId="168" fontId="66" fillId="0" borderId="0" xfId="0" applyNumberFormat="1" applyFont="1" applyAlignment="1">
      <alignment horizontal="center"/>
    </xf>
    <xf numFmtId="46" fontId="0" fillId="0" borderId="0" xfId="0" applyNumberFormat="1" applyAlignment="1">
      <alignment vertical="center"/>
    </xf>
    <xf numFmtId="43" fontId="66" fillId="0" borderId="0" xfId="5" applyFont="1" applyAlignment="1">
      <alignment horizontal="center"/>
    </xf>
    <xf numFmtId="0" fontId="15" fillId="41" borderId="61" xfId="0" applyFont="1" applyFill="1" applyBorder="1" applyAlignment="1" applyProtection="1">
      <alignment horizontal="center" vertical="center"/>
      <protection locked="0"/>
    </xf>
    <xf numFmtId="0" fontId="69" fillId="49" borderId="0" xfId="0" applyFont="1" applyFill="1" applyAlignment="1">
      <alignment horizontal="center"/>
    </xf>
    <xf numFmtId="1" fontId="29" fillId="4" borderId="0" xfId="0" applyNumberFormat="1" applyFont="1" applyFill="1"/>
    <xf numFmtId="173" fontId="33" fillId="26" borderId="0" xfId="11" applyNumberFormat="1" applyFont="1" applyFill="1" applyAlignment="1">
      <alignment vertical="center"/>
    </xf>
    <xf numFmtId="173" fontId="33" fillId="0" borderId="0" xfId="11" applyNumberFormat="1" applyFont="1" applyFill="1" applyAlignment="1">
      <alignment vertical="center"/>
    </xf>
    <xf numFmtId="173" fontId="33" fillId="26" borderId="0" xfId="11" applyNumberFormat="1" applyFont="1" applyFill="1" applyAlignment="1">
      <alignment horizontal="center" vertical="center"/>
    </xf>
    <xf numFmtId="173" fontId="76" fillId="0" borderId="0" xfId="11" applyNumberFormat="1" applyFont="1" applyFill="1" applyAlignment="1">
      <alignment vertical="center"/>
    </xf>
    <xf numFmtId="173" fontId="33" fillId="0" borderId="0" xfId="11" applyNumberFormat="1" applyFont="1" applyFill="1"/>
    <xf numFmtId="173" fontId="33" fillId="26" borderId="63" xfId="11" applyNumberFormat="1" applyFont="1" applyFill="1" applyBorder="1"/>
    <xf numFmtId="173" fontId="33" fillId="0" borderId="63" xfId="12" applyNumberFormat="1" applyFont="1" applyBorder="1" applyAlignment="1">
      <alignment vertical="center"/>
    </xf>
    <xf numFmtId="173" fontId="33" fillId="0" borderId="63" xfId="11" applyNumberFormat="1" applyFont="1" applyBorder="1"/>
    <xf numFmtId="173" fontId="33" fillId="26" borderId="66" xfId="12" applyNumberFormat="1" applyFont="1" applyFill="1" applyBorder="1" applyAlignment="1">
      <alignment vertical="center"/>
    </xf>
    <xf numFmtId="173" fontId="77" fillId="0" borderId="0" xfId="11" applyNumberFormat="1" applyFont="1" applyFill="1" applyAlignment="1">
      <alignment vertical="center"/>
    </xf>
    <xf numFmtId="173" fontId="33" fillId="26" borderId="63" xfId="11" applyNumberFormat="1" applyFont="1" applyFill="1" applyBorder="1" applyAlignment="1">
      <alignment vertical="center"/>
    </xf>
    <xf numFmtId="173" fontId="33" fillId="0" borderId="63" xfId="11" applyNumberFormat="1" applyFont="1" applyBorder="1" applyAlignment="1">
      <alignment vertical="center"/>
    </xf>
    <xf numFmtId="173" fontId="33" fillId="26" borderId="63" xfId="12" applyNumberFormat="1" applyFont="1" applyFill="1" applyBorder="1" applyAlignment="1">
      <alignment vertical="center"/>
    </xf>
    <xf numFmtId="173" fontId="76" fillId="26" borderId="66" xfId="12" applyNumberFormat="1" applyFont="1" applyFill="1" applyBorder="1" applyAlignment="1">
      <alignment vertical="center"/>
    </xf>
    <xf numFmtId="173" fontId="76" fillId="26" borderId="63" xfId="11" applyNumberFormat="1" applyFont="1" applyFill="1" applyBorder="1" applyAlignment="1">
      <alignment vertical="center"/>
    </xf>
    <xf numFmtId="173" fontId="76" fillId="26" borderId="63" xfId="11" applyNumberFormat="1" applyFont="1" applyFill="1" applyBorder="1" applyAlignment="1">
      <alignment horizontal="center" vertical="center"/>
    </xf>
    <xf numFmtId="173" fontId="76" fillId="26" borderId="62" xfId="13" applyNumberFormat="1" applyFont="1" applyFill="1" applyBorder="1" applyAlignment="1">
      <alignment vertical="center"/>
    </xf>
    <xf numFmtId="181" fontId="76" fillId="26" borderId="63" xfId="11" applyNumberFormat="1" applyFont="1" applyFill="1" applyBorder="1" applyAlignment="1">
      <alignment horizontal="center" vertical="center"/>
    </xf>
    <xf numFmtId="168" fontId="76" fillId="0" borderId="64" xfId="7" applyNumberFormat="1" applyFont="1" applyBorder="1"/>
    <xf numFmtId="173" fontId="33" fillId="26" borderId="63" xfId="11" applyNumberFormat="1" applyFont="1" applyFill="1" applyBorder="1" applyAlignment="1">
      <alignment horizontal="center"/>
    </xf>
    <xf numFmtId="168" fontId="76" fillId="0" borderId="64" xfId="7" applyNumberFormat="1" applyFont="1" applyFill="1" applyBorder="1"/>
    <xf numFmtId="173" fontId="76" fillId="0" borderId="0" xfId="11" applyNumberFormat="1" applyFont="1" applyFill="1"/>
    <xf numFmtId="173" fontId="33" fillId="26" borderId="58" xfId="11" applyNumberFormat="1" applyFont="1" applyFill="1" applyBorder="1" applyAlignment="1">
      <alignment vertical="center"/>
    </xf>
    <xf numFmtId="173" fontId="33" fillId="26" borderId="38" xfId="11" applyNumberFormat="1" applyFont="1" applyFill="1" applyBorder="1" applyAlignment="1">
      <alignment vertical="center"/>
    </xf>
    <xf numFmtId="173" fontId="75" fillId="26" borderId="21" xfId="11" applyNumberFormat="1" applyFont="1" applyFill="1" applyBorder="1" applyAlignment="1">
      <alignment horizontal="center" vertical="center"/>
    </xf>
    <xf numFmtId="173" fontId="75" fillId="26" borderId="0" xfId="11" applyNumberFormat="1" applyFont="1" applyFill="1" applyAlignment="1">
      <alignment horizontal="center" vertical="center"/>
    </xf>
    <xf numFmtId="173" fontId="33" fillId="26" borderId="20" xfId="11" applyNumberFormat="1" applyFont="1" applyFill="1" applyBorder="1" applyAlignment="1">
      <alignment vertical="center"/>
    </xf>
    <xf numFmtId="173" fontId="33" fillId="26" borderId="21" xfId="11" applyNumberFormat="1" applyFont="1" applyFill="1" applyBorder="1" applyAlignment="1">
      <alignment horizontal="center" vertical="center"/>
    </xf>
    <xf numFmtId="173" fontId="33" fillId="0" borderId="8" xfId="11" applyNumberFormat="1" applyFont="1" applyBorder="1" applyAlignment="1">
      <alignment vertical="center"/>
    </xf>
    <xf numFmtId="173" fontId="75" fillId="0" borderId="0" xfId="11" applyNumberFormat="1" applyFont="1" applyFill="1" applyAlignment="1">
      <alignment vertical="center"/>
    </xf>
    <xf numFmtId="173" fontId="75" fillId="0" borderId="0" xfId="11" applyNumberFormat="1" applyFont="1" applyFill="1" applyBorder="1" applyAlignment="1">
      <alignment vertical="center"/>
    </xf>
    <xf numFmtId="173" fontId="75" fillId="0" borderId="58" xfId="11" applyNumberFormat="1" applyFont="1" applyFill="1" applyBorder="1" applyAlignment="1">
      <alignment vertical="center"/>
    </xf>
    <xf numFmtId="173" fontId="75" fillId="0" borderId="0" xfId="11" applyNumberFormat="1" applyFont="1" applyFill="1" applyBorder="1" applyAlignment="1">
      <alignment horizontal="center" vertical="center"/>
    </xf>
    <xf numFmtId="173" fontId="80" fillId="0" borderId="0" xfId="12" applyNumberFormat="1" applyFont="1" applyFill="1" applyAlignment="1">
      <alignment vertical="center"/>
    </xf>
    <xf numFmtId="173" fontId="76" fillId="0" borderId="0" xfId="12" applyNumberFormat="1" applyFont="1" applyFill="1" applyAlignment="1">
      <alignment vertical="center"/>
    </xf>
    <xf numFmtId="173" fontId="78" fillId="26" borderId="58" xfId="12" applyNumberFormat="1" applyFont="1" applyFill="1" applyBorder="1" applyAlignment="1">
      <alignment vertical="center"/>
    </xf>
    <xf numFmtId="173" fontId="78" fillId="26" borderId="0" xfId="12" applyNumberFormat="1" applyFont="1" applyFill="1" applyAlignment="1">
      <alignment vertical="center"/>
    </xf>
    <xf numFmtId="173" fontId="76" fillId="0" borderId="0" xfId="11" applyNumberFormat="1" applyFont="1" applyFill="1" applyAlignment="1">
      <alignment horizontal="center" vertical="center"/>
    </xf>
    <xf numFmtId="3" fontId="15" fillId="26" borderId="28" xfId="0" applyNumberFormat="1" applyFont="1" applyFill="1" applyBorder="1" applyAlignment="1" applyProtection="1">
      <alignment horizontal="center" vertical="center"/>
      <protection hidden="1"/>
    </xf>
    <xf numFmtId="0" fontId="8" fillId="26" borderId="0" xfId="0" applyFont="1" applyFill="1" applyAlignment="1" applyProtection="1">
      <alignment horizontal="center" vertical="center"/>
      <protection locked="0"/>
    </xf>
    <xf numFmtId="0" fontId="15" fillId="0" borderId="0" xfId="0" applyFont="1" applyAlignment="1" applyProtection="1">
      <alignment horizontal="left" vertical="center" wrapText="1" indent="1"/>
      <protection locked="0"/>
    </xf>
    <xf numFmtId="6" fontId="0" fillId="0" borderId="0" xfId="0" applyNumberFormat="1"/>
    <xf numFmtId="6" fontId="5" fillId="0" borderId="0" xfId="0" applyNumberFormat="1" applyFont="1"/>
    <xf numFmtId="173" fontId="33" fillId="0" borderId="63" xfId="12" applyNumberFormat="1" applyFont="1" applyBorder="1" applyAlignment="1">
      <alignment vertical="center" wrapText="1"/>
    </xf>
    <xf numFmtId="173" fontId="33" fillId="26" borderId="0" xfId="11" applyNumberFormat="1" applyFont="1" applyFill="1"/>
    <xf numFmtId="173" fontId="76" fillId="0" borderId="62" xfId="11" applyNumberFormat="1" applyFont="1" applyBorder="1"/>
    <xf numFmtId="173" fontId="76" fillId="0" borderId="63" xfId="11" applyNumberFormat="1" applyFont="1" applyFill="1" applyBorder="1" applyAlignment="1">
      <alignment horizontal="center" vertical="center"/>
    </xf>
    <xf numFmtId="173" fontId="75" fillId="26" borderId="1" xfId="11" applyNumberFormat="1" applyFont="1" applyFill="1" applyBorder="1" applyAlignment="1">
      <alignment vertical="center"/>
    </xf>
    <xf numFmtId="173" fontId="75" fillId="26" borderId="1" xfId="11" applyNumberFormat="1" applyFont="1" applyFill="1" applyBorder="1" applyAlignment="1">
      <alignment horizontal="center" vertical="center"/>
    </xf>
    <xf numFmtId="173" fontId="75" fillId="10" borderId="1" xfId="11" applyNumberFormat="1" applyFont="1" applyFill="1" applyBorder="1" applyAlignment="1">
      <alignment vertical="center"/>
    </xf>
    <xf numFmtId="173" fontId="75" fillId="10" borderId="1" xfId="11" applyNumberFormat="1" applyFont="1" applyFill="1" applyBorder="1" applyAlignment="1">
      <alignment horizontal="center" vertical="center"/>
    </xf>
    <xf numFmtId="173" fontId="75" fillId="25" borderId="1" xfId="11" applyNumberFormat="1" applyFont="1" applyFill="1" applyBorder="1" applyAlignment="1">
      <alignment vertical="center"/>
    </xf>
    <xf numFmtId="173" fontId="75" fillId="25" borderId="1" xfId="11" applyNumberFormat="1" applyFont="1" applyFill="1" applyBorder="1" applyAlignment="1">
      <alignment horizontal="center" vertical="center"/>
    </xf>
    <xf numFmtId="173" fontId="76" fillId="26" borderId="0" xfId="11" applyNumberFormat="1" applyFont="1" applyFill="1" applyAlignment="1">
      <alignment vertical="center"/>
    </xf>
    <xf numFmtId="173" fontId="77" fillId="32" borderId="21" xfId="11" applyNumberFormat="1" applyFont="1" applyFill="1" applyBorder="1" applyAlignment="1">
      <alignment horizontal="center" vertical="center" wrapText="1"/>
    </xf>
    <xf numFmtId="173" fontId="77" fillId="32" borderId="8" xfId="11" applyNumberFormat="1" applyFont="1" applyFill="1" applyBorder="1" applyAlignment="1">
      <alignment horizontal="center" vertical="center" wrapText="1"/>
    </xf>
    <xf numFmtId="173" fontId="77" fillId="10" borderId="21" xfId="11" applyNumberFormat="1" applyFont="1" applyFill="1" applyBorder="1" applyAlignment="1">
      <alignment horizontal="center" vertical="center" wrapText="1"/>
    </xf>
    <xf numFmtId="173" fontId="77" fillId="10" borderId="8" xfId="11" applyNumberFormat="1" applyFont="1" applyFill="1" applyBorder="1" applyAlignment="1">
      <alignment horizontal="center" vertical="center" wrapText="1"/>
    </xf>
    <xf numFmtId="173" fontId="77" fillId="25" borderId="21" xfId="11" applyNumberFormat="1" applyFont="1" applyFill="1" applyBorder="1" applyAlignment="1">
      <alignment horizontal="center" vertical="center" wrapText="1"/>
    </xf>
    <xf numFmtId="173" fontId="76" fillId="0" borderId="0" xfId="11" applyNumberFormat="1" applyFont="1" applyFill="1" applyAlignment="1">
      <alignment horizontal="center" vertical="center" wrapText="1"/>
    </xf>
    <xf numFmtId="173" fontId="76" fillId="0" borderId="63" xfId="11" applyNumberFormat="1" applyFont="1" applyBorder="1" applyAlignment="1">
      <alignment vertical="center"/>
    </xf>
    <xf numFmtId="173" fontId="33" fillId="26" borderId="62" xfId="12" applyNumberFormat="1" applyFont="1" applyFill="1" applyBorder="1" applyAlignment="1">
      <alignment vertical="center"/>
    </xf>
    <xf numFmtId="181" fontId="76" fillId="0" borderId="63" xfId="11" applyNumberFormat="1" applyFont="1" applyBorder="1" applyAlignment="1">
      <alignment horizontal="center" vertical="center"/>
    </xf>
    <xf numFmtId="173" fontId="33" fillId="0" borderId="63" xfId="11" applyNumberFormat="1" applyFont="1" applyBorder="1" applyAlignment="1">
      <alignment horizontal="center" vertical="center"/>
    </xf>
    <xf numFmtId="173" fontId="33" fillId="0" borderId="63" xfId="11" applyNumberFormat="1" applyFont="1" applyFill="1" applyBorder="1" applyAlignment="1">
      <alignment horizontal="center" vertical="center"/>
    </xf>
    <xf numFmtId="173" fontId="75" fillId="50" borderId="20" xfId="11" applyNumberFormat="1" applyFont="1" applyFill="1" applyBorder="1"/>
    <xf numFmtId="173" fontId="75" fillId="50" borderId="21" xfId="11" applyNumberFormat="1" applyFont="1" applyFill="1" applyBorder="1"/>
    <xf numFmtId="173" fontId="75" fillId="50" borderId="21" xfId="11" applyNumberFormat="1" applyFont="1" applyFill="1" applyBorder="1" applyAlignment="1">
      <alignment horizontal="center"/>
    </xf>
    <xf numFmtId="168" fontId="75" fillId="50" borderId="8" xfId="7" applyNumberFormat="1" applyFont="1" applyFill="1" applyBorder="1"/>
    <xf numFmtId="173" fontId="75" fillId="41" borderId="20" xfId="11" applyNumberFormat="1" applyFont="1" applyFill="1" applyBorder="1" applyAlignment="1">
      <alignment vertical="center"/>
    </xf>
    <xf numFmtId="173" fontId="75" fillId="41" borderId="21" xfId="11" applyNumberFormat="1" applyFont="1" applyFill="1" applyBorder="1" applyAlignment="1">
      <alignment vertical="center"/>
    </xf>
    <xf numFmtId="173" fontId="75" fillId="41" borderId="21" xfId="11" applyNumberFormat="1" applyFont="1" applyFill="1" applyBorder="1" applyAlignment="1">
      <alignment horizontal="center" vertical="center"/>
    </xf>
    <xf numFmtId="168" fontId="75" fillId="41" borderId="8" xfId="7" applyNumberFormat="1" applyFont="1" applyFill="1" applyBorder="1" applyAlignment="1">
      <alignment vertical="center"/>
    </xf>
    <xf numFmtId="173" fontId="76" fillId="26" borderId="1" xfId="11" applyNumberFormat="1" applyFont="1" applyFill="1" applyBorder="1" applyAlignment="1">
      <alignment vertical="center"/>
    </xf>
    <xf numFmtId="168" fontId="75" fillId="0" borderId="38" xfId="7" applyNumberFormat="1" applyFont="1" applyFill="1" applyBorder="1" applyAlignment="1">
      <alignment vertical="center"/>
    </xf>
    <xf numFmtId="173" fontId="33" fillId="26" borderId="63" xfId="12" applyNumberFormat="1" applyFont="1" applyFill="1" applyBorder="1" applyAlignment="1">
      <alignment horizontal="center" vertical="center"/>
    </xf>
    <xf numFmtId="173" fontId="33" fillId="26" borderId="64" xfId="12" applyNumberFormat="1" applyFont="1" applyFill="1" applyBorder="1" applyAlignment="1">
      <alignment vertical="center"/>
    </xf>
    <xf numFmtId="173" fontId="33" fillId="26" borderId="66" xfId="12" applyNumberFormat="1" applyFont="1" applyFill="1" applyBorder="1" applyAlignment="1">
      <alignment horizontal="center" vertical="center"/>
    </xf>
    <xf numFmtId="173" fontId="76" fillId="26" borderId="65" xfId="12" applyNumberFormat="1" applyFont="1" applyFill="1" applyBorder="1" applyAlignment="1">
      <alignment vertical="center"/>
    </xf>
    <xf numFmtId="173" fontId="33" fillId="26" borderId="67" xfId="12" applyNumberFormat="1" applyFont="1" applyFill="1" applyBorder="1" applyAlignment="1">
      <alignment vertical="center"/>
    </xf>
    <xf numFmtId="173" fontId="33" fillId="11" borderId="64" xfId="12" applyNumberFormat="1" applyFont="1" applyFill="1" applyBorder="1" applyAlignment="1">
      <alignment vertical="center"/>
    </xf>
    <xf numFmtId="43" fontId="75" fillId="26" borderId="0" xfId="12" applyFont="1" applyFill="1" applyAlignment="1">
      <alignment horizontal="center" vertical="center"/>
    </xf>
    <xf numFmtId="43" fontId="33" fillId="26" borderId="0" xfId="12" applyFont="1" applyFill="1" applyAlignment="1">
      <alignment horizontal="center" vertical="center"/>
    </xf>
    <xf numFmtId="173" fontId="78" fillId="25" borderId="0" xfId="12" applyNumberFormat="1" applyFont="1" applyFill="1" applyAlignment="1">
      <alignment vertical="center"/>
    </xf>
    <xf numFmtId="173" fontId="76" fillId="26" borderId="1" xfId="12" applyNumberFormat="1" applyFont="1" applyFill="1" applyBorder="1" applyAlignment="1">
      <alignment vertical="center"/>
    </xf>
    <xf numFmtId="173" fontId="76" fillId="0" borderId="1" xfId="12" applyNumberFormat="1" applyFont="1" applyBorder="1" applyAlignment="1">
      <alignment vertical="center"/>
    </xf>
    <xf numFmtId="173" fontId="76" fillId="0" borderId="1" xfId="11" applyNumberFormat="1" applyFont="1" applyFill="1" applyBorder="1" applyAlignment="1">
      <alignment vertical="center"/>
    </xf>
    <xf numFmtId="173" fontId="76" fillId="0" borderId="1" xfId="11" applyNumberFormat="1" applyFont="1" applyFill="1" applyBorder="1" applyAlignment="1">
      <alignment horizontal="center" vertical="center"/>
    </xf>
    <xf numFmtId="173" fontId="77" fillId="47" borderId="21" xfId="11" applyNumberFormat="1" applyFont="1" applyFill="1" applyBorder="1" applyAlignment="1">
      <alignment horizontal="center" vertical="center" wrapText="1"/>
    </xf>
    <xf numFmtId="173" fontId="77" fillId="47" borderId="20" xfId="11" applyNumberFormat="1" applyFont="1" applyFill="1" applyBorder="1" applyAlignment="1">
      <alignment horizontal="center" vertical="center" wrapText="1"/>
    </xf>
    <xf numFmtId="173" fontId="75" fillId="47" borderId="21" xfId="12" applyNumberFormat="1" applyFont="1" applyFill="1" applyBorder="1" applyAlignment="1">
      <alignment vertical="center"/>
    </xf>
    <xf numFmtId="173" fontId="75" fillId="47" borderId="20" xfId="12" applyNumberFormat="1" applyFont="1" applyFill="1" applyBorder="1" applyAlignment="1">
      <alignment vertical="center"/>
    </xf>
    <xf numFmtId="173" fontId="75" fillId="47" borderId="8" xfId="12" applyNumberFormat="1" applyFont="1" applyFill="1" applyBorder="1" applyAlignment="1">
      <alignment vertical="center"/>
    </xf>
    <xf numFmtId="0" fontId="3" fillId="0" borderId="1" xfId="0" applyFont="1" applyBorder="1" applyAlignment="1">
      <alignment horizontal="center" vertical="center"/>
    </xf>
    <xf numFmtId="0" fontId="77" fillId="0" borderId="1" xfId="0" applyFont="1" applyBorder="1" applyAlignment="1">
      <alignment horizontal="center" vertical="center"/>
    </xf>
    <xf numFmtId="0" fontId="83" fillId="0" borderId="1" xfId="0" applyFont="1" applyBorder="1" applyAlignment="1">
      <alignment horizontal="center"/>
    </xf>
    <xf numFmtId="0" fontId="84" fillId="0" borderId="0" xfId="0" applyFont="1"/>
    <xf numFmtId="0" fontId="85" fillId="0" borderId="1" xfId="0" applyFont="1" applyBorder="1" applyAlignment="1">
      <alignment horizontal="center" vertical="center"/>
    </xf>
    <xf numFmtId="0" fontId="86" fillId="25" borderId="1" xfId="0" applyFont="1" applyFill="1" applyBorder="1"/>
    <xf numFmtId="168" fontId="87" fillId="25" borderId="1" xfId="7" applyNumberFormat="1" applyFont="1" applyFill="1" applyBorder="1"/>
    <xf numFmtId="0" fontId="3" fillId="0" borderId="0" xfId="0" applyFont="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168" fontId="2" fillId="0" borderId="1" xfId="7" applyNumberFormat="1" applyFont="1" applyBorder="1" applyAlignment="1">
      <alignment horizontal="center" vertical="center"/>
    </xf>
    <xf numFmtId="168" fontId="0" fillId="0" borderId="1" xfId="7" applyNumberFormat="1" applyFont="1" applyBorder="1" applyAlignment="1">
      <alignment horizontal="center" vertical="center"/>
    </xf>
    <xf numFmtId="168" fontId="0" fillId="0" borderId="0" xfId="7" applyNumberFormat="1" applyFont="1" applyBorder="1" applyAlignment="1">
      <alignment horizontal="center" vertical="center"/>
    </xf>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3" fillId="0" borderId="1" xfId="0" applyFont="1" applyBorder="1" applyAlignment="1">
      <alignment horizontal="center"/>
    </xf>
    <xf numFmtId="9" fontId="3" fillId="0" borderId="1" xfId="0" applyNumberFormat="1" applyFont="1" applyBorder="1" applyAlignment="1">
      <alignment horizontal="center"/>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3" borderId="2" xfId="0" applyFont="1" applyFill="1" applyBorder="1" applyAlignment="1">
      <alignment horizontal="center" vertical="center" wrapText="1"/>
    </xf>
    <xf numFmtId="0" fontId="0" fillId="0" borderId="1" xfId="0" applyBorder="1" applyAlignment="1">
      <alignment horizontal="left" vertical="center" wrapText="1"/>
    </xf>
    <xf numFmtId="0" fontId="0" fillId="5" borderId="0" xfId="0" applyFill="1" applyAlignment="1">
      <alignment horizontal="center"/>
    </xf>
    <xf numFmtId="173" fontId="76" fillId="0" borderId="0" xfId="11" applyNumberFormat="1" applyFont="1" applyFill="1" applyBorder="1" applyAlignment="1">
      <alignment vertical="center"/>
    </xf>
    <xf numFmtId="173" fontId="33" fillId="0" borderId="0" xfId="11" applyNumberFormat="1" applyFont="1" applyFill="1" applyBorder="1" applyAlignment="1">
      <alignment horizontal="center" vertical="center"/>
    </xf>
    <xf numFmtId="173" fontId="76" fillId="0" borderId="0" xfId="11" applyNumberFormat="1" applyFont="1" applyFill="1" applyBorder="1" applyAlignment="1">
      <alignment horizontal="center" vertical="center" wrapText="1"/>
    </xf>
    <xf numFmtId="173" fontId="77" fillId="0" borderId="0" xfId="11" applyNumberFormat="1" applyFont="1" applyFill="1" applyBorder="1" applyAlignment="1">
      <alignment vertical="center"/>
    </xf>
    <xf numFmtId="173" fontId="33" fillId="0" borderId="0" xfId="11" applyNumberFormat="1" applyFont="1" applyFill="1" applyBorder="1"/>
    <xf numFmtId="9" fontId="75" fillId="0" borderId="0" xfId="6" applyFont="1" applyFill="1" applyBorder="1" applyAlignment="1">
      <alignment vertical="center"/>
    </xf>
    <xf numFmtId="173" fontId="33" fillId="0" borderId="0" xfId="11" applyNumberFormat="1" applyFont="1" applyFill="1" applyBorder="1" applyAlignment="1">
      <alignment vertical="center"/>
    </xf>
    <xf numFmtId="173" fontId="76" fillId="0" borderId="0" xfId="11" applyNumberFormat="1" applyFont="1" applyFill="1" applyBorder="1"/>
    <xf numFmtId="168" fontId="76" fillId="0" borderId="0" xfId="7" applyNumberFormat="1" applyFont="1" applyFill="1" applyBorder="1"/>
    <xf numFmtId="173" fontId="76" fillId="0" borderId="0" xfId="12" applyNumberFormat="1" applyFont="1" applyFill="1" applyBorder="1" applyAlignment="1">
      <alignment vertical="center"/>
    </xf>
    <xf numFmtId="168" fontId="76" fillId="0" borderId="63" xfId="7" applyNumberFormat="1" applyFont="1" applyFill="1" applyBorder="1"/>
    <xf numFmtId="168" fontId="75" fillId="50" borderId="21" xfId="7" applyNumberFormat="1" applyFont="1" applyFill="1" applyBorder="1"/>
    <xf numFmtId="173" fontId="33" fillId="26" borderId="0" xfId="11" applyNumberFormat="1" applyFont="1" applyFill="1" applyBorder="1" applyAlignment="1">
      <alignment vertical="center"/>
    </xf>
    <xf numFmtId="168" fontId="75" fillId="41" borderId="21" xfId="7" applyNumberFormat="1" applyFont="1" applyFill="1" applyBorder="1" applyAlignment="1">
      <alignment vertical="center"/>
    </xf>
    <xf numFmtId="173" fontId="33" fillId="0" borderId="21" xfId="11" applyNumberFormat="1" applyFont="1" applyBorder="1" applyAlignment="1">
      <alignment vertical="center"/>
    </xf>
    <xf numFmtId="168" fontId="75" fillId="0" borderId="0" xfId="7" applyNumberFormat="1" applyFont="1" applyFill="1" applyBorder="1" applyAlignment="1">
      <alignment vertical="center"/>
    </xf>
    <xf numFmtId="173" fontId="77" fillId="3" borderId="1" xfId="11" applyNumberFormat="1" applyFont="1" applyFill="1" applyBorder="1" applyAlignment="1">
      <alignment horizontal="center" vertical="center" wrapText="1"/>
    </xf>
    <xf numFmtId="173" fontId="33" fillId="26" borderId="1" xfId="11" applyNumberFormat="1" applyFont="1" applyFill="1" applyBorder="1"/>
    <xf numFmtId="173" fontId="33" fillId="0" borderId="1" xfId="11" applyNumberFormat="1" applyFont="1" applyBorder="1"/>
    <xf numFmtId="173" fontId="33" fillId="26" borderId="1" xfId="11" applyNumberFormat="1" applyFont="1" applyFill="1" applyBorder="1" applyAlignment="1">
      <alignment vertical="center"/>
    </xf>
    <xf numFmtId="173" fontId="82" fillId="26" borderId="1" xfId="11" applyNumberFormat="1" applyFont="1" applyFill="1" applyBorder="1" applyAlignment="1">
      <alignment vertical="center"/>
    </xf>
    <xf numFmtId="173" fontId="33" fillId="0" borderId="1" xfId="11" applyNumberFormat="1" applyFont="1" applyBorder="1" applyAlignment="1">
      <alignment vertical="center"/>
    </xf>
    <xf numFmtId="173" fontId="76" fillId="26" borderId="1" xfId="11" applyNumberFormat="1" applyFont="1" applyFill="1" applyBorder="1"/>
    <xf numFmtId="173" fontId="76" fillId="41" borderId="1" xfId="11" applyNumberFormat="1" applyFont="1" applyFill="1" applyBorder="1" applyAlignment="1">
      <alignment vertical="center"/>
    </xf>
    <xf numFmtId="173" fontId="80" fillId="26" borderId="1" xfId="12" applyNumberFormat="1" applyFont="1" applyFill="1" applyBorder="1" applyAlignment="1">
      <alignment vertical="center"/>
    </xf>
    <xf numFmtId="173" fontId="75" fillId="11" borderId="20" xfId="11" applyNumberFormat="1" applyFont="1" applyFill="1" applyBorder="1" applyAlignment="1">
      <alignment horizontal="center" vertical="center"/>
    </xf>
    <xf numFmtId="173" fontId="75" fillId="11" borderId="8" xfId="11" applyNumberFormat="1" applyFont="1" applyFill="1" applyBorder="1" applyAlignment="1">
      <alignment horizontal="center" vertical="center"/>
    </xf>
    <xf numFmtId="168" fontId="75" fillId="41" borderId="20" xfId="7" applyNumberFormat="1" applyFont="1" applyFill="1" applyBorder="1" applyAlignment="1">
      <alignment vertical="center"/>
    </xf>
    <xf numFmtId="173" fontId="33" fillId="0" borderId="20" xfId="11" applyNumberFormat="1" applyFont="1" applyBorder="1" applyAlignment="1">
      <alignment vertical="center"/>
    </xf>
    <xf numFmtId="168" fontId="75" fillId="0" borderId="58" xfId="7" applyNumberFormat="1" applyFont="1" applyFill="1" applyBorder="1" applyAlignment="1">
      <alignment vertical="center"/>
    </xf>
    <xf numFmtId="173" fontId="75" fillId="11" borderId="1" xfId="11" applyNumberFormat="1" applyFont="1" applyFill="1" applyBorder="1" applyAlignment="1">
      <alignment horizontal="left" vertical="center"/>
    </xf>
    <xf numFmtId="173" fontId="75" fillId="11" borderId="1" xfId="11" applyNumberFormat="1" applyFont="1" applyFill="1" applyBorder="1" applyAlignment="1">
      <alignment horizontal="center" vertical="center"/>
    </xf>
    <xf numFmtId="0" fontId="0" fillId="0" borderId="0" xfId="0" applyAlignment="1">
      <alignment horizontal="center" wrapText="1"/>
    </xf>
    <xf numFmtId="173" fontId="37" fillId="0" borderId="63" xfId="12" applyNumberFormat="1" applyFont="1" applyBorder="1" applyAlignment="1">
      <alignment vertical="center" wrapText="1"/>
    </xf>
    <xf numFmtId="0" fontId="29" fillId="0" borderId="0" xfId="0" applyFont="1" applyAlignment="1">
      <alignment horizontal="right"/>
    </xf>
    <xf numFmtId="0" fontId="71" fillId="0" borderId="1" xfId="0" applyFont="1" applyBorder="1" applyAlignment="1">
      <alignment horizontal="center"/>
    </xf>
    <xf numFmtId="0" fontId="3" fillId="0" borderId="5" xfId="0" applyFont="1" applyBorder="1" applyAlignment="1">
      <alignment horizontal="center" vertical="center" wrapText="1"/>
    </xf>
    <xf numFmtId="168" fontId="2" fillId="0" borderId="5" xfId="7" applyNumberFormat="1" applyFont="1" applyBorder="1" applyAlignment="1">
      <alignment horizontal="center" vertical="center"/>
    </xf>
    <xf numFmtId="168" fontId="0" fillId="0" borderId="5" xfId="7" applyNumberFormat="1" applyFont="1"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left" vertical="center"/>
    </xf>
    <xf numFmtId="168" fontId="3" fillId="0" borderId="1" xfId="0" applyNumberFormat="1" applyFont="1" applyBorder="1" applyAlignment="1">
      <alignment vertical="center" wrapText="1"/>
    </xf>
    <xf numFmtId="0" fontId="3" fillId="0" borderId="0" xfId="0" applyFont="1" applyAlignment="1">
      <alignment vertical="center" wrapText="1"/>
    </xf>
    <xf numFmtId="168" fontId="3" fillId="0" borderId="0" xfId="0" applyNumberFormat="1" applyFont="1" applyAlignment="1">
      <alignment vertical="center" wrapText="1"/>
    </xf>
    <xf numFmtId="0" fontId="3" fillId="3" borderId="32" xfId="0" applyFont="1" applyFill="1" applyBorder="1" applyAlignment="1">
      <alignment horizontal="center"/>
    </xf>
    <xf numFmtId="0" fontId="3" fillId="3" borderId="0" xfId="0" applyFont="1" applyFill="1" applyAlignment="1">
      <alignment horizontal="center"/>
    </xf>
    <xf numFmtId="0" fontId="0" fillId="0" borderId="32" xfId="0" applyBorder="1" applyAlignment="1">
      <alignment horizontal="center" wrapText="1"/>
    </xf>
    <xf numFmtId="44" fontId="3" fillId="0" borderId="1" xfId="2" applyFont="1" applyFill="1" applyBorder="1" applyAlignment="1">
      <alignment vertical="center" wrapText="1"/>
    </xf>
    <xf numFmtId="165" fontId="3" fillId="0" borderId="1" xfId="2" applyNumberFormat="1" applyFont="1" applyFill="1" applyBorder="1" applyAlignment="1">
      <alignment vertical="center" wrapText="1"/>
    </xf>
    <xf numFmtId="0" fontId="71" fillId="5" borderId="1" xfId="0" applyFont="1" applyFill="1" applyBorder="1" applyAlignment="1">
      <alignment horizontal="center"/>
    </xf>
    <xf numFmtId="173" fontId="79" fillId="5" borderId="1" xfId="11" applyNumberFormat="1" applyFont="1" applyFill="1" applyBorder="1" applyAlignment="1">
      <alignment horizontal="center" vertical="center" wrapText="1"/>
    </xf>
    <xf numFmtId="0" fontId="3" fillId="5" borderId="1" xfId="0" applyFont="1" applyFill="1" applyBorder="1" applyAlignment="1">
      <alignment vertical="center" wrapText="1"/>
    </xf>
    <xf numFmtId="173" fontId="76" fillId="54" borderId="63" xfId="11" applyNumberFormat="1" applyFont="1" applyFill="1" applyBorder="1" applyAlignment="1">
      <alignment horizontal="center" vertical="center"/>
    </xf>
    <xf numFmtId="165" fontId="3" fillId="0" borderId="6" xfId="2" applyNumberFormat="1" applyFont="1" applyFill="1" applyBorder="1" applyAlignment="1">
      <alignment vertical="center" wrapText="1"/>
    </xf>
    <xf numFmtId="173" fontId="82" fillId="19" borderId="62" xfId="11" applyNumberFormat="1" applyFont="1" applyFill="1" applyBorder="1" applyAlignment="1">
      <alignment vertical="center"/>
    </xf>
    <xf numFmtId="168" fontId="76" fillId="19" borderId="76" xfId="7" applyNumberFormat="1" applyFont="1" applyFill="1" applyBorder="1"/>
    <xf numFmtId="168" fontId="76" fillId="19" borderId="64" xfId="7" applyNumberFormat="1" applyFont="1" applyFill="1" applyBorder="1"/>
    <xf numFmtId="173" fontId="76" fillId="19" borderId="63" xfId="11" applyNumberFormat="1" applyFont="1" applyFill="1" applyBorder="1" applyAlignment="1">
      <alignment horizontal="center" vertical="center"/>
    </xf>
    <xf numFmtId="173" fontId="76" fillId="0" borderId="62" xfId="11" applyNumberFormat="1" applyFont="1" applyBorder="1" applyAlignment="1">
      <alignment vertical="center"/>
    </xf>
    <xf numFmtId="173" fontId="76" fillId="26" borderId="65" xfId="11" applyNumberFormat="1" applyFont="1" applyFill="1" applyBorder="1" applyAlignment="1">
      <alignment horizontal="center"/>
    </xf>
    <xf numFmtId="173" fontId="76" fillId="26" borderId="62" xfId="11" applyNumberFormat="1" applyFont="1" applyFill="1" applyBorder="1" applyAlignment="1">
      <alignment vertical="center"/>
    </xf>
    <xf numFmtId="173" fontId="33" fillId="19" borderId="63" xfId="11" applyNumberFormat="1" applyFont="1" applyFill="1" applyBorder="1" applyAlignment="1">
      <alignment horizontal="center" vertical="center"/>
    </xf>
    <xf numFmtId="173" fontId="76" fillId="19" borderId="65" xfId="12" applyNumberFormat="1" applyFont="1" applyFill="1" applyBorder="1" applyAlignment="1">
      <alignment vertical="center"/>
    </xf>
    <xf numFmtId="173" fontId="33" fillId="19" borderId="64" xfId="12" applyNumberFormat="1" applyFont="1" applyFill="1" applyBorder="1" applyAlignment="1">
      <alignment vertical="center"/>
    </xf>
    <xf numFmtId="173" fontId="76" fillId="0" borderId="65" xfId="12" applyNumberFormat="1" applyFont="1" applyFill="1" applyBorder="1" applyAlignment="1">
      <alignment vertical="center"/>
    </xf>
    <xf numFmtId="181" fontId="76" fillId="19" borderId="63" xfId="11" applyNumberFormat="1" applyFont="1" applyFill="1" applyBorder="1" applyAlignment="1">
      <alignment horizontal="center" vertical="center"/>
    </xf>
    <xf numFmtId="173" fontId="75" fillId="9" borderId="63" xfId="11" applyNumberFormat="1" applyFont="1" applyFill="1" applyBorder="1" applyAlignment="1">
      <alignment vertical="center"/>
    </xf>
    <xf numFmtId="173" fontId="75" fillId="9" borderId="62" xfId="11" applyNumberFormat="1" applyFont="1" applyFill="1" applyBorder="1" applyAlignment="1">
      <alignment vertical="center"/>
    </xf>
    <xf numFmtId="173" fontId="75" fillId="9" borderId="63" xfId="11" applyNumberFormat="1" applyFont="1" applyFill="1" applyBorder="1" applyAlignment="1">
      <alignment horizontal="center" vertical="center"/>
    </xf>
    <xf numFmtId="168" fontId="75" fillId="9" borderId="64" xfId="7" applyNumberFormat="1" applyFont="1" applyFill="1" applyBorder="1" applyAlignment="1">
      <alignment vertical="center"/>
    </xf>
    <xf numFmtId="168" fontId="75" fillId="9" borderId="63" xfId="7" applyNumberFormat="1" applyFont="1" applyFill="1" applyBorder="1" applyAlignment="1">
      <alignment vertical="center"/>
    </xf>
    <xf numFmtId="173" fontId="75" fillId="9" borderId="1" xfId="11" applyNumberFormat="1" applyFont="1" applyFill="1" applyBorder="1" applyAlignment="1">
      <alignment vertical="center"/>
    </xf>
    <xf numFmtId="173" fontId="76" fillId="26" borderId="77" xfId="12" applyNumberFormat="1" applyFont="1" applyFill="1" applyBorder="1" applyAlignment="1">
      <alignment vertical="center"/>
    </xf>
    <xf numFmtId="173" fontId="76" fillId="0" borderId="77" xfId="11" applyNumberFormat="1" applyFont="1" applyBorder="1" applyAlignment="1">
      <alignment vertical="center"/>
    </xf>
    <xf numFmtId="9" fontId="76" fillId="26" borderId="77" xfId="6" applyFont="1" applyFill="1" applyBorder="1" applyAlignment="1">
      <alignment vertical="center"/>
    </xf>
    <xf numFmtId="173" fontId="33" fillId="26" borderId="79" xfId="12" applyNumberFormat="1" applyFont="1" applyFill="1" applyBorder="1" applyAlignment="1">
      <alignment vertical="center"/>
    </xf>
    <xf numFmtId="173" fontId="76" fillId="26" borderId="80" xfId="12" applyNumberFormat="1" applyFont="1" applyFill="1" applyBorder="1" applyAlignment="1">
      <alignment vertical="center"/>
    </xf>
    <xf numFmtId="173" fontId="76" fillId="19" borderId="80" xfId="12" applyNumberFormat="1" applyFont="1" applyFill="1" applyBorder="1" applyAlignment="1">
      <alignment vertical="center"/>
    </xf>
    <xf numFmtId="173" fontId="76" fillId="26" borderId="79" xfId="12" applyNumberFormat="1" applyFont="1" applyFill="1" applyBorder="1" applyAlignment="1">
      <alignment vertical="center"/>
    </xf>
    <xf numFmtId="173" fontId="76" fillId="2" borderId="78" xfId="12" applyNumberFormat="1" applyFont="1" applyFill="1" applyBorder="1" applyAlignment="1">
      <alignment vertical="center"/>
    </xf>
    <xf numFmtId="173" fontId="78" fillId="26" borderId="0" xfId="11" applyNumberFormat="1" applyFont="1" applyFill="1" applyAlignment="1">
      <alignment vertical="center"/>
    </xf>
    <xf numFmtId="173" fontId="78" fillId="26" borderId="0" xfId="11" applyNumberFormat="1" applyFont="1" applyFill="1" applyAlignment="1">
      <alignment horizontal="center" vertical="center"/>
    </xf>
    <xf numFmtId="173" fontId="38" fillId="26" borderId="63" xfId="12" applyNumberFormat="1" applyFont="1" applyFill="1" applyBorder="1" applyAlignment="1">
      <alignment vertical="center" wrapText="1"/>
    </xf>
    <xf numFmtId="173" fontId="76" fillId="47" borderId="63" xfId="11" applyNumberFormat="1" applyFont="1" applyFill="1" applyBorder="1" applyAlignment="1">
      <alignment horizontal="center" vertical="center"/>
    </xf>
    <xf numFmtId="0" fontId="15" fillId="39" borderId="28" xfId="0" applyFont="1" applyFill="1" applyBorder="1" applyAlignment="1" applyProtection="1">
      <alignment horizontal="center" vertical="center" wrapText="1"/>
      <protection locked="0" hidden="1"/>
    </xf>
    <xf numFmtId="0" fontId="8" fillId="37" borderId="81" xfId="0" applyFont="1" applyFill="1" applyBorder="1" applyAlignment="1">
      <alignment horizontal="center" vertical="center" wrapText="1"/>
    </xf>
    <xf numFmtId="0" fontId="8" fillId="37" borderId="82" xfId="0" applyFont="1" applyFill="1" applyBorder="1" applyAlignment="1">
      <alignment horizontal="center" vertical="center" wrapText="1"/>
    </xf>
    <xf numFmtId="0" fontId="15" fillId="41" borderId="83" xfId="0" applyFont="1" applyFill="1" applyBorder="1" applyAlignment="1" applyProtection="1">
      <alignment horizontal="center" vertical="center"/>
      <protection locked="0"/>
    </xf>
    <xf numFmtId="0" fontId="15" fillId="41" borderId="84" xfId="0" applyFont="1" applyFill="1" applyBorder="1" applyAlignment="1" applyProtection="1">
      <alignment horizontal="center" vertical="center"/>
      <protection locked="0"/>
    </xf>
    <xf numFmtId="0" fontId="15" fillId="41" borderId="87" xfId="0" applyFont="1" applyFill="1" applyBorder="1" applyAlignment="1" applyProtection="1">
      <alignment horizontal="center" vertical="center"/>
      <protection locked="0"/>
    </xf>
    <xf numFmtId="0" fontId="38" fillId="23" borderId="28" xfId="0" applyFont="1" applyFill="1" applyBorder="1" applyAlignment="1" applyProtection="1">
      <alignment horizontal="center" vertical="center" wrapText="1"/>
      <protection hidden="1"/>
    </xf>
    <xf numFmtId="0" fontId="38" fillId="23" borderId="28" xfId="0" applyFont="1" applyFill="1" applyBorder="1" applyAlignment="1" applyProtection="1">
      <alignment horizontal="right" vertical="center" wrapText="1"/>
      <protection hidden="1"/>
    </xf>
    <xf numFmtId="0" fontId="3" fillId="0" borderId="5" xfId="0" applyFont="1" applyBorder="1" applyAlignment="1">
      <alignment horizontal="left" vertical="center" wrapText="1"/>
    </xf>
    <xf numFmtId="0" fontId="0" fillId="52" borderId="5" xfId="0" applyFill="1" applyBorder="1"/>
    <xf numFmtId="0" fontId="0" fillId="52" borderId="6" xfId="0" applyFill="1" applyBorder="1"/>
    <xf numFmtId="0" fontId="0" fillId="52" borderId="89" xfId="0" applyFill="1" applyBorder="1"/>
    <xf numFmtId="168" fontId="0" fillId="52" borderId="1" xfId="7" applyNumberFormat="1" applyFont="1" applyFill="1" applyBorder="1" applyAlignment="1">
      <alignment horizontal="left"/>
    </xf>
    <xf numFmtId="168" fontId="0" fillId="52" borderId="5" xfId="7" applyNumberFormat="1" applyFont="1" applyFill="1" applyBorder="1" applyAlignment="1">
      <alignment horizontal="left"/>
    </xf>
    <xf numFmtId="168" fontId="0" fillId="52" borderId="89" xfId="7" applyNumberFormat="1" applyFont="1" applyFill="1" applyBorder="1" applyAlignment="1">
      <alignment horizontal="left"/>
    </xf>
    <xf numFmtId="168" fontId="0" fillId="52" borderId="6" xfId="7" applyNumberFormat="1" applyFont="1" applyFill="1" applyBorder="1" applyAlignment="1">
      <alignment horizontal="left"/>
    </xf>
    <xf numFmtId="173" fontId="76" fillId="55" borderId="62" xfId="11" applyNumberFormat="1" applyFont="1" applyFill="1" applyBorder="1" applyAlignment="1">
      <alignment vertical="center"/>
    </xf>
    <xf numFmtId="173" fontId="76" fillId="55" borderId="63" xfId="11" applyNumberFormat="1" applyFont="1" applyFill="1" applyBorder="1" applyAlignment="1">
      <alignment horizontal="center" vertical="center"/>
    </xf>
    <xf numFmtId="173" fontId="76" fillId="2" borderId="62" xfId="11" applyNumberFormat="1" applyFont="1" applyFill="1" applyBorder="1" applyAlignment="1">
      <alignment vertical="center"/>
    </xf>
    <xf numFmtId="173" fontId="76" fillId="2" borderId="62" xfId="11" applyNumberFormat="1" applyFont="1" applyFill="1" applyBorder="1"/>
    <xf numFmtId="173" fontId="76" fillId="2" borderId="62" xfId="13" applyNumberFormat="1" applyFont="1" applyFill="1" applyBorder="1" applyAlignment="1">
      <alignment vertical="center"/>
    </xf>
    <xf numFmtId="173" fontId="76" fillId="2" borderId="77" xfId="11" applyNumberFormat="1" applyFont="1" applyFill="1" applyBorder="1" applyAlignment="1">
      <alignment vertical="center"/>
    </xf>
    <xf numFmtId="0" fontId="3" fillId="9" borderId="1" xfId="0" applyFont="1" applyFill="1" applyBorder="1" applyAlignment="1">
      <alignment wrapText="1"/>
    </xf>
    <xf numFmtId="168" fontId="0" fillId="0" borderId="1" xfId="7" applyNumberFormat="1" applyFont="1" applyBorder="1" applyAlignment="1">
      <alignment wrapText="1"/>
    </xf>
    <xf numFmtId="168" fontId="3" fillId="9" borderId="1" xfId="7" applyNumberFormat="1" applyFont="1" applyFill="1" applyBorder="1" applyAlignment="1">
      <alignment wrapText="1"/>
    </xf>
    <xf numFmtId="168" fontId="0" fillId="4" borderId="1" xfId="7" applyNumberFormat="1" applyFont="1" applyFill="1" applyBorder="1" applyAlignment="1">
      <alignment wrapText="1"/>
    </xf>
    <xf numFmtId="168" fontId="0" fillId="0" borderId="0" xfId="0" applyNumberFormat="1" applyAlignment="1">
      <alignment wrapText="1"/>
    </xf>
    <xf numFmtId="0" fontId="18" fillId="0" borderId="7" xfId="0" applyFont="1" applyBorder="1" applyAlignment="1">
      <alignment vertical="center" wrapText="1"/>
    </xf>
    <xf numFmtId="0" fontId="18" fillId="0" borderId="8" xfId="0" applyFont="1" applyBorder="1" applyAlignment="1">
      <alignment vertical="center" wrapText="1"/>
    </xf>
    <xf numFmtId="172" fontId="18" fillId="0" borderId="8" xfId="6" applyNumberFormat="1" applyFont="1" applyBorder="1" applyAlignment="1">
      <alignment vertical="center" wrapText="1"/>
    </xf>
    <xf numFmtId="44" fontId="19" fillId="0" borderId="10" xfId="2" applyFont="1" applyBorder="1" applyAlignment="1">
      <alignment vertical="center" wrapText="1"/>
    </xf>
    <xf numFmtId="165" fontId="19" fillId="0" borderId="10" xfId="2" applyNumberFormat="1" applyFont="1" applyBorder="1" applyAlignment="1">
      <alignment vertical="center" wrapText="1"/>
    </xf>
    <xf numFmtId="168" fontId="0" fillId="0" borderId="0" xfId="7" applyNumberFormat="1" applyFont="1" applyBorder="1" applyAlignment="1">
      <alignment wrapText="1"/>
    </xf>
    <xf numFmtId="0" fontId="19" fillId="0" borderId="0" xfId="0" applyFont="1" applyAlignment="1">
      <alignment vertical="center" wrapText="1"/>
    </xf>
    <xf numFmtId="44" fontId="19" fillId="0" borderId="0" xfId="2" applyFont="1" applyFill="1" applyBorder="1" applyAlignment="1">
      <alignment vertical="center" wrapText="1"/>
    </xf>
    <xf numFmtId="44" fontId="0" fillId="0" borderId="0" xfId="2" applyFont="1" applyAlignment="1">
      <alignment wrapText="1"/>
    </xf>
    <xf numFmtId="168" fontId="0" fillId="0" borderId="0" xfId="7" applyNumberFormat="1" applyFont="1" applyFill="1" applyBorder="1" applyAlignment="1">
      <alignment wrapText="1"/>
    </xf>
    <xf numFmtId="0" fontId="0" fillId="47" borderId="0" xfId="0" applyFill="1" applyAlignment="1">
      <alignment wrapText="1"/>
    </xf>
    <xf numFmtId="0" fontId="0" fillId="47" borderId="38" xfId="0" applyFill="1" applyBorder="1" applyAlignment="1">
      <alignment wrapText="1"/>
    </xf>
    <xf numFmtId="0" fontId="0" fillId="16" borderId="58" xfId="0" applyFill="1" applyBorder="1" applyAlignment="1">
      <alignment wrapText="1"/>
    </xf>
    <xf numFmtId="0" fontId="0" fillId="16" borderId="0" xfId="0" applyFill="1" applyAlignment="1">
      <alignment wrapText="1"/>
    </xf>
    <xf numFmtId="17" fontId="0" fillId="16" borderId="0" xfId="0" applyNumberFormat="1" applyFill="1" applyAlignment="1">
      <alignment wrapText="1"/>
    </xf>
    <xf numFmtId="0" fontId="0" fillId="47" borderId="53" xfId="0" applyFill="1" applyBorder="1" applyAlignment="1">
      <alignment wrapText="1"/>
    </xf>
    <xf numFmtId="0" fontId="0" fillId="47" borderId="10" xfId="0" applyFill="1" applyBorder="1" applyAlignment="1">
      <alignment wrapText="1"/>
    </xf>
    <xf numFmtId="0" fontId="0" fillId="16" borderId="40" xfId="0" applyFill="1" applyBorder="1" applyAlignment="1">
      <alignment wrapText="1"/>
    </xf>
    <xf numFmtId="0" fontId="0" fillId="16" borderId="53" xfId="0" applyFill="1" applyBorder="1" applyAlignment="1">
      <alignment wrapText="1"/>
    </xf>
    <xf numFmtId="0" fontId="3" fillId="9" borderId="6" xfId="0" applyFont="1" applyFill="1" applyBorder="1" applyAlignment="1">
      <alignment wrapText="1"/>
    </xf>
    <xf numFmtId="168" fontId="0" fillId="19" borderId="1" xfId="7" applyNumberFormat="1" applyFont="1" applyFill="1" applyBorder="1" applyAlignment="1">
      <alignment wrapText="1"/>
    </xf>
    <xf numFmtId="168" fontId="3" fillId="19" borderId="1" xfId="7" applyNumberFormat="1" applyFont="1" applyFill="1" applyBorder="1" applyAlignment="1">
      <alignment wrapText="1"/>
    </xf>
    <xf numFmtId="168" fontId="0" fillId="4" borderId="27" xfId="7" applyNumberFormat="1" applyFont="1" applyFill="1" applyBorder="1" applyAlignment="1">
      <alignment wrapText="1"/>
    </xf>
    <xf numFmtId="0" fontId="71" fillId="0" borderId="0" xfId="0" applyFont="1" applyAlignment="1">
      <alignment horizontal="center" wrapText="1"/>
    </xf>
    <xf numFmtId="0" fontId="0" fillId="5" borderId="1" xfId="0" applyFill="1" applyBorder="1" applyAlignment="1">
      <alignment vertical="center" wrapText="1"/>
    </xf>
    <xf numFmtId="0" fontId="81" fillId="5" borderId="1" xfId="14" applyFill="1" applyBorder="1" applyAlignment="1">
      <alignment vertical="center" wrapText="1"/>
    </xf>
    <xf numFmtId="0" fontId="81" fillId="5" borderId="1" xfId="14" applyFill="1" applyBorder="1" applyAlignment="1">
      <alignment wrapText="1"/>
    </xf>
    <xf numFmtId="0" fontId="0" fillId="37" borderId="1" xfId="0" applyFill="1" applyBorder="1" applyAlignment="1">
      <alignment vertical="center" wrapText="1"/>
    </xf>
    <xf numFmtId="0" fontId="81" fillId="37" borderId="1" xfId="14" applyFill="1" applyBorder="1" applyAlignment="1">
      <alignment vertical="center" wrapText="1"/>
    </xf>
    <xf numFmtId="0" fontId="0" fillId="16" borderId="1" xfId="0" applyFill="1" applyBorder="1" applyAlignment="1">
      <alignment vertical="center" wrapText="1"/>
    </xf>
    <xf numFmtId="0" fontId="81" fillId="16" borderId="1" xfId="14" applyFill="1" applyBorder="1" applyAlignment="1">
      <alignment vertical="center" wrapText="1"/>
    </xf>
    <xf numFmtId="0" fontId="0" fillId="16" borderId="1" xfId="0" applyFill="1" applyBorder="1" applyAlignment="1">
      <alignment wrapText="1"/>
    </xf>
    <xf numFmtId="0" fontId="0" fillId="16" borderId="1" xfId="0" applyFill="1" applyBorder="1" applyAlignment="1">
      <alignment horizontal="center" vertical="center" wrapText="1"/>
    </xf>
    <xf numFmtId="0" fontId="88" fillId="16" borderId="1" xfId="0" applyFont="1" applyFill="1" applyBorder="1" applyAlignment="1">
      <alignment horizontal="left" vertical="center" wrapText="1"/>
    </xf>
    <xf numFmtId="0" fontId="88" fillId="16" borderId="1" xfId="0" applyFont="1" applyFill="1" applyBorder="1" applyAlignment="1">
      <alignment horizontal="center" vertical="center" wrapText="1"/>
    </xf>
    <xf numFmtId="0" fontId="91" fillId="16" borderId="1" xfId="0" applyFont="1" applyFill="1" applyBorder="1" applyAlignment="1">
      <alignment horizontal="left" vertical="center" wrapText="1"/>
    </xf>
    <xf numFmtId="0" fontId="88" fillId="4" borderId="1" xfId="0" applyFont="1" applyFill="1" applyBorder="1" applyAlignment="1">
      <alignment horizontal="center" vertical="center" wrapText="1"/>
    </xf>
    <xf numFmtId="0" fontId="92" fillId="4" borderId="1" xfId="0" applyFont="1" applyFill="1" applyBorder="1" applyAlignment="1">
      <alignment horizontal="center" vertical="center"/>
    </xf>
    <xf numFmtId="0" fontId="88" fillId="4" borderId="1" xfId="0" applyFont="1" applyFill="1" applyBorder="1" applyAlignment="1">
      <alignment horizontal="center" vertical="center"/>
    </xf>
    <xf numFmtId="0" fontId="0" fillId="4" borderId="1" xfId="0" applyFill="1" applyBorder="1" applyAlignment="1">
      <alignment horizontal="center" vertical="center" wrapText="1"/>
    </xf>
    <xf numFmtId="0" fontId="81" fillId="4" borderId="1" xfId="14" applyFill="1" applyBorder="1" applyAlignment="1" applyProtection="1">
      <alignment horizontal="center" vertical="center" wrapText="1"/>
    </xf>
    <xf numFmtId="49" fontId="0" fillId="4" borderId="1" xfId="0" applyNumberFormat="1" applyFill="1" applyBorder="1" applyAlignment="1">
      <alignment horizontal="center" vertical="center" wrapText="1"/>
    </xf>
    <xf numFmtId="0" fontId="93" fillId="4" borderId="1" xfId="0" applyFont="1" applyFill="1" applyBorder="1" applyAlignment="1">
      <alignment horizontal="center" vertical="center" wrapText="1"/>
    </xf>
    <xf numFmtId="0" fontId="91" fillId="4" borderId="1" xfId="0" applyFont="1" applyFill="1" applyBorder="1" applyAlignment="1">
      <alignment horizontal="center" vertical="center" wrapText="1"/>
    </xf>
    <xf numFmtId="0" fontId="81" fillId="5" borderId="1" xfId="14" applyFill="1" applyBorder="1"/>
    <xf numFmtId="0" fontId="0" fillId="5" borderId="1" xfId="0" applyFill="1" applyBorder="1" applyAlignment="1">
      <alignment wrapText="1"/>
    </xf>
    <xf numFmtId="0" fontId="0" fillId="16" borderId="1" xfId="0" applyFill="1" applyBorder="1"/>
    <xf numFmtId="0" fontId="0" fillId="37" borderId="1" xfId="0" applyFill="1" applyBorder="1"/>
    <xf numFmtId="0" fontId="0" fillId="37" borderId="1" xfId="0" applyFill="1" applyBorder="1" applyAlignment="1">
      <alignment wrapText="1"/>
    </xf>
    <xf numFmtId="0" fontId="81" fillId="16" borderId="1" xfId="14" applyFill="1" applyBorder="1" applyAlignment="1">
      <alignment horizontal="center" vertical="center" wrapText="1"/>
    </xf>
    <xf numFmtId="0" fontId="81" fillId="16" borderId="1" xfId="14" applyFill="1" applyBorder="1" applyAlignment="1" applyProtection="1">
      <alignment horizontal="center" vertical="center" wrapText="1"/>
    </xf>
    <xf numFmtId="0" fontId="93" fillId="16" borderId="1" xfId="0" applyFont="1" applyFill="1" applyBorder="1" applyAlignment="1">
      <alignment horizontal="center" vertical="center" wrapText="1"/>
    </xf>
    <xf numFmtId="0" fontId="0" fillId="16" borderId="1" xfId="0" applyFill="1" applyBorder="1" applyAlignment="1">
      <alignment horizontal="left" vertical="center" wrapText="1"/>
    </xf>
    <xf numFmtId="0" fontId="94" fillId="8" borderId="1" xfId="0" applyFont="1" applyFill="1" applyBorder="1" applyAlignment="1">
      <alignment vertical="center" wrapText="1"/>
    </xf>
    <xf numFmtId="0" fontId="95" fillId="8" borderId="1" xfId="0" applyFont="1" applyFill="1" applyBorder="1" applyAlignment="1">
      <alignment horizontal="center" vertical="center" wrapText="1"/>
    </xf>
    <xf numFmtId="0" fontId="11" fillId="0" borderId="0" xfId="15"/>
    <xf numFmtId="0" fontId="63" fillId="57" borderId="6" xfId="15" applyFont="1" applyFill="1" applyBorder="1" applyAlignment="1">
      <alignment horizontal="left" vertical="center"/>
    </xf>
    <xf numFmtId="0" fontId="97" fillId="57" borderId="26" xfId="15" applyFont="1" applyFill="1" applyBorder="1" applyAlignment="1">
      <alignment horizontal="center" vertical="center" wrapText="1"/>
    </xf>
    <xf numFmtId="0" fontId="97" fillId="57" borderId="6" xfId="15" applyFont="1" applyFill="1" applyBorder="1" applyAlignment="1">
      <alignment horizontal="center" vertical="center" wrapText="1"/>
    </xf>
    <xf numFmtId="0" fontId="63" fillId="58" borderId="1" xfId="15" applyFont="1" applyFill="1" applyBorder="1" applyAlignment="1">
      <alignment horizontal="left" wrapText="1"/>
    </xf>
    <xf numFmtId="0" fontId="63" fillId="58" borderId="1" xfId="15" applyFont="1" applyFill="1" applyBorder="1" applyAlignment="1">
      <alignment horizontal="center"/>
    </xf>
    <xf numFmtId="0" fontId="97" fillId="0" borderId="1" xfId="15" applyFont="1" applyBorder="1" applyAlignment="1">
      <alignment horizontal="left" wrapText="1"/>
    </xf>
    <xf numFmtId="9" fontId="11" fillId="0" borderId="1" xfId="16" applyBorder="1" applyAlignment="1">
      <alignment horizontal="center"/>
    </xf>
    <xf numFmtId="9" fontId="11" fillId="0" borderId="1" xfId="16" applyFont="1" applyBorder="1" applyAlignment="1">
      <alignment horizontal="center"/>
    </xf>
    <xf numFmtId="0" fontId="97" fillId="0" borderId="1" xfId="15" applyFont="1" applyBorder="1" applyAlignment="1">
      <alignment horizontal="left" vertical="center" wrapText="1"/>
    </xf>
    <xf numFmtId="38" fontId="11" fillId="0" borderId="1" xfId="16" applyNumberFormat="1" applyFont="1" applyBorder="1" applyAlignment="1">
      <alignment horizontal="center"/>
    </xf>
    <xf numFmtId="3" fontId="11" fillId="0" borderId="0" xfId="15" applyNumberFormat="1"/>
    <xf numFmtId="0" fontId="97" fillId="0" borderId="1" xfId="15" applyFont="1" applyBorder="1" applyAlignment="1">
      <alignment horizontal="left"/>
    </xf>
    <xf numFmtId="0" fontId="98" fillId="0" borderId="0" xfId="15" applyFont="1"/>
    <xf numFmtId="182" fontId="11" fillId="0" borderId="1" xfId="15" applyNumberFormat="1" applyBorder="1" applyAlignment="1">
      <alignment horizontal="center" wrapText="1"/>
    </xf>
    <xf numFmtId="0" fontId="11" fillId="0" borderId="1" xfId="15" applyBorder="1" applyAlignment="1">
      <alignment horizontal="center" wrapText="1"/>
    </xf>
    <xf numFmtId="0" fontId="99" fillId="0" borderId="0" xfId="15" applyFont="1" applyAlignment="1">
      <alignment horizontal="center"/>
    </xf>
    <xf numFmtId="0" fontId="11" fillId="0" borderId="0" xfId="15" applyAlignment="1">
      <alignment horizontal="center" wrapText="1"/>
    </xf>
    <xf numFmtId="2" fontId="11" fillId="0" borderId="1" xfId="15" applyNumberFormat="1" applyBorder="1" applyAlignment="1">
      <alignment horizontal="center" wrapText="1"/>
    </xf>
    <xf numFmtId="0" fontId="98" fillId="0" borderId="0" xfId="15" applyFont="1" applyAlignment="1">
      <alignment horizontal="center" wrapText="1"/>
    </xf>
    <xf numFmtId="0" fontId="97" fillId="0" borderId="0" xfId="15" applyFont="1" applyAlignment="1">
      <alignment horizontal="left"/>
    </xf>
    <xf numFmtId="0" fontId="100" fillId="0" borderId="0" xfId="17" applyAlignment="1" applyProtection="1">
      <alignment horizontal="left"/>
    </xf>
    <xf numFmtId="0" fontId="11" fillId="0" borderId="0" xfId="15" applyAlignment="1">
      <alignment horizontal="center"/>
    </xf>
    <xf numFmtId="38" fontId="101" fillId="0" borderId="1" xfId="16" applyNumberFormat="1" applyFont="1" applyBorder="1" applyAlignment="1">
      <alignment horizontal="center"/>
    </xf>
    <xf numFmtId="38" fontId="11" fillId="0" borderId="32" xfId="16" applyNumberFormat="1" applyFont="1" applyFill="1" applyBorder="1" applyAlignment="1">
      <alignment horizontal="center"/>
    </xf>
    <xf numFmtId="0" fontId="11" fillId="0" borderId="1" xfId="15" applyBorder="1" applyAlignment="1">
      <alignment horizontal="center"/>
    </xf>
    <xf numFmtId="38" fontId="11" fillId="0" borderId="0" xfId="15" applyNumberFormat="1"/>
    <xf numFmtId="0" fontId="63" fillId="57" borderId="1" xfId="15" applyFont="1" applyFill="1" applyBorder="1" applyAlignment="1">
      <alignment horizontal="left"/>
    </xf>
    <xf numFmtId="0" fontId="97" fillId="57" borderId="1" xfId="15" applyFont="1" applyFill="1" applyBorder="1" applyAlignment="1">
      <alignment horizontal="center" wrapText="1"/>
    </xf>
    <xf numFmtId="182" fontId="11" fillId="0" borderId="1" xfId="15" applyNumberFormat="1" applyBorder="1" applyAlignment="1">
      <alignment horizontal="center"/>
    </xf>
    <xf numFmtId="182" fontId="11" fillId="0" borderId="32" xfId="15" applyNumberFormat="1" applyBorder="1" applyAlignment="1">
      <alignment horizontal="center"/>
    </xf>
    <xf numFmtId="0" fontId="102" fillId="0" borderId="0" xfId="15" applyFont="1" applyAlignment="1">
      <alignment horizontal="center" wrapText="1"/>
    </xf>
    <xf numFmtId="0" fontId="97" fillId="0" borderId="5" xfId="15" applyFont="1" applyBorder="1" applyAlignment="1">
      <alignment horizontal="left" wrapText="1"/>
    </xf>
    <xf numFmtId="0" fontId="11" fillId="0" borderId="0" xfId="15" applyAlignment="1">
      <alignment vertical="center" wrapText="1"/>
    </xf>
    <xf numFmtId="0" fontId="11" fillId="0" borderId="0" xfId="15" applyAlignment="1">
      <alignment vertical="center"/>
    </xf>
    <xf numFmtId="9" fontId="11" fillId="0" borderId="0" xfId="15" applyNumberFormat="1"/>
    <xf numFmtId="182" fontId="11" fillId="0" borderId="2" xfId="15" applyNumberFormat="1" applyBorder="1" applyAlignment="1">
      <alignment horizontal="center"/>
    </xf>
    <xf numFmtId="182" fontId="11" fillId="0" borderId="0" xfId="15" applyNumberFormat="1" applyAlignment="1">
      <alignment horizontal="center"/>
    </xf>
    <xf numFmtId="0" fontId="97" fillId="0" borderId="1" xfId="15" applyFont="1" applyBorder="1"/>
    <xf numFmtId="0" fontId="97" fillId="0" borderId="1" xfId="15" applyFont="1" applyBorder="1" applyAlignment="1">
      <alignment wrapText="1"/>
    </xf>
    <xf numFmtId="0" fontId="103" fillId="0" borderId="0" xfId="15" applyFont="1"/>
    <xf numFmtId="0" fontId="100" fillId="0" borderId="0" xfId="17" applyFill="1" applyBorder="1" applyAlignment="1" applyProtection="1">
      <alignment horizontal="center" wrapText="1"/>
    </xf>
    <xf numFmtId="0" fontId="104" fillId="0" borderId="0" xfId="15" applyFont="1"/>
    <xf numFmtId="0" fontId="63" fillId="58" borderId="1" xfId="15" applyFont="1" applyFill="1" applyBorder="1" applyAlignment="1">
      <alignment wrapText="1"/>
    </xf>
    <xf numFmtId="0" fontId="105" fillId="0" borderId="0" xfId="15" applyFont="1"/>
    <xf numFmtId="38" fontId="11" fillId="0" borderId="1" xfId="16" applyNumberFormat="1" applyFont="1" applyFill="1" applyBorder="1" applyAlignment="1">
      <alignment horizontal="center"/>
    </xf>
    <xf numFmtId="173" fontId="105" fillId="0" borderId="0" xfId="18" applyNumberFormat="1" applyFont="1"/>
    <xf numFmtId="0" fontId="11" fillId="0" borderId="0" xfId="19" applyAlignment="1">
      <alignment vertical="center"/>
    </xf>
    <xf numFmtId="0" fontId="11" fillId="0" borderId="0" xfId="19"/>
    <xf numFmtId="38" fontId="11" fillId="0" borderId="0" xfId="19" applyNumberFormat="1"/>
    <xf numFmtId="0" fontId="11" fillId="0" borderId="0" xfId="19" applyAlignment="1">
      <alignment horizontal="left"/>
    </xf>
    <xf numFmtId="0" fontId="104" fillId="0" borderId="0" xfId="19" applyFont="1" applyAlignment="1">
      <alignment vertical="center"/>
    </xf>
    <xf numFmtId="0" fontId="104" fillId="0" borderId="0" xfId="19" applyFont="1"/>
    <xf numFmtId="0" fontId="63" fillId="57" borderId="6" xfId="19" applyFont="1" applyFill="1" applyBorder="1" applyAlignment="1">
      <alignment horizontal="left" vertical="center"/>
    </xf>
    <xf numFmtId="0" fontId="97" fillId="57" borderId="26" xfId="19" applyFont="1" applyFill="1" applyBorder="1" applyAlignment="1">
      <alignment horizontal="center" vertical="center" wrapText="1"/>
    </xf>
    <xf numFmtId="0" fontId="97" fillId="57" borderId="6" xfId="19" applyFont="1" applyFill="1" applyBorder="1" applyAlignment="1">
      <alignment horizontal="center" vertical="center" wrapText="1"/>
    </xf>
    <xf numFmtId="0" fontId="63" fillId="58" borderId="1" xfId="19" applyFont="1" applyFill="1" applyBorder="1" applyAlignment="1">
      <alignment vertical="center" wrapText="1"/>
    </xf>
    <xf numFmtId="0" fontId="63" fillId="58" borderId="1" xfId="19" applyFont="1" applyFill="1" applyBorder="1" applyAlignment="1">
      <alignment horizontal="center"/>
    </xf>
    <xf numFmtId="0" fontId="97" fillId="0" borderId="1" xfId="19" applyFont="1" applyBorder="1" applyAlignment="1">
      <alignment horizontal="left" vertical="center" wrapText="1"/>
    </xf>
    <xf numFmtId="0" fontId="105" fillId="0" borderId="0" xfId="19" applyFont="1" applyAlignment="1">
      <alignment horizontal="left"/>
    </xf>
    <xf numFmtId="3" fontId="106" fillId="0" borderId="0" xfId="19" applyNumberFormat="1" applyFont="1" applyAlignment="1">
      <alignment horizontal="left"/>
    </xf>
    <xf numFmtId="0" fontId="97" fillId="0" borderId="1" xfId="19" applyFont="1" applyBorder="1" applyAlignment="1">
      <alignment horizontal="left" vertical="center"/>
    </xf>
    <xf numFmtId="182" fontId="11" fillId="0" borderId="1" xfId="19" applyNumberFormat="1" applyBorder="1" applyAlignment="1">
      <alignment horizontal="center"/>
    </xf>
    <xf numFmtId="182" fontId="11" fillId="0" borderId="1" xfId="19" applyNumberFormat="1" applyBorder="1" applyAlignment="1">
      <alignment horizontal="center" wrapText="1"/>
    </xf>
    <xf numFmtId="0" fontId="11" fillId="0" borderId="1" xfId="19" applyBorder="1" applyAlignment="1">
      <alignment horizontal="center" vertical="center" wrapText="1"/>
    </xf>
    <xf numFmtId="182" fontId="11" fillId="0" borderId="1" xfId="19" applyNumberFormat="1" applyBorder="1" applyAlignment="1">
      <alignment horizontal="center" vertical="center" wrapText="1"/>
    </xf>
    <xf numFmtId="182" fontId="11" fillId="0" borderId="1" xfId="19" applyNumberFormat="1" applyBorder="1" applyAlignment="1">
      <alignment horizontal="center" vertical="center"/>
    </xf>
    <xf numFmtId="0" fontId="11" fillId="0" borderId="0" xfId="19" applyAlignment="1">
      <alignment horizontal="left" vertical="center"/>
    </xf>
    <xf numFmtId="0" fontId="11" fillId="0" borderId="1" xfId="19" applyBorder="1" applyAlignment="1">
      <alignment horizontal="center" wrapText="1"/>
    </xf>
    <xf numFmtId="0" fontId="11" fillId="0" borderId="1" xfId="19" applyBorder="1" applyAlignment="1">
      <alignment horizontal="center"/>
    </xf>
    <xf numFmtId="2" fontId="11" fillId="0" borderId="1" xfId="19" applyNumberFormat="1" applyBorder="1" applyAlignment="1">
      <alignment horizontal="center" wrapText="1"/>
    </xf>
    <xf numFmtId="0" fontId="97" fillId="0" borderId="0" xfId="19" applyFont="1" applyAlignment="1">
      <alignment horizontal="left" vertical="center"/>
    </xf>
    <xf numFmtId="0" fontId="11" fillId="0" borderId="0" xfId="19" applyAlignment="1">
      <alignment horizontal="center"/>
    </xf>
    <xf numFmtId="0" fontId="11" fillId="0" borderId="0" xfId="19" applyAlignment="1">
      <alignment horizontal="center" wrapText="1"/>
    </xf>
    <xf numFmtId="0" fontId="11" fillId="0" borderId="0" xfId="20" applyAlignment="1">
      <alignment vertical="center"/>
    </xf>
    <xf numFmtId="38" fontId="11" fillId="0" borderId="0" xfId="20" applyNumberFormat="1" applyAlignment="1">
      <alignment vertical="center"/>
    </xf>
    <xf numFmtId="0" fontId="104" fillId="0" borderId="0" xfId="20" applyFont="1" applyAlignment="1">
      <alignment vertical="center"/>
    </xf>
    <xf numFmtId="0" fontId="63" fillId="57" borderId="6" xfId="20" applyFont="1" applyFill="1" applyBorder="1" applyAlignment="1">
      <alignment horizontal="left" vertical="center"/>
    </xf>
    <xf numFmtId="0" fontId="97" fillId="57" borderId="26" xfId="20" applyFont="1" applyFill="1" applyBorder="1" applyAlignment="1">
      <alignment horizontal="center" vertical="center" wrapText="1"/>
    </xf>
    <xf numFmtId="0" fontId="97" fillId="57" borderId="6" xfId="20" applyFont="1" applyFill="1" applyBorder="1" applyAlignment="1">
      <alignment horizontal="center" vertical="center" wrapText="1"/>
    </xf>
    <xf numFmtId="0" fontId="63" fillId="58" borderId="1" xfId="20" applyFont="1" applyFill="1" applyBorder="1" applyAlignment="1">
      <alignment vertical="center" wrapText="1"/>
    </xf>
    <xf numFmtId="0" fontId="63" fillId="58" borderId="1" xfId="20" applyFont="1" applyFill="1" applyBorder="1" applyAlignment="1">
      <alignment horizontal="center" vertical="center"/>
    </xf>
    <xf numFmtId="0" fontId="97" fillId="0" borderId="1" xfId="20" applyFont="1" applyBorder="1" applyAlignment="1">
      <alignment horizontal="left" vertical="center" wrapText="1"/>
    </xf>
    <xf numFmtId="177" fontId="11" fillId="0" borderId="0" xfId="20" applyNumberFormat="1" applyAlignment="1">
      <alignment horizontal="center" vertical="center"/>
    </xf>
    <xf numFmtId="10" fontId="11" fillId="0" borderId="0" xfId="20" applyNumberFormat="1" applyAlignment="1">
      <alignment horizontal="center" vertical="center"/>
    </xf>
    <xf numFmtId="0" fontId="105" fillId="0" borderId="0" xfId="20" applyFont="1" applyAlignment="1">
      <alignment vertical="center"/>
    </xf>
    <xf numFmtId="0" fontId="97" fillId="0" borderId="5" xfId="20" applyFont="1" applyBorder="1" applyAlignment="1">
      <alignment horizontal="left" vertical="center" wrapText="1"/>
    </xf>
    <xf numFmtId="38" fontId="11" fillId="0" borderId="5" xfId="21" applyNumberFormat="1" applyFont="1" applyFill="1" applyBorder="1" applyAlignment="1">
      <alignment horizontal="center" vertical="center"/>
    </xf>
    <xf numFmtId="3" fontId="107" fillId="0" borderId="0" xfId="20" applyNumberFormat="1" applyFont="1" applyAlignment="1">
      <alignment vertical="center"/>
    </xf>
    <xf numFmtId="0" fontId="97" fillId="0" borderId="1" xfId="20" applyFont="1" applyBorder="1" applyAlignment="1">
      <alignment horizontal="left" vertical="center"/>
    </xf>
    <xf numFmtId="0" fontId="11" fillId="0" borderId="1" xfId="20" applyBorder="1" applyAlignment="1">
      <alignment horizontal="center" vertical="center"/>
    </xf>
    <xf numFmtId="182" fontId="11" fillId="0" borderId="1" xfId="20" applyNumberFormat="1" applyBorder="1" applyAlignment="1">
      <alignment horizontal="center" vertical="center"/>
    </xf>
    <xf numFmtId="182" fontId="11" fillId="0" borderId="1" xfId="20" applyNumberFormat="1" applyBorder="1" applyAlignment="1">
      <alignment horizontal="center" vertical="center" wrapText="1"/>
    </xf>
    <xf numFmtId="0" fontId="11" fillId="0" borderId="1" xfId="20" applyBorder="1" applyAlignment="1">
      <alignment horizontal="center" vertical="center" wrapText="1"/>
    </xf>
    <xf numFmtId="0" fontId="97" fillId="0" borderId="6" xfId="20" applyFont="1" applyBorder="1" applyAlignment="1">
      <alignment horizontal="left" vertical="center"/>
    </xf>
    <xf numFmtId="0" fontId="11" fillId="0" borderId="6" xfId="20" applyBorder="1" applyAlignment="1">
      <alignment horizontal="center" vertical="center" wrapText="1"/>
    </xf>
    <xf numFmtId="0" fontId="97" fillId="0" borderId="1" xfId="20" applyFont="1" applyBorder="1" applyAlignment="1">
      <alignment horizontal="left" wrapText="1"/>
    </xf>
    <xf numFmtId="0" fontId="11" fillId="0" borderId="1" xfId="20" applyBorder="1" applyAlignment="1">
      <alignment horizontal="center"/>
    </xf>
    <xf numFmtId="2" fontId="11" fillId="0" borderId="1" xfId="20" applyNumberFormat="1" applyBorder="1" applyAlignment="1">
      <alignment horizontal="center" wrapText="1"/>
    </xf>
    <xf numFmtId="0" fontId="11" fillId="0" borderId="0" xfId="20"/>
    <xf numFmtId="2" fontId="11" fillId="0" borderId="1" xfId="20" applyNumberFormat="1" applyBorder="1" applyAlignment="1">
      <alignment horizontal="center" vertical="center" wrapText="1"/>
    </xf>
    <xf numFmtId="0" fontId="97" fillId="0" borderId="0" xfId="20" applyFont="1" applyAlignment="1">
      <alignment horizontal="left" vertical="center"/>
    </xf>
    <xf numFmtId="0" fontId="11" fillId="0" borderId="0" xfId="20" applyAlignment="1">
      <alignment horizontal="center" vertical="center"/>
    </xf>
    <xf numFmtId="0" fontId="11" fillId="0" borderId="0" xfId="20" applyAlignment="1">
      <alignment horizontal="center" vertical="center" wrapText="1"/>
    </xf>
    <xf numFmtId="0" fontId="109" fillId="0" borderId="0" xfId="20" applyFont="1" applyAlignment="1">
      <alignment horizontal="center" vertical="center" wrapText="1"/>
    </xf>
    <xf numFmtId="0" fontId="11" fillId="0" borderId="0" xfId="20" applyAlignment="1">
      <alignment horizontal="center"/>
    </xf>
    <xf numFmtId="0" fontId="97" fillId="0" borderId="0" xfId="20" applyFont="1" applyAlignment="1">
      <alignment horizontal="left"/>
    </xf>
    <xf numFmtId="0" fontId="11" fillId="0" borderId="1" xfId="20" applyBorder="1" applyAlignment="1">
      <alignment horizontal="center" wrapText="1"/>
    </xf>
    <xf numFmtId="0" fontId="97" fillId="0" borderId="1" xfId="20" applyFont="1" applyBorder="1" applyAlignment="1">
      <alignment horizontal="left"/>
    </xf>
    <xf numFmtId="182" fontId="11" fillId="0" borderId="1" xfId="20" applyNumberFormat="1" applyBorder="1" applyAlignment="1">
      <alignment horizontal="center" wrapText="1"/>
    </xf>
    <xf numFmtId="0" fontId="63" fillId="58" borderId="1" xfId="20" applyFont="1" applyFill="1" applyBorder="1" applyAlignment="1">
      <alignment horizontal="center"/>
    </xf>
    <xf numFmtId="0" fontId="63" fillId="58" borderId="1" xfId="20" applyFont="1" applyFill="1" applyBorder="1" applyAlignment="1">
      <alignment horizontal="left" wrapText="1"/>
    </xf>
    <xf numFmtId="0" fontId="111" fillId="59" borderId="90" xfId="0" applyFont="1" applyFill="1" applyBorder="1" applyAlignment="1">
      <alignment horizontal="center" vertical="center" wrapText="1" readingOrder="1"/>
    </xf>
    <xf numFmtId="0" fontId="112" fillId="60" borderId="91" xfId="0" applyFont="1" applyFill="1" applyBorder="1" applyAlignment="1">
      <alignment horizontal="center" vertical="center" wrapText="1" readingOrder="1"/>
    </xf>
    <xf numFmtId="0" fontId="112" fillId="60" borderId="91" xfId="0" applyFont="1" applyFill="1" applyBorder="1" applyAlignment="1">
      <alignment horizontal="left" vertical="center" wrapText="1" readingOrder="1"/>
    </xf>
    <xf numFmtId="0" fontId="112" fillId="61" borderId="92" xfId="0" applyFont="1" applyFill="1" applyBorder="1" applyAlignment="1">
      <alignment horizontal="center" vertical="center" wrapText="1" readingOrder="1"/>
    </xf>
    <xf numFmtId="0" fontId="112" fillId="61" borderId="92" xfId="0" applyFont="1" applyFill="1" applyBorder="1" applyAlignment="1">
      <alignment horizontal="left" vertical="center" wrapText="1" readingOrder="1"/>
    </xf>
    <xf numFmtId="0" fontId="112" fillId="60" borderId="92" xfId="0" applyFont="1" applyFill="1" applyBorder="1" applyAlignment="1">
      <alignment horizontal="center" vertical="center" wrapText="1" readingOrder="1"/>
    </xf>
    <xf numFmtId="0" fontId="112" fillId="60" borderId="92" xfId="0" applyFont="1" applyFill="1" applyBorder="1" applyAlignment="1">
      <alignment horizontal="left" vertical="center" wrapText="1" readingOrder="1"/>
    </xf>
    <xf numFmtId="0" fontId="113" fillId="0" borderId="0" xfId="0" applyFont="1"/>
    <xf numFmtId="0" fontId="110" fillId="59" borderId="90" xfId="0" applyFont="1" applyFill="1" applyBorder="1" applyAlignment="1">
      <alignment horizontal="center" vertical="top" wrapText="1"/>
    </xf>
    <xf numFmtId="0" fontId="114" fillId="59" borderId="90" xfId="0" applyFont="1" applyFill="1" applyBorder="1" applyAlignment="1">
      <alignment horizontal="center" vertical="center" wrapText="1" readingOrder="1"/>
    </xf>
    <xf numFmtId="0" fontId="115" fillId="60" borderId="91" xfId="0" applyFont="1" applyFill="1" applyBorder="1" applyAlignment="1">
      <alignment horizontal="center" vertical="center" wrapText="1" readingOrder="1"/>
    </xf>
    <xf numFmtId="0" fontId="110" fillId="60" borderId="91" xfId="0" applyFont="1" applyFill="1" applyBorder="1" applyAlignment="1">
      <alignment horizontal="center" vertical="top" wrapText="1"/>
    </xf>
    <xf numFmtId="0" fontId="115" fillId="61" borderId="92" xfId="0" applyFont="1" applyFill="1" applyBorder="1" applyAlignment="1">
      <alignment horizontal="center" vertical="center" wrapText="1" readingOrder="1"/>
    </xf>
    <xf numFmtId="0" fontId="115" fillId="61" borderId="92" xfId="0" applyFont="1" applyFill="1" applyBorder="1" applyAlignment="1">
      <alignment horizontal="left" vertical="center" wrapText="1" readingOrder="1"/>
    </xf>
    <xf numFmtId="0" fontId="110" fillId="61" borderId="92" xfId="0" applyFont="1" applyFill="1" applyBorder="1" applyAlignment="1">
      <alignment vertical="top" wrapText="1"/>
    </xf>
    <xf numFmtId="0" fontId="115" fillId="60" borderId="92" xfId="0" applyFont="1" applyFill="1" applyBorder="1" applyAlignment="1">
      <alignment horizontal="center" vertical="center" wrapText="1" readingOrder="1"/>
    </xf>
    <xf numFmtId="0" fontId="115" fillId="60" borderId="92" xfId="0" applyFont="1" applyFill="1" applyBorder="1" applyAlignment="1">
      <alignment horizontal="left" vertical="center" wrapText="1" readingOrder="1"/>
    </xf>
    <xf numFmtId="0" fontId="110" fillId="60" borderId="92" xfId="0" applyFont="1" applyFill="1" applyBorder="1" applyAlignment="1">
      <alignment vertical="top" wrapText="1"/>
    </xf>
    <xf numFmtId="0" fontId="41" fillId="34" borderId="0" xfId="0" applyFont="1" applyFill="1" applyAlignment="1" applyProtection="1">
      <alignment vertical="center" wrapText="1"/>
      <protection hidden="1"/>
    </xf>
    <xf numFmtId="0" fontId="40" fillId="34" borderId="0" xfId="0" applyFont="1" applyFill="1" applyAlignment="1" applyProtection="1">
      <alignment vertical="center"/>
      <protection locked="0"/>
    </xf>
    <xf numFmtId="0" fontId="15" fillId="35" borderId="28" xfId="0" applyFont="1" applyFill="1" applyBorder="1" applyAlignment="1" applyProtection="1">
      <alignment horizontal="left" vertical="center" indent="1"/>
      <protection locked="0"/>
    </xf>
    <xf numFmtId="0" fontId="40" fillId="34" borderId="0" xfId="0" applyFont="1" applyFill="1" applyAlignment="1" applyProtection="1">
      <alignment horizontal="center" vertical="center"/>
      <protection locked="0"/>
    </xf>
    <xf numFmtId="0" fontId="41" fillId="34" borderId="0" xfId="0" applyFont="1" applyFill="1" applyAlignment="1" applyProtection="1">
      <alignment vertical="center" wrapText="1"/>
      <protection locked="0"/>
    </xf>
    <xf numFmtId="0" fontId="40" fillId="0" borderId="0" xfId="0" applyFont="1" applyAlignment="1" applyProtection="1">
      <alignment horizontal="center" vertical="center"/>
      <protection locked="0"/>
    </xf>
    <xf numFmtId="0" fontId="15" fillId="22" borderId="28" xfId="0" applyFont="1" applyFill="1" applyBorder="1" applyAlignment="1" applyProtection="1">
      <alignment horizontal="left" vertical="center" indent="1"/>
      <protection hidden="1"/>
    </xf>
    <xf numFmtId="0" fontId="8" fillId="34" borderId="0" xfId="0" applyFont="1" applyFill="1" applyAlignment="1" applyProtection="1">
      <alignment vertical="center"/>
      <protection locked="0"/>
    </xf>
    <xf numFmtId="0" fontId="37" fillId="34" borderId="0" xfId="0" applyFont="1" applyFill="1" applyAlignment="1">
      <alignment vertical="center"/>
    </xf>
    <xf numFmtId="0" fontId="38" fillId="34" borderId="0" xfId="0" applyFont="1" applyFill="1" applyAlignment="1">
      <alignment vertical="center"/>
    </xf>
    <xf numFmtId="0" fontId="38" fillId="34" borderId="0" xfId="0" applyFont="1" applyFill="1" applyAlignment="1">
      <alignment horizontal="left" vertical="center"/>
    </xf>
    <xf numFmtId="0" fontId="38" fillId="34" borderId="0" xfId="0" applyFont="1" applyFill="1" applyAlignment="1">
      <alignment horizontal="center" vertical="center"/>
    </xf>
    <xf numFmtId="0" fontId="15" fillId="35" borderId="28" xfId="0" applyFont="1" applyFill="1" applyBorder="1" applyAlignment="1">
      <alignment horizontal="left" vertical="center" indent="1"/>
    </xf>
    <xf numFmtId="0" fontId="15" fillId="35" borderId="28" xfId="0" applyFont="1" applyFill="1" applyBorder="1" applyAlignment="1">
      <alignment vertical="center"/>
    </xf>
    <xf numFmtId="0" fontId="81" fillId="35" borderId="28" xfId="14" applyFill="1" applyBorder="1" applyAlignment="1" applyProtection="1">
      <alignment horizontal="left" vertical="center" indent="1"/>
    </xf>
    <xf numFmtId="1" fontId="15" fillId="35" borderId="28" xfId="0" applyNumberFormat="1" applyFont="1" applyFill="1" applyBorder="1" applyAlignment="1">
      <alignment horizontal="left" vertical="center" indent="1"/>
    </xf>
    <xf numFmtId="0" fontId="8" fillId="22" borderId="30" xfId="0" applyFont="1" applyFill="1" applyBorder="1" applyAlignment="1">
      <alignment horizontal="left" vertical="center" indent="1"/>
    </xf>
    <xf numFmtId="0" fontId="8" fillId="22" borderId="28" xfId="0" applyFont="1" applyFill="1" applyBorder="1" applyAlignment="1">
      <alignment horizontal="left" vertical="center" indent="1"/>
    </xf>
    <xf numFmtId="0" fontId="8" fillId="22" borderId="28" xfId="0" applyFont="1" applyFill="1" applyBorder="1" applyAlignment="1">
      <alignment horizontal="left" vertical="center" wrapText="1" indent="1"/>
    </xf>
    <xf numFmtId="0" fontId="15" fillId="35" borderId="85" xfId="0" applyFont="1" applyFill="1" applyBorder="1" applyAlignment="1">
      <alignment horizontal="left" vertical="center" indent="1"/>
    </xf>
    <xf numFmtId="0" fontId="15" fillId="35" borderId="88" xfId="0" applyFont="1" applyFill="1" applyBorder="1" applyAlignment="1">
      <alignment horizontal="left" vertical="center" indent="1"/>
    </xf>
    <xf numFmtId="0" fontId="40" fillId="34" borderId="43" xfId="0" applyFont="1" applyFill="1" applyBorder="1" applyAlignment="1">
      <alignment vertical="center"/>
    </xf>
    <xf numFmtId="0" fontId="8" fillId="16" borderId="28" xfId="0" applyFont="1" applyFill="1" applyBorder="1" applyAlignment="1" applyProtection="1">
      <alignment vertical="center"/>
      <protection locked="0"/>
    </xf>
    <xf numFmtId="0" fontId="15" fillId="39" borderId="28" xfId="0" applyFont="1" applyFill="1" applyBorder="1" applyAlignment="1">
      <alignment horizontal="center" vertical="center"/>
    </xf>
    <xf numFmtId="0" fontId="15" fillId="22" borderId="28" xfId="0" applyFont="1" applyFill="1" applyBorder="1" applyAlignment="1">
      <alignment horizontal="left" vertical="center" indent="1"/>
    </xf>
    <xf numFmtId="1" fontId="8" fillId="22" borderId="28" xfId="0" applyNumberFormat="1" applyFont="1" applyFill="1" applyBorder="1" applyAlignment="1">
      <alignment horizontal="left" vertical="center" indent="1"/>
    </xf>
    <xf numFmtId="0" fontId="8" fillId="23" borderId="0" xfId="0" applyFont="1" applyFill="1" applyAlignment="1">
      <alignment horizontal="left" vertical="center"/>
    </xf>
    <xf numFmtId="0" fontId="38" fillId="23" borderId="28" xfId="0" applyFont="1" applyFill="1" applyBorder="1" applyAlignment="1">
      <alignment horizontal="left" vertical="center" wrapText="1" indent="1"/>
    </xf>
    <xf numFmtId="0" fontId="58" fillId="34" borderId="0" xfId="0" applyFont="1" applyFill="1" applyAlignment="1">
      <alignment horizontal="center" vertical="center"/>
    </xf>
    <xf numFmtId="178" fontId="15" fillId="0" borderId="28" xfId="7" applyNumberFormat="1" applyFont="1" applyFill="1" applyBorder="1" applyAlignment="1" applyProtection="1">
      <alignment horizontal="center" vertical="center"/>
      <protection locked="0"/>
    </xf>
    <xf numFmtId="1" fontId="8" fillId="26" borderId="28" xfId="0" applyNumberFormat="1" applyFont="1" applyFill="1" applyBorder="1" applyAlignment="1" applyProtection="1">
      <alignment horizontal="center" vertical="center"/>
      <protection locked="0"/>
    </xf>
    <xf numFmtId="0" fontId="15" fillId="35" borderId="28" xfId="0" applyFont="1" applyFill="1" applyBorder="1" applyAlignment="1" applyProtection="1">
      <alignment horizontal="left" vertical="center" wrapText="1" indent="1"/>
      <protection locked="0"/>
    </xf>
    <xf numFmtId="177" fontId="14" fillId="39" borderId="28" xfId="6" applyNumberFormat="1" applyFont="1" applyFill="1" applyBorder="1" applyAlignment="1" applyProtection="1">
      <alignment horizontal="center" vertical="center"/>
      <protection locked="0" hidden="1"/>
    </xf>
    <xf numFmtId="0" fontId="40" fillId="34" borderId="0" xfId="0" applyFont="1" applyFill="1" applyAlignment="1" applyProtection="1">
      <alignment vertical="center"/>
      <protection locked="0" hidden="1"/>
    </xf>
    <xf numFmtId="0" fontId="40" fillId="34" borderId="0" xfId="0" applyFont="1" applyFill="1" applyAlignment="1" applyProtection="1">
      <alignment horizontal="left" vertical="center"/>
      <protection locked="0" hidden="1"/>
    </xf>
    <xf numFmtId="44" fontId="40" fillId="34" borderId="0" xfId="0" applyNumberFormat="1" applyFont="1" applyFill="1" applyAlignment="1" applyProtection="1">
      <alignment vertical="center"/>
      <protection locked="0" hidden="1"/>
    </xf>
    <xf numFmtId="0" fontId="8" fillId="34" borderId="0" xfId="0" applyFont="1" applyFill="1" applyAlignment="1" applyProtection="1">
      <alignment vertical="center"/>
      <protection locked="0" hidden="1"/>
    </xf>
    <xf numFmtId="0" fontId="40" fillId="34" borderId="0" xfId="0" applyFont="1" applyFill="1" applyAlignment="1" applyProtection="1">
      <alignment horizontal="center" vertical="center"/>
      <protection locked="0" hidden="1"/>
    </xf>
    <xf numFmtId="0" fontId="40" fillId="0" borderId="0" xfId="0" applyFont="1" applyAlignment="1" applyProtection="1">
      <alignment horizontal="center" vertical="center"/>
      <protection locked="0" hidden="1"/>
    </xf>
    <xf numFmtId="10" fontId="40" fillId="34" borderId="0" xfId="0" applyNumberFormat="1" applyFont="1" applyFill="1" applyAlignment="1" applyProtection="1">
      <alignment horizontal="left" vertical="center"/>
      <protection locked="0" hidden="1"/>
    </xf>
    <xf numFmtId="10" fontId="40" fillId="34" borderId="0" xfId="0" applyNumberFormat="1" applyFont="1" applyFill="1" applyAlignment="1" applyProtection="1">
      <alignment vertical="center"/>
      <protection locked="0" hidden="1"/>
    </xf>
    <xf numFmtId="10" fontId="39" fillId="34" borderId="0" xfId="0" applyNumberFormat="1" applyFont="1" applyFill="1" applyAlignment="1" applyProtection="1">
      <alignment vertical="center"/>
      <protection locked="0" hidden="1"/>
    </xf>
    <xf numFmtId="165" fontId="40" fillId="34" borderId="0" xfId="2" applyNumberFormat="1" applyFont="1" applyFill="1" applyBorder="1" applyAlignment="1" applyProtection="1">
      <alignment horizontal="left" vertical="center"/>
      <protection locked="0" hidden="1"/>
    </xf>
    <xf numFmtId="0" fontId="8" fillId="22" borderId="28" xfId="0" applyFont="1" applyFill="1" applyBorder="1" applyAlignment="1" applyProtection="1">
      <alignment horizontal="left" vertical="center" indent="1"/>
      <protection locked="0" hidden="1"/>
    </xf>
    <xf numFmtId="178" fontId="15" fillId="0" borderId="28" xfId="7" applyNumberFormat="1" applyFont="1" applyFill="1" applyBorder="1" applyAlignment="1" applyProtection="1">
      <alignment horizontal="center" vertical="center"/>
      <protection locked="0" hidden="1"/>
    </xf>
    <xf numFmtId="44" fontId="8" fillId="34" borderId="0" xfId="0" applyNumberFormat="1" applyFont="1" applyFill="1" applyAlignment="1" applyProtection="1">
      <alignment vertical="center"/>
      <protection locked="0" hidden="1"/>
    </xf>
    <xf numFmtId="0" fontId="15" fillId="22" borderId="28" xfId="0" applyFont="1" applyFill="1" applyBorder="1" applyAlignment="1" applyProtection="1">
      <alignment horizontal="left" vertical="center" indent="1"/>
      <protection locked="0" hidden="1"/>
    </xf>
    <xf numFmtId="44" fontId="74" fillId="34" borderId="0" xfId="0" applyNumberFormat="1" applyFont="1" applyFill="1" applyAlignment="1" applyProtection="1">
      <alignment vertical="center"/>
      <protection locked="0" hidden="1"/>
    </xf>
    <xf numFmtId="9" fontId="40" fillId="34" borderId="0" xfId="6" applyFont="1" applyFill="1" applyAlignment="1" applyProtection="1">
      <alignment vertical="center"/>
      <protection locked="0" hidden="1"/>
    </xf>
    <xf numFmtId="178" fontId="8" fillId="0" borderId="28" xfId="7" applyNumberFormat="1" applyFont="1" applyFill="1" applyBorder="1" applyAlignment="1" applyProtection="1">
      <alignment horizontal="center" vertical="center"/>
      <protection locked="0" hidden="1"/>
    </xf>
    <xf numFmtId="177" fontId="14" fillId="26" borderId="28" xfId="6" applyNumberFormat="1" applyFont="1" applyFill="1" applyBorder="1" applyAlignment="1" applyProtection="1">
      <alignment horizontal="center" vertical="center"/>
      <protection locked="0" hidden="1"/>
    </xf>
    <xf numFmtId="176" fontId="15" fillId="23" borderId="28" xfId="5" applyNumberFormat="1" applyFont="1" applyFill="1" applyBorder="1" applyAlignment="1" applyProtection="1">
      <alignment horizontal="center" vertical="center"/>
      <protection locked="0" hidden="1"/>
    </xf>
    <xf numFmtId="177" fontId="29" fillId="26" borderId="28" xfId="0" applyNumberFormat="1" applyFont="1" applyFill="1" applyBorder="1" applyAlignment="1" applyProtection="1">
      <alignment horizontal="center" vertical="center"/>
      <protection locked="0" hidden="1"/>
    </xf>
    <xf numFmtId="9" fontId="8" fillId="26" borderId="28" xfId="6" applyFont="1" applyFill="1" applyBorder="1" applyAlignment="1" applyProtection="1">
      <alignment horizontal="center" vertical="center"/>
      <protection locked="0" hidden="1"/>
    </xf>
    <xf numFmtId="0" fontId="8" fillId="34" borderId="0" xfId="0" applyFont="1" applyFill="1" applyAlignment="1" applyProtection="1">
      <alignment horizontal="left" vertical="center"/>
      <protection locked="0" hidden="1"/>
    </xf>
    <xf numFmtId="0" fontId="8" fillId="26" borderId="28" xfId="0" applyFont="1" applyFill="1" applyBorder="1" applyAlignment="1" applyProtection="1">
      <alignment horizontal="center" vertical="center"/>
      <protection locked="0" hidden="1"/>
    </xf>
    <xf numFmtId="0" fontId="40" fillId="34" borderId="28" xfId="0" applyFont="1" applyFill="1" applyBorder="1" applyAlignment="1" applyProtection="1">
      <alignment vertical="center"/>
      <protection locked="0" hidden="1"/>
    </xf>
    <xf numFmtId="0" fontId="15" fillId="37" borderId="28" xfId="0" applyFont="1" applyFill="1" applyBorder="1" applyAlignment="1" applyProtection="1">
      <alignment horizontal="left" vertical="center" wrapText="1" indent="1"/>
      <protection locked="0"/>
    </xf>
    <xf numFmtId="0" fontId="15" fillId="39" borderId="28" xfId="0" applyFont="1" applyFill="1" applyBorder="1" applyAlignment="1" applyProtection="1">
      <alignment horizontal="center" vertical="center"/>
      <protection locked="0" hidden="1"/>
    </xf>
    <xf numFmtId="0" fontId="8" fillId="39" borderId="54" xfId="0" applyFont="1" applyFill="1" applyBorder="1" applyAlignment="1" applyProtection="1">
      <alignment horizontal="center" vertical="center"/>
      <protection locked="0" hidden="1"/>
    </xf>
    <xf numFmtId="0" fontId="15" fillId="37" borderId="28" xfId="0" applyFont="1" applyFill="1" applyBorder="1" applyAlignment="1" applyProtection="1">
      <alignment horizontal="center" vertical="center" wrapText="1"/>
      <protection locked="0" hidden="1"/>
    </xf>
    <xf numFmtId="178" fontId="15" fillId="37" borderId="28" xfId="7" applyNumberFormat="1" applyFont="1" applyFill="1" applyBorder="1" applyAlignment="1" applyProtection="1">
      <alignment horizontal="center" vertical="center"/>
      <protection locked="0" hidden="1"/>
    </xf>
    <xf numFmtId="3" fontId="8" fillId="26" borderId="28" xfId="0" applyNumberFormat="1" applyFont="1" applyFill="1" applyBorder="1" applyAlignment="1" applyProtection="1">
      <alignment horizontal="center" vertical="center"/>
      <protection locked="0" hidden="1"/>
    </xf>
    <xf numFmtId="0" fontId="15" fillId="36" borderId="28" xfId="0" applyFont="1" applyFill="1" applyBorder="1" applyAlignment="1" applyProtection="1">
      <alignment horizontal="center" vertical="center" wrapText="1"/>
      <protection locked="0" hidden="1"/>
    </xf>
    <xf numFmtId="0" fontId="15" fillId="26" borderId="28" xfId="0" applyFont="1" applyFill="1" applyBorder="1" applyAlignment="1" applyProtection="1">
      <alignment horizontal="center" vertical="center"/>
      <protection locked="0" hidden="1"/>
    </xf>
    <xf numFmtId="1" fontId="15" fillId="26" borderId="28" xfId="0" applyNumberFormat="1" applyFont="1" applyFill="1" applyBorder="1" applyAlignment="1" applyProtection="1">
      <alignment horizontal="center" vertical="center"/>
      <protection locked="0" hidden="1"/>
    </xf>
    <xf numFmtId="165" fontId="15" fillId="39" borderId="28" xfId="2" applyNumberFormat="1" applyFont="1" applyFill="1" applyBorder="1" applyAlignment="1" applyProtection="1">
      <alignment horizontal="center" vertical="center"/>
      <protection locked="0" hidden="1"/>
    </xf>
    <xf numFmtId="165" fontId="15" fillId="39" borderId="47" xfId="2" applyNumberFormat="1" applyFont="1" applyFill="1" applyBorder="1" applyAlignment="1" applyProtection="1">
      <alignment horizontal="center" vertical="center"/>
      <protection locked="0"/>
    </xf>
    <xf numFmtId="3" fontId="8" fillId="37" borderId="28" xfId="0" applyNumberFormat="1" applyFont="1" applyFill="1" applyBorder="1" applyAlignment="1" applyProtection="1">
      <alignment horizontal="center" vertical="center"/>
      <protection locked="0" hidden="1"/>
    </xf>
    <xf numFmtId="0" fontId="15" fillId="22" borderId="28" xfId="0" applyFont="1" applyFill="1" applyBorder="1" applyAlignment="1" applyProtection="1">
      <alignment horizontal="left" vertical="center" wrapText="1" indent="1"/>
      <protection locked="0"/>
    </xf>
    <xf numFmtId="0" fontId="81" fillId="4" borderId="1" xfId="14" applyFill="1" applyBorder="1" applyAlignment="1">
      <alignment horizontal="center" vertical="center" wrapText="1"/>
    </xf>
    <xf numFmtId="0" fontId="0" fillId="0" borderId="0" xfId="0" applyProtection="1">
      <protection hidden="1"/>
    </xf>
    <xf numFmtId="0" fontId="3" fillId="0" borderId="55" xfId="0" applyFont="1" applyBorder="1" applyAlignment="1" applyProtection="1">
      <alignment horizontal="center"/>
      <protection hidden="1"/>
    </xf>
    <xf numFmtId="0" fontId="3" fillId="0" borderId="71" xfId="0" applyFont="1" applyBorder="1" applyAlignment="1" applyProtection="1">
      <alignment horizontal="center"/>
      <protection hidden="1"/>
    </xf>
    <xf numFmtId="0" fontId="15" fillId="39" borderId="30" xfId="0" applyFont="1" applyFill="1" applyBorder="1" applyAlignment="1" applyProtection="1">
      <alignment horizontal="left" vertical="center" wrapText="1" indent="1"/>
      <protection hidden="1"/>
    </xf>
    <xf numFmtId="3" fontId="28" fillId="0" borderId="74" xfId="0" applyNumberFormat="1" applyFont="1" applyBorder="1" applyAlignment="1" applyProtection="1">
      <alignment horizontal="center" vertical="center"/>
      <protection hidden="1"/>
    </xf>
    <xf numFmtId="3" fontId="28" fillId="0" borderId="75" xfId="0" applyNumberFormat="1" applyFont="1" applyBorder="1" applyAlignment="1" applyProtection="1">
      <alignment horizontal="center" vertical="center"/>
      <protection hidden="1"/>
    </xf>
    <xf numFmtId="0" fontId="15" fillId="39" borderId="73" xfId="0" applyFont="1" applyFill="1" applyBorder="1" applyAlignment="1" applyProtection="1">
      <alignment horizontal="left" vertical="center" wrapText="1" indent="1"/>
      <protection hidden="1"/>
    </xf>
    <xf numFmtId="0" fontId="15" fillId="0" borderId="0" xfId="0" applyFont="1" applyAlignment="1" applyProtection="1">
      <alignment horizontal="left" vertical="center" wrapText="1" indent="1"/>
      <protection hidden="1"/>
    </xf>
    <xf numFmtId="9" fontId="0" fillId="0" borderId="55" xfId="6" applyFont="1" applyBorder="1" applyProtection="1">
      <protection hidden="1"/>
    </xf>
    <xf numFmtId="9" fontId="0" fillId="0" borderId="71" xfId="0" applyNumberFormat="1" applyBorder="1" applyProtection="1">
      <protection hidden="1"/>
    </xf>
    <xf numFmtId="0" fontId="15" fillId="39" borderId="72" xfId="0" applyFont="1" applyFill="1" applyBorder="1" applyAlignment="1" applyProtection="1">
      <alignment horizontal="left" vertical="center" wrapText="1" indent="1"/>
      <protection hidden="1"/>
    </xf>
    <xf numFmtId="9" fontId="0" fillId="0" borderId="70" xfId="6" applyFont="1" applyBorder="1" applyProtection="1">
      <protection hidden="1"/>
    </xf>
    <xf numFmtId="9" fontId="0" fillId="0" borderId="69" xfId="0" applyNumberFormat="1" applyBorder="1" applyProtection="1">
      <protection hidden="1"/>
    </xf>
    <xf numFmtId="0" fontId="15" fillId="39" borderId="46" xfId="0" applyFont="1" applyFill="1" applyBorder="1" applyAlignment="1" applyProtection="1">
      <alignment horizontal="left" vertical="center" wrapText="1" indent="1"/>
      <protection hidden="1"/>
    </xf>
    <xf numFmtId="0" fontId="8" fillId="53" borderId="28" xfId="0" applyFont="1" applyFill="1" applyBorder="1" applyAlignment="1" applyProtection="1">
      <alignment horizontal="center" vertical="center"/>
      <protection locked="0"/>
    </xf>
    <xf numFmtId="0" fontId="0" fillId="0" borderId="0" xfId="0" applyProtection="1">
      <protection locked="0"/>
    </xf>
    <xf numFmtId="0" fontId="81" fillId="36" borderId="68" xfId="14" applyFill="1" applyBorder="1" applyAlignment="1" applyProtection="1">
      <alignment horizontal="center" vertical="center" wrapText="1"/>
      <protection locked="0"/>
    </xf>
    <xf numFmtId="0" fontId="0" fillId="22" borderId="1" xfId="0" applyFill="1" applyBorder="1" applyProtection="1">
      <protection locked="0"/>
    </xf>
    <xf numFmtId="0" fontId="3" fillId="22" borderId="1" xfId="0" applyFont="1" applyFill="1" applyBorder="1" applyProtection="1">
      <protection locked="0"/>
    </xf>
    <xf numFmtId="0" fontId="3" fillId="0" borderId="1" xfId="0" applyFont="1" applyBorder="1" applyProtection="1">
      <protection locked="0"/>
    </xf>
    <xf numFmtId="0" fontId="116" fillId="0" borderId="1" xfId="0" applyFont="1" applyBorder="1" applyAlignment="1" applyProtection="1">
      <alignment vertical="center" wrapText="1"/>
      <protection locked="0"/>
    </xf>
    <xf numFmtId="165" fontId="116" fillId="0" borderId="1" xfId="2" applyNumberFormat="1" applyFont="1" applyBorder="1" applyAlignment="1" applyProtection="1">
      <alignment vertical="center" wrapText="1"/>
      <protection locked="0"/>
    </xf>
    <xf numFmtId="0" fontId="116" fillId="5" borderId="1" xfId="0" applyFont="1" applyFill="1" applyBorder="1" applyAlignment="1" applyProtection="1">
      <alignment vertical="center" wrapText="1"/>
      <protection locked="0"/>
    </xf>
    <xf numFmtId="0" fontId="116" fillId="0" borderId="5" xfId="0" applyFont="1" applyBorder="1" applyAlignment="1" applyProtection="1">
      <alignment vertical="center" wrapText="1"/>
      <protection locked="0"/>
    </xf>
    <xf numFmtId="0" fontId="116" fillId="5" borderId="5" xfId="0" applyFont="1" applyFill="1" applyBorder="1" applyAlignment="1" applyProtection="1">
      <alignment vertical="center" wrapText="1"/>
      <protection locked="0"/>
    </xf>
    <xf numFmtId="0" fontId="0" fillId="0" borderId="1" xfId="0" applyBorder="1" applyProtection="1">
      <protection locked="0"/>
    </xf>
    <xf numFmtId="165" fontId="0" fillId="0" borderId="1" xfId="0" applyNumberFormat="1" applyBorder="1" applyProtection="1">
      <protection locked="0"/>
    </xf>
    <xf numFmtId="165" fontId="3" fillId="22" borderId="1" xfId="0" applyNumberFormat="1" applyFont="1" applyFill="1" applyBorder="1" applyProtection="1">
      <protection locked="0"/>
    </xf>
    <xf numFmtId="165" fontId="0" fillId="0" borderId="1" xfId="2" applyNumberFormat="1" applyFont="1" applyBorder="1" applyProtection="1">
      <protection locked="0"/>
    </xf>
    <xf numFmtId="0" fontId="3" fillId="22" borderId="4" xfId="0" applyFont="1" applyFill="1" applyBorder="1" applyProtection="1">
      <protection locked="0"/>
    </xf>
    <xf numFmtId="0" fontId="21" fillId="40" borderId="1" xfId="0" applyFont="1" applyFill="1" applyBorder="1" applyAlignment="1" applyProtection="1">
      <alignment horizontal="center" vertical="top" wrapText="1"/>
      <protection locked="0"/>
    </xf>
    <xf numFmtId="0" fontId="0" fillId="47"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56" fillId="0" borderId="1" xfId="0"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3" fillId="8" borderId="1" xfId="0" applyFont="1" applyFill="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0" fillId="12" borderId="1" xfId="0" applyFill="1" applyBorder="1" applyAlignment="1" applyProtection="1">
      <alignment vertical="center" wrapText="1"/>
      <protection locked="0"/>
    </xf>
    <xf numFmtId="0" fontId="9" fillId="0" borderId="1" xfId="0" applyFont="1" applyBorder="1" applyAlignment="1" applyProtection="1">
      <alignment vertical="center" wrapText="1"/>
      <protection locked="0"/>
    </xf>
    <xf numFmtId="0" fontId="0" fillId="3" borderId="1" xfId="0" applyFill="1" applyBorder="1" applyAlignment="1" applyProtection="1">
      <alignment vertical="center" wrapText="1"/>
      <protection locked="0"/>
    </xf>
    <xf numFmtId="0" fontId="0" fillId="0" borderId="5" xfId="0" applyBorder="1" applyAlignment="1" applyProtection="1">
      <alignment vertical="center" wrapText="1"/>
      <protection locked="0"/>
    </xf>
    <xf numFmtId="0" fontId="0" fillId="0" borderId="0" xfId="0" applyAlignment="1" applyProtection="1">
      <alignment vertical="center" wrapText="1"/>
      <protection locked="0"/>
    </xf>
    <xf numFmtId="0" fontId="3" fillId="8" borderId="4" xfId="0" applyFont="1" applyFill="1" applyBorder="1" applyAlignment="1" applyProtection="1">
      <alignment horizontal="center" vertical="center" wrapText="1"/>
      <protection locked="0"/>
    </xf>
    <xf numFmtId="0" fontId="3" fillId="11" borderId="1" xfId="0" applyFont="1" applyFill="1" applyBorder="1" applyAlignment="1" applyProtection="1">
      <alignment horizontal="center" vertical="center" wrapText="1"/>
      <protection locked="0"/>
    </xf>
    <xf numFmtId="0" fontId="21" fillId="40" borderId="1" xfId="0" applyFont="1" applyFill="1" applyBorder="1" applyAlignment="1" applyProtection="1">
      <alignment horizontal="center" vertical="center" wrapText="1"/>
      <protection locked="0"/>
    </xf>
    <xf numFmtId="0" fontId="46" fillId="41" borderId="1" xfId="0" applyFont="1" applyFill="1" applyBorder="1" applyAlignment="1" applyProtection="1">
      <alignment horizontal="center" vertical="center" wrapText="1"/>
      <protection locked="0"/>
    </xf>
    <xf numFmtId="0" fontId="42" fillId="0" borderId="0" xfId="0" applyFont="1" applyProtection="1">
      <protection locked="0"/>
    </xf>
    <xf numFmtId="0" fontId="0" fillId="0" borderId="1" xfId="0" applyBorder="1" applyAlignment="1" applyProtection="1">
      <alignment vertical="center"/>
      <protection locked="0"/>
    </xf>
    <xf numFmtId="165" fontId="45" fillId="0" borderId="1" xfId="2" applyNumberFormat="1" applyFont="1" applyFill="1" applyBorder="1" applyAlignment="1" applyProtection="1">
      <alignment horizontal="left" vertical="center" wrapText="1"/>
      <protection locked="0"/>
    </xf>
    <xf numFmtId="165" fontId="0" fillId="0" borderId="2" xfId="0" applyNumberFormat="1" applyBorder="1" applyAlignment="1" applyProtection="1">
      <alignment vertical="center"/>
      <protection locked="0"/>
    </xf>
    <xf numFmtId="43" fontId="42" fillId="40" borderId="2" xfId="5" applyFont="1" applyFill="1" applyBorder="1" applyAlignment="1" applyProtection="1">
      <alignment vertical="center"/>
      <protection locked="0"/>
    </xf>
    <xf numFmtId="179" fontId="0" fillId="0" borderId="1" xfId="5" applyNumberFormat="1" applyFont="1" applyFill="1" applyBorder="1" applyAlignment="1" applyProtection="1">
      <alignment horizontal="center" vertical="center"/>
      <protection locked="0"/>
    </xf>
    <xf numFmtId="0" fontId="42" fillId="0" borderId="0" xfId="0" applyFont="1" applyAlignment="1" applyProtection="1">
      <alignment vertical="center"/>
      <protection locked="0"/>
    </xf>
    <xf numFmtId="44" fontId="0" fillId="0" borderId="0" xfId="2" applyFont="1" applyProtection="1">
      <protection locked="0"/>
    </xf>
    <xf numFmtId="0" fontId="0" fillId="0" borderId="1" xfId="0" applyBorder="1" applyAlignment="1" applyProtection="1">
      <alignment horizontal="right" vertical="center" wrapText="1"/>
      <protection locked="0"/>
    </xf>
    <xf numFmtId="49" fontId="45" fillId="0" borderId="1" xfId="2" applyNumberFormat="1" applyFont="1" applyFill="1" applyBorder="1" applyAlignment="1" applyProtection="1">
      <alignment horizontal="left" vertical="center" wrapText="1"/>
      <protection locked="0"/>
    </xf>
    <xf numFmtId="179" fontId="42" fillId="0" borderId="0" xfId="0" applyNumberFormat="1" applyFont="1" applyProtection="1">
      <protection locked="0"/>
    </xf>
    <xf numFmtId="165" fontId="42" fillId="0" borderId="0" xfId="0" applyNumberFormat="1" applyFont="1" applyProtection="1">
      <protection locked="0"/>
    </xf>
    <xf numFmtId="165" fontId="45" fillId="0" borderId="1" xfId="2" applyNumberFormat="1" applyFont="1" applyFill="1" applyBorder="1" applyAlignment="1" applyProtection="1">
      <alignment vertical="center" wrapText="1"/>
      <protection locked="0"/>
    </xf>
    <xf numFmtId="0" fontId="45" fillId="0" borderId="1" xfId="0" applyFont="1" applyBorder="1" applyAlignment="1" applyProtection="1">
      <alignment vertical="center" wrapText="1"/>
      <protection locked="0"/>
    </xf>
    <xf numFmtId="43" fontId="42" fillId="40" borderId="32" xfId="5" applyFont="1" applyFill="1" applyBorder="1" applyAlignment="1" applyProtection="1">
      <alignment vertical="center"/>
      <protection locked="0"/>
    </xf>
    <xf numFmtId="0" fontId="47" fillId="0" borderId="1" xfId="0" applyFont="1" applyBorder="1" applyAlignment="1" applyProtection="1">
      <alignment vertical="center" wrapText="1"/>
      <protection locked="0"/>
    </xf>
    <xf numFmtId="43" fontId="42" fillId="40" borderId="0" xfId="5" applyFont="1" applyFill="1" applyBorder="1" applyAlignment="1" applyProtection="1">
      <alignment vertical="center"/>
      <protection locked="0"/>
    </xf>
    <xf numFmtId="165" fontId="45" fillId="0" borderId="1" xfId="2" applyNumberFormat="1" applyFont="1" applyBorder="1" applyAlignment="1" applyProtection="1">
      <alignment horizontal="left" vertical="center" wrapText="1"/>
      <protection locked="0"/>
    </xf>
    <xf numFmtId="165" fontId="47" fillId="0" borderId="1" xfId="2" applyNumberFormat="1" applyFont="1" applyFill="1" applyBorder="1" applyAlignment="1" applyProtection="1">
      <alignment horizontal="left" vertical="center" wrapText="1"/>
      <protection locked="0"/>
    </xf>
    <xf numFmtId="165" fontId="45" fillId="0" borderId="5" xfId="2" applyNumberFormat="1" applyFont="1" applyFill="1" applyBorder="1" applyAlignment="1" applyProtection="1">
      <alignment horizontal="left" vertical="center" wrapText="1"/>
      <protection locked="0"/>
    </xf>
    <xf numFmtId="165" fontId="47" fillId="0" borderId="5" xfId="2" applyNumberFormat="1" applyFont="1" applyFill="1" applyBorder="1" applyAlignment="1" applyProtection="1">
      <alignment horizontal="left" vertical="center" wrapText="1"/>
      <protection locked="0"/>
    </xf>
    <xf numFmtId="0" fontId="0" fillId="0" borderId="5" xfId="0" applyBorder="1" applyAlignment="1" applyProtection="1">
      <alignment horizontal="left" wrapText="1"/>
      <protection locked="0"/>
    </xf>
    <xf numFmtId="0" fontId="0" fillId="0" borderId="27" xfId="0" applyBorder="1" applyAlignment="1" applyProtection="1">
      <alignment horizontal="left" wrapText="1"/>
      <protection locked="0"/>
    </xf>
    <xf numFmtId="0" fontId="0" fillId="0" borderId="6" xfId="0" applyBorder="1" applyAlignment="1" applyProtection="1">
      <alignment horizontal="left" wrapText="1"/>
      <protection locked="0"/>
    </xf>
    <xf numFmtId="0" fontId="0" fillId="0" borderId="1" xfId="0" applyBorder="1" applyAlignment="1" applyProtection="1">
      <alignment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wrapText="1"/>
      <protection locked="0"/>
    </xf>
    <xf numFmtId="179" fontId="0" fillId="0" borderId="0" xfId="0" applyNumberFormat="1" applyAlignment="1" applyProtection="1">
      <alignment vertical="center"/>
      <protection locked="0"/>
    </xf>
    <xf numFmtId="0" fontId="0" fillId="0" borderId="0" xfId="0" applyAlignment="1" applyProtection="1">
      <alignment horizontal="center"/>
      <protection locked="0"/>
    </xf>
    <xf numFmtId="179" fontId="55" fillId="0" borderId="1" xfId="5" applyNumberFormat="1" applyFont="1" applyFill="1" applyBorder="1" applyAlignment="1" applyProtection="1">
      <alignment horizontal="center" vertical="center"/>
      <protection locked="0"/>
    </xf>
    <xf numFmtId="165" fontId="0" fillId="0" borderId="0" xfId="0" applyNumberFormat="1" applyAlignment="1" applyProtection="1">
      <alignment vertical="center"/>
      <protection locked="0"/>
    </xf>
    <xf numFmtId="165" fontId="0" fillId="0" borderId="0" xfId="0" applyNumberFormat="1" applyProtection="1">
      <protection locked="0"/>
    </xf>
    <xf numFmtId="165" fontId="0" fillId="0" borderId="0" xfId="0" applyNumberFormat="1" applyAlignment="1" applyProtection="1">
      <alignment horizontal="center" vertical="center"/>
      <protection locked="0"/>
    </xf>
    <xf numFmtId="179" fontId="42" fillId="0" borderId="0" xfId="0" applyNumberFormat="1" applyFont="1" applyAlignment="1" applyProtection="1">
      <alignment horizontal="center" vertical="center"/>
      <protection locked="0"/>
    </xf>
    <xf numFmtId="0" fontId="42" fillId="0" borderId="0" xfId="0" applyFont="1" applyAlignment="1" applyProtection="1">
      <alignment horizontal="center" vertical="center"/>
      <protection locked="0"/>
    </xf>
    <xf numFmtId="179" fontId="0" fillId="0" borderId="0" xfId="5" applyNumberFormat="1" applyFont="1" applyProtection="1">
      <protection locked="0"/>
    </xf>
    <xf numFmtId="0" fontId="45" fillId="0" borderId="0" xfId="0" applyFont="1" applyProtection="1">
      <protection locked="0"/>
    </xf>
    <xf numFmtId="179" fontId="42" fillId="0" borderId="0" xfId="5" applyNumberFormat="1" applyFont="1" applyProtection="1">
      <protection locked="0"/>
    </xf>
    <xf numFmtId="0" fontId="8" fillId="37" borderId="86" xfId="0" applyFont="1" applyFill="1" applyBorder="1" applyAlignment="1" applyProtection="1">
      <alignment vertical="center" wrapText="1"/>
      <protection locked="0"/>
    </xf>
    <xf numFmtId="0" fontId="8" fillId="37" borderId="86" xfId="0" applyFont="1" applyFill="1" applyBorder="1" applyAlignment="1" applyProtection="1">
      <alignment horizontal="center" vertical="center" wrapText="1"/>
      <protection locked="0"/>
    </xf>
    <xf numFmtId="165" fontId="1" fillId="2" borderId="0" xfId="2" applyNumberFormat="1" applyFill="1" applyBorder="1"/>
    <xf numFmtId="1" fontId="0" fillId="3" borderId="1" xfId="0" applyNumberFormat="1" applyFill="1" applyBorder="1" applyProtection="1">
      <protection locked="0"/>
    </xf>
    <xf numFmtId="0" fontId="8" fillId="26" borderId="28" xfId="0" applyFont="1" applyFill="1" applyBorder="1" applyAlignment="1">
      <alignment horizontal="center" vertical="center"/>
    </xf>
    <xf numFmtId="44" fontId="0" fillId="0" borderId="1" xfId="2" applyFont="1" applyBorder="1"/>
    <xf numFmtId="0" fontId="117" fillId="9" borderId="1" xfId="0" applyFont="1" applyFill="1" applyBorder="1" applyAlignment="1">
      <alignment wrapText="1"/>
    </xf>
    <xf numFmtId="165" fontId="0" fillId="0" borderId="1" xfId="2" applyNumberFormat="1" applyFont="1" applyBorder="1" applyAlignment="1" applyProtection="1">
      <alignment horizontal="center"/>
      <protection locked="0"/>
    </xf>
    <xf numFmtId="0" fontId="3" fillId="41" borderId="1" xfId="0" applyFont="1" applyFill="1" applyBorder="1" applyProtection="1">
      <protection locked="0"/>
    </xf>
    <xf numFmtId="0" fontId="3" fillId="41" borderId="1" xfId="0" applyFont="1" applyFill="1" applyBorder="1" applyAlignment="1" applyProtection="1">
      <alignment wrapText="1"/>
      <protection locked="0"/>
    </xf>
    <xf numFmtId="1" fontId="0" fillId="0" borderId="0" xfId="0" applyNumberFormat="1" applyProtection="1">
      <protection locked="0"/>
    </xf>
    <xf numFmtId="0" fontId="8" fillId="53" borderId="30" xfId="0" applyFont="1" applyFill="1" applyBorder="1" applyAlignment="1" applyProtection="1">
      <alignment horizontal="center" vertical="center"/>
      <protection locked="0"/>
    </xf>
    <xf numFmtId="165" fontId="116" fillId="0" borderId="1" xfId="2" applyNumberFormat="1" applyFont="1" applyFill="1" applyBorder="1" applyAlignment="1" applyProtection="1">
      <alignment vertical="center" wrapText="1"/>
      <protection locked="0"/>
    </xf>
    <xf numFmtId="0" fontId="0" fillId="50" borderId="1" xfId="0" applyFill="1" applyBorder="1" applyProtection="1">
      <protection locked="0"/>
    </xf>
    <xf numFmtId="165" fontId="0" fillId="50" borderId="1" xfId="0" applyNumberFormat="1" applyFill="1" applyBorder="1" applyProtection="1">
      <protection locked="0"/>
    </xf>
    <xf numFmtId="0" fontId="116" fillId="50" borderId="1" xfId="0" applyFont="1" applyFill="1" applyBorder="1" applyAlignment="1" applyProtection="1">
      <alignment vertical="center" wrapText="1"/>
      <protection locked="0"/>
    </xf>
    <xf numFmtId="0" fontId="76" fillId="50" borderId="1" xfId="0" applyFont="1" applyFill="1" applyBorder="1" applyAlignment="1" applyProtection="1">
      <alignment wrapText="1"/>
      <protection locked="0"/>
    </xf>
    <xf numFmtId="0" fontId="57" fillId="34" borderId="29" xfId="0" applyFont="1" applyFill="1" applyBorder="1" applyAlignment="1">
      <alignment vertical="center" wrapText="1"/>
    </xf>
    <xf numFmtId="0" fontId="24" fillId="22" borderId="28" xfId="0" applyFont="1" applyFill="1" applyBorder="1" applyAlignment="1">
      <alignment horizontal="left" vertical="center" wrapText="1" indent="1"/>
    </xf>
    <xf numFmtId="178" fontId="8" fillId="22" borderId="28" xfId="0" applyNumberFormat="1" applyFont="1" applyFill="1" applyBorder="1" applyAlignment="1">
      <alignment horizontal="left" vertical="center" wrapText="1" indent="1"/>
    </xf>
    <xf numFmtId="165" fontId="15" fillId="22" borderId="28" xfId="2" applyNumberFormat="1" applyFont="1" applyFill="1" applyBorder="1" applyAlignment="1">
      <alignment horizontal="left" vertical="center" wrapText="1" indent="1"/>
    </xf>
    <xf numFmtId="9" fontId="15" fillId="41" borderId="28" xfId="6" applyFont="1" applyFill="1" applyBorder="1" applyAlignment="1" applyProtection="1">
      <alignment horizontal="center" vertical="center"/>
      <protection locked="0"/>
    </xf>
    <xf numFmtId="0" fontId="3" fillId="5" borderId="1" xfId="0" applyFont="1" applyFill="1" applyBorder="1"/>
    <xf numFmtId="0" fontId="0" fillId="21" borderId="1" xfId="0" applyFill="1" applyBorder="1"/>
    <xf numFmtId="0" fontId="118" fillId="26" borderId="1" xfId="0" applyFont="1" applyFill="1" applyBorder="1" applyAlignment="1">
      <alignment horizontal="left" vertical="center"/>
    </xf>
    <xf numFmtId="0" fontId="118" fillId="5" borderId="1" xfId="0" applyFont="1" applyFill="1" applyBorder="1" applyAlignment="1">
      <alignment horizontal="left" vertical="center"/>
    </xf>
    <xf numFmtId="165" fontId="0" fillId="0" borderId="1" xfId="2" applyNumberFormat="1" applyFont="1" applyFill="1" applyBorder="1"/>
    <xf numFmtId="0" fontId="28" fillId="0" borderId="1" xfId="0" applyFont="1" applyBorder="1" applyAlignment="1">
      <alignment vertical="center"/>
    </xf>
    <xf numFmtId="0" fontId="28" fillId="0" borderId="53" xfId="0" applyFont="1" applyBorder="1" applyAlignment="1">
      <alignment vertical="center"/>
    </xf>
    <xf numFmtId="0" fontId="81" fillId="0" borderId="1" xfId="14" applyBorder="1" applyAlignment="1">
      <alignment wrapText="1"/>
    </xf>
    <xf numFmtId="178" fontId="8" fillId="22" borderId="28" xfId="0" applyNumberFormat="1" applyFont="1" applyFill="1" applyBorder="1" applyAlignment="1">
      <alignment horizontal="center" vertical="center" wrapText="1"/>
    </xf>
    <xf numFmtId="0" fontId="14" fillId="4" borderId="1" xfId="0" applyFont="1" applyFill="1" applyBorder="1" applyAlignment="1">
      <alignment horizontal="center"/>
    </xf>
    <xf numFmtId="3" fontId="14" fillId="4" borderId="1" xfId="0" applyNumberFormat="1" applyFont="1" applyFill="1" applyBorder="1" applyAlignment="1">
      <alignment horizontal="center"/>
    </xf>
    <xf numFmtId="177" fontId="29" fillId="0" borderId="1" xfId="6" applyNumberFormat="1" applyFont="1" applyBorder="1"/>
    <xf numFmtId="0" fontId="8" fillId="0" borderId="1" xfId="0" applyFont="1" applyBorder="1" applyAlignment="1">
      <alignment vertical="center" wrapText="1"/>
    </xf>
    <xf numFmtId="0" fontId="8" fillId="0" borderId="0" xfId="0" applyFont="1" applyAlignment="1">
      <alignment vertical="center" wrapText="1"/>
    </xf>
    <xf numFmtId="165" fontId="0" fillId="0" borderId="5" xfId="2" applyNumberFormat="1" applyFont="1" applyBorder="1"/>
    <xf numFmtId="165" fontId="0" fillId="0" borderId="1" xfId="2" applyNumberFormat="1" applyFont="1" applyFill="1" applyBorder="1" applyProtection="1">
      <protection locked="0"/>
    </xf>
    <xf numFmtId="0" fontId="119" fillId="0" borderId="97" xfId="0" applyFont="1" applyBorder="1" applyAlignment="1">
      <alignment horizontal="center" vertical="center" wrapText="1"/>
    </xf>
    <xf numFmtId="0" fontId="119" fillId="0" borderId="98" xfId="0" applyFont="1" applyBorder="1" applyAlignment="1">
      <alignment horizontal="center" vertical="center" wrapText="1"/>
    </xf>
    <xf numFmtId="0" fontId="119" fillId="0" borderId="99" xfId="0" applyFont="1" applyBorder="1" applyAlignment="1">
      <alignment vertical="center" wrapText="1"/>
    </xf>
    <xf numFmtId="0" fontId="119" fillId="0" borderId="100" xfId="0" applyFont="1" applyBorder="1" applyAlignment="1">
      <alignment horizontal="center" vertical="center" wrapText="1"/>
    </xf>
    <xf numFmtId="0" fontId="0" fillId="5" borderId="53" xfId="0" applyFill="1" applyBorder="1"/>
    <xf numFmtId="0" fontId="0" fillId="0" borderId="53" xfId="0" applyBorder="1"/>
    <xf numFmtId="0" fontId="0" fillId="0" borderId="58" xfId="0" applyBorder="1"/>
    <xf numFmtId="0" fontId="0" fillId="0" borderId="40" xfId="0" applyBorder="1"/>
    <xf numFmtId="0" fontId="0" fillId="0" borderId="53" xfId="0" applyBorder="1" applyProtection="1">
      <protection locked="0"/>
    </xf>
    <xf numFmtId="165" fontId="0" fillId="0" borderId="6" xfId="2" applyNumberFormat="1" applyFont="1" applyBorder="1"/>
    <xf numFmtId="165" fontId="65" fillId="0" borderId="0" xfId="0" applyNumberFormat="1" applyFont="1"/>
    <xf numFmtId="0" fontId="0" fillId="5" borderId="9" xfId="0" applyFill="1" applyBorder="1"/>
    <xf numFmtId="183" fontId="29" fillId="0" borderId="1" xfId="0" applyNumberFormat="1" applyFont="1" applyBorder="1"/>
    <xf numFmtId="183" fontId="29" fillId="0" borderId="1" xfId="2" applyNumberFormat="1" applyFont="1" applyBorder="1"/>
    <xf numFmtId="44" fontId="65" fillId="0" borderId="0" xfId="0" applyNumberFormat="1" applyFont="1"/>
    <xf numFmtId="0" fontId="40" fillId="34" borderId="29" xfId="0" applyFont="1" applyFill="1" applyBorder="1" applyAlignment="1" applyProtection="1">
      <alignment horizontal="center" vertical="center" wrapText="1"/>
      <protection hidden="1"/>
    </xf>
    <xf numFmtId="0" fontId="40" fillId="34" borderId="0" xfId="0" applyFont="1" applyFill="1" applyAlignment="1" applyProtection="1">
      <alignment horizontal="center" vertical="center" wrapText="1"/>
      <protection hidden="1"/>
    </xf>
    <xf numFmtId="0" fontId="15" fillId="39" borderId="28" xfId="0" applyFont="1" applyFill="1" applyBorder="1" applyAlignment="1" applyProtection="1">
      <alignment horizontal="left" vertical="center" indent="1"/>
      <protection locked="0"/>
    </xf>
    <xf numFmtId="0" fontId="15" fillId="39" borderId="30" xfId="0" applyFont="1" applyFill="1" applyBorder="1" applyAlignment="1" applyProtection="1">
      <alignment horizontal="left" vertical="center" indent="1"/>
      <protection locked="0"/>
    </xf>
    <xf numFmtId="0" fontId="40" fillId="34" borderId="0" xfId="0" applyFont="1" applyFill="1" applyAlignment="1">
      <alignment horizontal="center" vertical="center" wrapText="1"/>
    </xf>
    <xf numFmtId="14" fontId="15" fillId="39" borderId="28" xfId="0" applyNumberFormat="1" applyFont="1" applyFill="1" applyBorder="1" applyAlignment="1" applyProtection="1">
      <alignment horizontal="center" vertical="center"/>
      <protection locked="0"/>
    </xf>
    <xf numFmtId="0" fontId="15" fillId="39" borderId="55" xfId="0" applyFont="1" applyFill="1" applyBorder="1" applyAlignment="1" applyProtection="1">
      <alignment horizontal="center" vertical="center"/>
      <protection locked="0"/>
    </xf>
    <xf numFmtId="0" fontId="40" fillId="16" borderId="28" xfId="0" applyFont="1" applyFill="1" applyBorder="1" applyAlignment="1" applyProtection="1">
      <alignment horizontal="center" vertical="center" wrapText="1"/>
      <protection locked="0"/>
    </xf>
    <xf numFmtId="0" fontId="40" fillId="16" borderId="73" xfId="0" applyFont="1" applyFill="1" applyBorder="1" applyAlignment="1" applyProtection="1">
      <alignment horizontal="center" vertical="center" wrapText="1"/>
      <protection locked="0"/>
    </xf>
    <xf numFmtId="0" fontId="40" fillId="16" borderId="30" xfId="0" applyFont="1" applyFill="1" applyBorder="1" applyAlignment="1" applyProtection="1">
      <alignment horizontal="center" vertical="center" wrapText="1"/>
      <protection locked="0"/>
    </xf>
    <xf numFmtId="0" fontId="40" fillId="34" borderId="29" xfId="0" applyFont="1" applyFill="1" applyBorder="1" applyAlignment="1">
      <alignment horizontal="left" vertical="center" wrapText="1"/>
    </xf>
    <xf numFmtId="0" fontId="40" fillId="34" borderId="0" xfId="0" applyFont="1" applyFill="1" applyAlignment="1">
      <alignment horizontal="left" vertical="center" wrapText="1"/>
    </xf>
    <xf numFmtId="0" fontId="40" fillId="34" borderId="29" xfId="0" applyFont="1" applyFill="1" applyBorder="1" applyAlignment="1">
      <alignment horizontal="center" vertical="center" wrapText="1"/>
    </xf>
    <xf numFmtId="0" fontId="15" fillId="39" borderId="28" xfId="0" applyFont="1" applyFill="1" applyBorder="1" applyAlignment="1" applyProtection="1">
      <alignment horizontal="left" vertical="center" wrapText="1" indent="1"/>
      <protection locked="0"/>
    </xf>
    <xf numFmtId="0" fontId="40" fillId="34" borderId="0" xfId="0" applyFont="1" applyFill="1" applyAlignment="1" applyProtection="1">
      <alignment horizontal="center" vertical="center"/>
      <protection hidden="1"/>
    </xf>
    <xf numFmtId="0" fontId="38" fillId="23" borderId="46" xfId="0" applyFont="1" applyFill="1" applyBorder="1" applyAlignment="1" applyProtection="1">
      <alignment horizontal="center" vertical="center"/>
      <protection hidden="1"/>
    </xf>
    <xf numFmtId="0" fontId="38" fillId="23" borderId="45" xfId="0" applyFont="1" applyFill="1" applyBorder="1" applyAlignment="1" applyProtection="1">
      <alignment horizontal="center" vertical="center"/>
      <protection hidden="1"/>
    </xf>
    <xf numFmtId="165" fontId="15" fillId="39" borderId="30" xfId="2" applyNumberFormat="1" applyFont="1" applyFill="1" applyBorder="1" applyAlignment="1" applyProtection="1">
      <alignment horizontal="center" vertical="center"/>
      <protection locked="0" hidden="1"/>
    </xf>
    <xf numFmtId="165" fontId="15" fillId="39" borderId="31" xfId="2" applyNumberFormat="1" applyFont="1" applyFill="1" applyBorder="1" applyAlignment="1" applyProtection="1">
      <alignment horizontal="center" vertical="center"/>
      <protection locked="0" hidden="1"/>
    </xf>
    <xf numFmtId="165" fontId="15" fillId="39" borderId="48" xfId="2" applyNumberFormat="1" applyFont="1" applyFill="1" applyBorder="1" applyAlignment="1" applyProtection="1">
      <alignment horizontal="center" vertical="center"/>
      <protection locked="0"/>
    </xf>
    <xf numFmtId="165" fontId="15" fillId="39" borderId="49" xfId="2" applyNumberFormat="1" applyFont="1" applyFill="1" applyBorder="1" applyAlignment="1" applyProtection="1">
      <alignment horizontal="center" vertical="center"/>
      <protection locked="0"/>
    </xf>
    <xf numFmtId="0" fontId="40" fillId="34" borderId="45" xfId="0" applyFont="1" applyFill="1" applyBorder="1" applyAlignment="1">
      <alignment horizontal="center" vertical="center"/>
    </xf>
    <xf numFmtId="0" fontId="40" fillId="34" borderId="46" xfId="0" applyFont="1" applyFill="1" applyBorder="1" applyAlignment="1">
      <alignment horizontal="center" vertical="center"/>
    </xf>
    <xf numFmtId="0" fontId="0" fillId="0" borderId="5" xfId="0" applyBorder="1" applyAlignment="1">
      <alignment horizontal="left" vertical="center" wrapText="1"/>
    </xf>
    <xf numFmtId="0" fontId="0" fillId="0" borderId="27"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center" vertical="center" wrapText="1"/>
    </xf>
    <xf numFmtId="0" fontId="0" fillId="0" borderId="27"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wrapText="1"/>
    </xf>
    <xf numFmtId="0" fontId="0" fillId="0" borderId="27" xfId="0" applyBorder="1" applyAlignment="1">
      <alignment horizontal="center" wrapText="1"/>
    </xf>
    <xf numFmtId="0" fontId="0" fillId="0" borderId="6" xfId="0" applyBorder="1" applyAlignment="1">
      <alignment horizontal="center" wrapText="1"/>
    </xf>
    <xf numFmtId="0" fontId="0" fillId="0" borderId="5" xfId="0" applyBorder="1" applyAlignment="1" applyProtection="1">
      <alignment horizontal="left" vertical="center" wrapText="1"/>
      <protection locked="0"/>
    </xf>
    <xf numFmtId="0" fontId="0" fillId="0" borderId="27"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center" vertical="center" wrapText="1"/>
      <protection locked="0"/>
    </xf>
    <xf numFmtId="0" fontId="0" fillId="0" borderId="27"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wrapText="1"/>
      <protection locked="0"/>
    </xf>
    <xf numFmtId="0" fontId="0" fillId="0" borderId="27" xfId="0" applyBorder="1" applyAlignment="1" applyProtection="1">
      <alignment horizontal="center" wrapText="1"/>
      <protection locked="0"/>
    </xf>
    <xf numFmtId="0" fontId="0" fillId="0" borderId="6" xfId="0" applyBorder="1" applyAlignment="1" applyProtection="1">
      <alignment horizontal="center" wrapText="1"/>
      <protection locked="0"/>
    </xf>
    <xf numFmtId="0" fontId="0" fillId="0" borderId="0" xfId="0" applyAlignment="1" applyProtection="1">
      <alignment horizontal="center" wrapText="1"/>
      <protection hidden="1"/>
    </xf>
    <xf numFmtId="0" fontId="3" fillId="22" borderId="1" xfId="0" applyFont="1" applyFill="1" applyBorder="1" applyAlignment="1" applyProtection="1">
      <alignment horizontal="center"/>
      <protection locked="0"/>
    </xf>
    <xf numFmtId="173" fontId="75" fillId="0" borderId="20" xfId="11" applyNumberFormat="1" applyFont="1" applyBorder="1" applyAlignment="1">
      <alignment horizontal="center" vertical="center"/>
    </xf>
    <xf numFmtId="173" fontId="75" fillId="0" borderId="8" xfId="11" applyNumberFormat="1" applyFont="1" applyBorder="1" applyAlignment="1">
      <alignment horizontal="center" vertical="center"/>
    </xf>
    <xf numFmtId="173" fontId="75" fillId="10" borderId="20" xfId="11" applyNumberFormat="1" applyFont="1" applyFill="1" applyBorder="1" applyAlignment="1">
      <alignment horizontal="center" vertical="center"/>
    </xf>
    <xf numFmtId="173" fontId="75" fillId="10" borderId="8" xfId="11" applyNumberFormat="1" applyFont="1" applyFill="1" applyBorder="1" applyAlignment="1">
      <alignment horizontal="center" vertical="center"/>
    </xf>
    <xf numFmtId="173" fontId="75" fillId="25" borderId="20" xfId="11" applyNumberFormat="1" applyFont="1" applyFill="1" applyBorder="1" applyAlignment="1">
      <alignment horizontal="center" vertical="center"/>
    </xf>
    <xf numFmtId="173" fontId="75" fillId="25" borderId="8" xfId="11" applyNumberFormat="1" applyFont="1" applyFill="1" applyBorder="1" applyAlignment="1">
      <alignment horizontal="center" vertical="center"/>
    </xf>
    <xf numFmtId="173" fontId="77" fillId="47" borderId="21" xfId="11" applyNumberFormat="1" applyFont="1" applyFill="1" applyBorder="1" applyAlignment="1">
      <alignment horizontal="center" vertical="center" wrapText="1"/>
    </xf>
    <xf numFmtId="173" fontId="75" fillId="11" borderId="20" xfId="11" applyNumberFormat="1" applyFont="1" applyFill="1" applyBorder="1" applyAlignment="1">
      <alignment horizontal="center" vertical="center"/>
    </xf>
    <xf numFmtId="173" fontId="75" fillId="11" borderId="8" xfId="11" applyNumberFormat="1" applyFont="1" applyFill="1" applyBorder="1" applyAlignment="1">
      <alignment horizontal="center" vertical="center"/>
    </xf>
    <xf numFmtId="0" fontId="29" fillId="0" borderId="5" xfId="0" applyFont="1" applyBorder="1" applyAlignment="1">
      <alignment horizontal="center"/>
    </xf>
    <xf numFmtId="0" fontId="29" fillId="0" borderId="27" xfId="0" applyFont="1" applyBorder="1" applyAlignment="1">
      <alignment horizontal="center"/>
    </xf>
    <xf numFmtId="0" fontId="29" fillId="0" borderId="6" xfId="0" applyFont="1" applyBorder="1" applyAlignment="1">
      <alignment horizontal="center"/>
    </xf>
    <xf numFmtId="0" fontId="29" fillId="12" borderId="2" xfId="0" applyFont="1" applyFill="1" applyBorder="1" applyAlignment="1">
      <alignment horizontal="center"/>
    </xf>
    <xf numFmtId="0" fontId="29" fillId="12" borderId="4" xfId="0" applyFont="1" applyFill="1" applyBorder="1" applyAlignment="1">
      <alignment horizontal="center"/>
    </xf>
    <xf numFmtId="0" fontId="14" fillId="4" borderId="96" xfId="0" applyFont="1" applyFill="1" applyBorder="1" applyAlignment="1">
      <alignment horizontal="center"/>
    </xf>
    <xf numFmtId="0" fontId="0" fillId="0" borderId="1" xfId="0" applyBorder="1" applyAlignment="1">
      <alignment horizontal="left"/>
    </xf>
    <xf numFmtId="0" fontId="3" fillId="9" borderId="2" xfId="0" applyFont="1" applyFill="1" applyBorder="1" applyAlignment="1">
      <alignment horizontal="right"/>
    </xf>
    <xf numFmtId="0" fontId="3" fillId="9" borderId="4" xfId="0" applyFont="1" applyFill="1" applyBorder="1" applyAlignment="1">
      <alignment horizontal="right"/>
    </xf>
    <xf numFmtId="0" fontId="6" fillId="7" borderId="2"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3" fillId="9" borderId="1" xfId="0" applyFont="1" applyFill="1" applyBorder="1" applyAlignment="1">
      <alignment horizontal="right"/>
    </xf>
    <xf numFmtId="0" fontId="0" fillId="14" borderId="50" xfId="0" applyFill="1" applyBorder="1" applyAlignment="1">
      <alignment horizontal="center"/>
    </xf>
    <xf numFmtId="0" fontId="0" fillId="14" borderId="32" xfId="0" applyFill="1" applyBorder="1" applyAlignment="1">
      <alignment horizontal="center"/>
    </xf>
    <xf numFmtId="0" fontId="0" fillId="14" borderId="26" xfId="0" applyFill="1" applyBorder="1" applyAlignment="1">
      <alignment horizontal="center"/>
    </xf>
    <xf numFmtId="0" fontId="3" fillId="9" borderId="2" xfId="0" applyFont="1" applyFill="1" applyBorder="1" applyAlignment="1">
      <alignment horizontal="center"/>
    </xf>
    <xf numFmtId="0" fontId="3" fillId="9" borderId="4" xfId="0" applyFont="1" applyFill="1" applyBorder="1" applyAlignment="1">
      <alignment horizontal="center"/>
    </xf>
    <xf numFmtId="0" fontId="72" fillId="16" borderId="1" xfId="0" applyFont="1" applyFill="1" applyBorder="1" applyAlignment="1">
      <alignment horizontal="center"/>
    </xf>
    <xf numFmtId="0" fontId="0" fillId="16" borderId="11" xfId="0" applyFill="1" applyBorder="1" applyAlignment="1">
      <alignment horizontal="center"/>
    </xf>
    <xf numFmtId="0" fontId="0" fillId="16" borderId="59" xfId="0" applyFill="1" applyBorder="1" applyAlignment="1">
      <alignment horizontal="center"/>
    </xf>
    <xf numFmtId="0" fontId="0" fillId="16" borderId="14" xfId="0" applyFill="1" applyBorder="1" applyAlignment="1">
      <alignment horizontal="center"/>
    </xf>
    <xf numFmtId="0" fontId="0" fillId="46" borderId="57" xfId="0" applyFill="1" applyBorder="1" applyAlignment="1">
      <alignment horizontal="center"/>
    </xf>
    <xf numFmtId="0" fontId="0" fillId="46" borderId="34" xfId="0" applyFill="1" applyBorder="1" applyAlignment="1">
      <alignment horizontal="center"/>
    </xf>
    <xf numFmtId="0" fontId="0" fillId="46" borderId="52" xfId="0" applyFill="1" applyBorder="1" applyAlignment="1">
      <alignment horizontal="center"/>
    </xf>
    <xf numFmtId="0" fontId="0" fillId="4" borderId="1" xfId="0" applyFill="1" applyBorder="1" applyAlignment="1">
      <alignment horizontal="center" vertical="center"/>
    </xf>
    <xf numFmtId="0" fontId="0" fillId="47" borderId="57" xfId="0" applyFill="1" applyBorder="1" applyAlignment="1">
      <alignment horizontal="center"/>
    </xf>
    <xf numFmtId="0" fontId="0" fillId="47" borderId="34" xfId="0" applyFill="1" applyBorder="1" applyAlignment="1">
      <alignment horizontal="center"/>
    </xf>
    <xf numFmtId="0" fontId="0" fillId="47" borderId="52" xfId="0" applyFill="1" applyBorder="1" applyAlignment="1">
      <alignment horizontal="center"/>
    </xf>
    <xf numFmtId="0" fontId="71" fillId="16" borderId="1" xfId="0" applyFont="1" applyFill="1" applyBorder="1" applyAlignment="1">
      <alignment horizontal="center"/>
    </xf>
    <xf numFmtId="0" fontId="3" fillId="16" borderId="30" xfId="0" applyFont="1" applyFill="1" applyBorder="1" applyAlignment="1">
      <alignment horizontal="center"/>
    </xf>
    <xf numFmtId="0" fontId="3" fillId="16" borderId="31" xfId="0" applyFont="1" applyFill="1" applyBorder="1" applyAlignment="1">
      <alignment horizontal="center"/>
    </xf>
    <xf numFmtId="0" fontId="85" fillId="0" borderId="1" xfId="0" applyFont="1" applyBorder="1" applyAlignment="1">
      <alignment horizontal="center" vertical="center" wrapText="1"/>
    </xf>
    <xf numFmtId="173" fontId="79" fillId="3" borderId="1" xfId="11" applyNumberFormat="1" applyFont="1" applyFill="1" applyBorder="1" applyAlignment="1">
      <alignment horizontal="center" vertical="center" wrapText="1"/>
    </xf>
    <xf numFmtId="0" fontId="0" fillId="0" borderId="1" xfId="0"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center" vertical="center"/>
    </xf>
    <xf numFmtId="0" fontId="71" fillId="16" borderId="5" xfId="0" applyFont="1" applyFill="1" applyBorder="1" applyAlignment="1">
      <alignment horizontal="center"/>
    </xf>
    <xf numFmtId="0" fontId="95" fillId="8" borderId="1" xfId="0" applyFont="1" applyFill="1" applyBorder="1" applyAlignment="1">
      <alignment horizontal="center" vertical="center" wrapText="1"/>
    </xf>
    <xf numFmtId="0" fontId="114" fillId="59" borderId="93" xfId="0" applyFont="1" applyFill="1" applyBorder="1" applyAlignment="1">
      <alignment horizontal="center" vertical="center" wrapText="1" readingOrder="1"/>
    </xf>
    <xf numFmtId="0" fontId="114" fillId="59" borderId="94" xfId="0" applyFont="1" applyFill="1" applyBorder="1" applyAlignment="1">
      <alignment horizontal="center" vertical="center" wrapText="1" readingOrder="1"/>
    </xf>
    <xf numFmtId="0" fontId="114" fillId="59" borderId="95" xfId="0" applyFont="1" applyFill="1" applyBorder="1" applyAlignment="1">
      <alignment horizontal="center" vertical="center" wrapText="1" readingOrder="1"/>
    </xf>
    <xf numFmtId="0" fontId="69" fillId="49" borderId="2" xfId="0" applyFont="1" applyFill="1" applyBorder="1" applyAlignment="1">
      <alignment horizontal="center"/>
    </xf>
    <xf numFmtId="0" fontId="69" fillId="49" borderId="3" xfId="0" applyFont="1" applyFill="1" applyBorder="1" applyAlignment="1">
      <alignment horizontal="center"/>
    </xf>
    <xf numFmtId="0" fontId="69" fillId="49" borderId="4" xfId="0" applyFont="1" applyFill="1" applyBorder="1" applyAlignment="1">
      <alignment horizontal="center"/>
    </xf>
    <xf numFmtId="0" fontId="70" fillId="49" borderId="2" xfId="0" applyFont="1" applyFill="1" applyBorder="1" applyAlignment="1">
      <alignment horizontal="center"/>
    </xf>
    <xf numFmtId="0" fontId="70" fillId="49" borderId="3" xfId="0" applyFont="1" applyFill="1" applyBorder="1" applyAlignment="1">
      <alignment horizontal="center"/>
    </xf>
    <xf numFmtId="0" fontId="70" fillId="49" borderId="4" xfId="0" applyFont="1" applyFill="1" applyBorder="1" applyAlignment="1">
      <alignment horizontal="center"/>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71" fillId="0" borderId="1" xfId="0" applyFont="1" applyBorder="1" applyAlignment="1">
      <alignment horizontal="center"/>
    </xf>
    <xf numFmtId="0" fontId="3" fillId="0" borderId="1" xfId="0" applyFont="1" applyBorder="1" applyAlignment="1">
      <alignment horizontal="center" vertical="center" wrapText="1"/>
    </xf>
    <xf numFmtId="0" fontId="0" fillId="12" borderId="2" xfId="0" applyFill="1" applyBorder="1" applyAlignment="1">
      <alignment horizontal="center" wrapText="1"/>
    </xf>
    <xf numFmtId="0" fontId="0" fillId="12" borderId="3" xfId="0" applyFill="1" applyBorder="1" applyAlignment="1">
      <alignment horizontal="center" wrapText="1"/>
    </xf>
    <xf numFmtId="0" fontId="0" fillId="12" borderId="4" xfId="0" applyFill="1" applyBorder="1" applyAlignment="1">
      <alignment horizontal="center" wrapText="1"/>
    </xf>
    <xf numFmtId="0" fontId="3" fillId="12" borderId="2" xfId="0" applyFont="1" applyFill="1" applyBorder="1" applyAlignment="1">
      <alignment horizontal="center" wrapText="1"/>
    </xf>
    <xf numFmtId="0" fontId="3" fillId="12" borderId="3" xfId="0" applyFont="1" applyFill="1" applyBorder="1" applyAlignment="1">
      <alignment horizontal="center" wrapText="1"/>
    </xf>
    <xf numFmtId="0" fontId="3" fillId="12" borderId="4" xfId="0" applyFont="1" applyFill="1" applyBorder="1" applyAlignment="1">
      <alignment horizontal="center" wrapText="1"/>
    </xf>
    <xf numFmtId="0" fontId="3" fillId="4" borderId="50" xfId="0" applyFont="1" applyFill="1" applyBorder="1" applyAlignment="1">
      <alignment horizontal="center"/>
    </xf>
    <xf numFmtId="0" fontId="3" fillId="4" borderId="51" xfId="0" applyFont="1" applyFill="1" applyBorder="1" applyAlignment="1">
      <alignment horizontal="center"/>
    </xf>
    <xf numFmtId="0" fontId="3" fillId="38" borderId="1" xfId="0" applyFont="1" applyFill="1" applyBorder="1" applyAlignment="1">
      <alignment horizontal="center"/>
    </xf>
    <xf numFmtId="0" fontId="3" fillId="18" borderId="2" xfId="0" applyFont="1" applyFill="1" applyBorder="1" applyAlignment="1">
      <alignment horizontal="center"/>
    </xf>
    <xf numFmtId="0" fontId="3" fillId="18" borderId="4" xfId="0" applyFont="1" applyFill="1" applyBorder="1" applyAlignment="1">
      <alignment horizontal="center"/>
    </xf>
    <xf numFmtId="0" fontId="3" fillId="2" borderId="2" xfId="0" applyFont="1" applyFill="1" applyBorder="1" applyAlignment="1">
      <alignment horizontal="center"/>
    </xf>
    <xf numFmtId="0" fontId="3" fillId="2" borderId="4" xfId="0" applyFont="1" applyFill="1" applyBorder="1" applyAlignment="1">
      <alignment horizontal="center"/>
    </xf>
    <xf numFmtId="0" fontId="3" fillId="50" borderId="2" xfId="0" applyFont="1" applyFill="1" applyBorder="1" applyAlignment="1">
      <alignment horizontal="center"/>
    </xf>
    <xf numFmtId="0" fontId="3" fillId="50" borderId="3" xfId="0" applyFont="1" applyFill="1" applyBorder="1" applyAlignment="1">
      <alignment horizontal="center"/>
    </xf>
    <xf numFmtId="0" fontId="3" fillId="5" borderId="50" xfId="0" applyFont="1" applyFill="1" applyBorder="1" applyAlignment="1">
      <alignment horizontal="center"/>
    </xf>
    <xf numFmtId="0" fontId="3" fillId="5" borderId="51" xfId="0" applyFont="1" applyFill="1" applyBorder="1" applyAlignment="1">
      <alignment horizontal="center"/>
    </xf>
    <xf numFmtId="0" fontId="96" fillId="56" borderId="20" xfId="15" applyFont="1" applyFill="1" applyBorder="1" applyAlignment="1">
      <alignment horizontal="center" vertical="center" wrapText="1"/>
    </xf>
    <xf numFmtId="0" fontId="96" fillId="56" borderId="21" xfId="15" applyFont="1" applyFill="1" applyBorder="1" applyAlignment="1">
      <alignment horizontal="center" vertical="center" wrapText="1"/>
    </xf>
    <xf numFmtId="0" fontId="97" fillId="0" borderId="5" xfId="15" applyFont="1" applyBorder="1"/>
    <xf numFmtId="0" fontId="97" fillId="0" borderId="6" xfId="15" applyFont="1" applyBorder="1"/>
    <xf numFmtId="0" fontId="96" fillId="56" borderId="58" xfId="20" applyFont="1" applyFill="1" applyBorder="1" applyAlignment="1">
      <alignment horizontal="center" vertical="center" wrapText="1"/>
    </xf>
    <xf numFmtId="0" fontId="96" fillId="56" borderId="0" xfId="20" applyFont="1" applyFill="1" applyAlignment="1">
      <alignment horizontal="center" vertical="center" wrapText="1"/>
    </xf>
    <xf numFmtId="0" fontId="97" fillId="0" borderId="5" xfId="20" applyFont="1" applyBorder="1" applyAlignment="1">
      <alignment horizontal="left" vertical="center"/>
    </xf>
    <xf numFmtId="0" fontId="97" fillId="0" borderId="6" xfId="20" applyFont="1" applyBorder="1" applyAlignment="1">
      <alignment horizontal="left" vertical="center"/>
    </xf>
    <xf numFmtId="0" fontId="96" fillId="56" borderId="0" xfId="19" applyFont="1" applyFill="1" applyAlignment="1">
      <alignment horizontal="center" vertical="center" wrapText="1"/>
    </xf>
    <xf numFmtId="0" fontId="97" fillId="0" borderId="5" xfId="19" applyFont="1" applyBorder="1" applyAlignment="1">
      <alignment horizontal="left" vertical="center"/>
    </xf>
    <xf numFmtId="0" fontId="97" fillId="0" borderId="6" xfId="19" applyFont="1" applyBorder="1" applyAlignment="1">
      <alignment horizontal="left" vertical="center"/>
    </xf>
    <xf numFmtId="0" fontId="96" fillId="56" borderId="58" xfId="15" applyFont="1" applyFill="1" applyBorder="1" applyAlignment="1">
      <alignment horizontal="center" vertical="center" wrapText="1"/>
    </xf>
    <xf numFmtId="0" fontId="96" fillId="56" borderId="0" xfId="15" applyFont="1" applyFill="1" applyAlignment="1">
      <alignment horizontal="center" vertical="center" wrapText="1"/>
    </xf>
    <xf numFmtId="0" fontId="97" fillId="57" borderId="2" xfId="15" applyFont="1" applyFill="1" applyBorder="1" applyAlignment="1">
      <alignment horizontal="center"/>
    </xf>
    <xf numFmtId="0" fontId="97" fillId="57" borderId="4" xfId="15" applyFont="1" applyFill="1" applyBorder="1" applyAlignment="1">
      <alignment horizontal="center"/>
    </xf>
    <xf numFmtId="0" fontId="97" fillId="0" borderId="5" xfId="15" applyFont="1" applyBorder="1" applyAlignment="1">
      <alignment horizontal="left"/>
    </xf>
    <xf numFmtId="0" fontId="97" fillId="0" borderId="6" xfId="15" applyFont="1" applyBorder="1" applyAlignment="1">
      <alignment horizontal="left"/>
    </xf>
    <xf numFmtId="0" fontId="21" fillId="27" borderId="11" xfId="0" applyFont="1" applyFill="1" applyBorder="1" applyAlignment="1">
      <alignment horizontal="center"/>
    </xf>
    <xf numFmtId="0" fontId="21" fillId="27" borderId="12" xfId="0" applyFont="1" applyFill="1" applyBorder="1" applyAlignment="1">
      <alignment horizontal="center"/>
    </xf>
    <xf numFmtId="0" fontId="21" fillId="27" borderId="13" xfId="0" applyFont="1" applyFill="1" applyBorder="1" applyAlignment="1">
      <alignment horizontal="center"/>
    </xf>
    <xf numFmtId="0" fontId="21" fillId="27" borderId="14" xfId="0" applyFont="1" applyFill="1" applyBorder="1" applyAlignment="1">
      <alignment horizontal="center"/>
    </xf>
    <xf numFmtId="0" fontId="3" fillId="28" borderId="20" xfId="0" applyFont="1" applyFill="1" applyBorder="1" applyAlignment="1">
      <alignment horizontal="center"/>
    </xf>
    <xf numFmtId="0" fontId="3" fillId="28" borderId="21" xfId="0" applyFont="1" applyFill="1" applyBorder="1" applyAlignment="1">
      <alignment horizontal="center"/>
    </xf>
    <xf numFmtId="0" fontId="3" fillId="28" borderId="8" xfId="0" applyFont="1" applyFill="1" applyBorder="1" applyAlignment="1">
      <alignment horizontal="center"/>
    </xf>
    <xf numFmtId="0" fontId="3" fillId="9" borderId="2"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4" xfId="0" applyFont="1" applyFill="1" applyBorder="1" applyAlignment="1">
      <alignment horizontal="center" vertical="center" wrapText="1"/>
    </xf>
  </cellXfs>
  <cellStyles count="22">
    <cellStyle name="Comma 3" xfId="9" xr:uid="{02AECB9C-56BB-423E-B4EB-9A1D0FD2185F}"/>
    <cellStyle name="Hipervínculo" xfId="14" builtinId="8"/>
    <cellStyle name="Hipervínculo 2" xfId="17" xr:uid="{FAB07C28-A6DD-47A5-BC20-B927B2E2FFF6}"/>
    <cellStyle name="Millares" xfId="5" builtinId="3"/>
    <cellStyle name="Millares [0]" xfId="1" builtinId="6"/>
    <cellStyle name="Millares 2" xfId="11" xr:uid="{515EB8DC-1230-420B-8FD9-033ABC0FB37C}"/>
    <cellStyle name="Millares 2 2" xfId="12" xr:uid="{7E17712C-AF21-403C-BAD3-2FC20FBDE65B}"/>
    <cellStyle name="Millares 3" xfId="13" xr:uid="{2C8B9793-F72F-41B0-B91F-05A72F48C833}"/>
    <cellStyle name="Millares 4" xfId="18" xr:uid="{7A623F9C-19CD-4828-8CA7-257856DF53EE}"/>
    <cellStyle name="Moneda" xfId="2" builtinId="4"/>
    <cellStyle name="Moneda [0]" xfId="3" builtinId="7"/>
    <cellStyle name="Moneda 2" xfId="4" xr:uid="{99516091-287A-4802-8DFA-E84AFC47C37D}"/>
    <cellStyle name="Moneda 3" xfId="7" xr:uid="{05C34279-5020-40CF-AE01-44266246CC6D}"/>
    <cellStyle name="Normal" xfId="0" builtinId="0"/>
    <cellStyle name="Normal 2" xfId="10" xr:uid="{46C89C6E-33DA-48F3-8BBA-AEB817D19DC7}"/>
    <cellStyle name="Normal 2 2" xfId="20" xr:uid="{2791F72E-D5AF-4BA8-BD31-5CE1AE10917D}"/>
    <cellStyle name="Normal 3" xfId="15" xr:uid="{7490F905-3799-4E3A-BAFC-96AF429DA6C4}"/>
    <cellStyle name="Normal 5" xfId="8" xr:uid="{5DA177FB-4C91-4282-90EE-61CC897B86EB}"/>
    <cellStyle name="Normal_PUERTO RICO" xfId="19" xr:uid="{5AB10859-58DC-4E47-BA19-F1BABD043BEE}"/>
    <cellStyle name="Percent 2" xfId="21" xr:uid="{D634818E-26AB-4770-92CC-1F7936BB8999}"/>
    <cellStyle name="Porcentaje" xfId="6" builtinId="5"/>
    <cellStyle name="Porcentaje 2" xfId="16" xr:uid="{61CD9420-B28D-4B2E-A92B-2A878CE28C4C}"/>
  </cellStyles>
  <dxfs count="27">
    <dxf>
      <font>
        <b val="0"/>
        <i val="0"/>
        <color theme="0"/>
      </font>
      <fill>
        <patternFill>
          <bgColor rgb="FFFFF0E5"/>
        </patternFill>
      </fill>
    </dxf>
    <dxf>
      <font>
        <b val="0"/>
        <i val="0"/>
        <color theme="0"/>
      </font>
      <fill>
        <patternFill>
          <bgColor rgb="FFFFF0E5"/>
        </patternFill>
      </fill>
    </dxf>
    <dxf>
      <font>
        <color theme="0" tint="-4.9989318521683403E-2"/>
      </font>
      <fill>
        <patternFill>
          <bgColor theme="0" tint="-4.9989318521683403E-2"/>
        </patternFill>
      </fill>
      <border>
        <left/>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0"/>
      </font>
      <fill>
        <patternFill>
          <bgColor rgb="FFFFF0E5"/>
        </patternFill>
      </fill>
    </dxf>
    <dxf>
      <font>
        <b val="0"/>
        <i val="0"/>
        <color theme="0"/>
      </font>
      <fill>
        <patternFill>
          <bgColor rgb="FFFFF0E5"/>
        </patternFill>
      </fill>
    </dxf>
    <dxf>
      <font>
        <b val="0"/>
        <i val="0"/>
        <color theme="0"/>
      </font>
      <fill>
        <patternFill>
          <bgColor rgb="FFFFF0E5"/>
        </patternFill>
      </fill>
    </dxf>
    <dxf>
      <font>
        <b val="0"/>
        <i val="0"/>
        <color theme="0"/>
      </font>
      <fill>
        <patternFill>
          <bgColor rgb="FFFFF0E5"/>
        </patternFill>
      </fill>
    </dxf>
    <dxf>
      <font>
        <b val="0"/>
        <i val="0"/>
        <color theme="0"/>
      </font>
      <fill>
        <patternFill>
          <bgColor rgb="FFFFF0E5"/>
        </patternFill>
      </fill>
    </dxf>
    <dxf>
      <font>
        <b val="0"/>
        <i val="0"/>
        <color theme="0"/>
      </font>
      <fill>
        <patternFill>
          <bgColor rgb="FFFFF0E5"/>
        </patternFill>
      </fill>
    </dxf>
    <dxf>
      <font>
        <b val="0"/>
        <i val="0"/>
        <color theme="0"/>
      </font>
      <fill>
        <patternFill>
          <bgColor rgb="FFFFF0E5"/>
        </patternFill>
      </fill>
    </dxf>
    <dxf>
      <font>
        <color theme="0" tint="-4.9989318521683403E-2"/>
      </font>
      <fill>
        <patternFill>
          <bgColor theme="0" tint="-4.9989318521683403E-2"/>
        </patternFill>
      </fill>
      <border>
        <left/>
        <right/>
        <top/>
        <bottom/>
      </border>
    </dxf>
  </dxfs>
  <tableStyles count="0" defaultTableStyle="TableStyleMedium2" defaultPivotStyle="PivotStyleLight16"/>
  <colors>
    <mruColors>
      <color rgb="FFCCCCFF"/>
      <color rgb="FFE5E5FF"/>
      <color rgb="FFFFF0E5"/>
      <color rgb="FF008000"/>
      <color rgb="FFFFEEE1"/>
      <color rgb="FFBEF200"/>
      <color rgb="FFCE9B7C"/>
      <color rgb="FFFFCCCC"/>
      <color rgb="FF44546A"/>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CheckBox" checked="Checked" fmlaLink="$B$49" noThreeD="1"/>
</file>

<file path=xl/ctrlProps/ctrlProp3.xml><?xml version="1.0" encoding="utf-8"?>
<formControlPr xmlns="http://schemas.microsoft.com/office/spreadsheetml/2009/9/main" objectType="CheckBox" fmlaLink="B50" noThreeD="1"/>
</file>

<file path=xl/ctrlProps/ctrlProp4.xml><?xml version="1.0" encoding="utf-8"?>
<formControlPr xmlns="http://schemas.microsoft.com/office/spreadsheetml/2009/9/main" objectType="CheckBox" fmlaLink="B51" noThreeD="1"/>
</file>

<file path=xl/ctrlProps/ctrlProp5.xml><?xml version="1.0" encoding="utf-8"?>
<formControlPr xmlns="http://schemas.microsoft.com/office/spreadsheetml/2009/9/main" objectType="CheckBox" fmlaLink="B52" noThreeD="1"/>
</file>

<file path=xl/ctrlProps/ctrlProp6.xml><?xml version="1.0" encoding="utf-8"?>
<formControlPr xmlns="http://schemas.microsoft.com/office/spreadsheetml/2009/9/main" objectType="CheckBox" fmlaLink="B53" noThreeD="1"/>
</file>

<file path=xl/ctrlProps/ctrlProp7.xml><?xml version="1.0" encoding="utf-8"?>
<formControlPr xmlns="http://schemas.microsoft.com/office/spreadsheetml/2009/9/main" objectType="CheckBox" fmlaLink="B54" noThreeD="1"/>
</file>

<file path=xl/ctrlProps/ctrlProp8.xml><?xml version="1.0" encoding="utf-8"?>
<formControlPr xmlns="http://schemas.microsoft.com/office/spreadsheetml/2009/9/main" objectType="CheckBox" fmlaLink="B55" noThreeD="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6" Type="http://schemas.openxmlformats.org/officeDocument/2006/relationships/image" Target="../media/image28.png"/><Relationship Id="rId21" Type="http://schemas.openxmlformats.org/officeDocument/2006/relationships/image" Target="../media/image23.png"/><Relationship Id="rId34" Type="http://schemas.openxmlformats.org/officeDocument/2006/relationships/image" Target="../media/image35.emf"/><Relationship Id="rId42" Type="http://schemas.openxmlformats.org/officeDocument/2006/relationships/image" Target="../media/image43.jpeg"/><Relationship Id="rId47" Type="http://schemas.openxmlformats.org/officeDocument/2006/relationships/image" Target="../media/image48.png"/><Relationship Id="rId50" Type="http://schemas.openxmlformats.org/officeDocument/2006/relationships/image" Target="../media/image51.emf"/><Relationship Id="rId55" Type="http://schemas.openxmlformats.org/officeDocument/2006/relationships/image" Target="../media/image56.emf"/><Relationship Id="rId63" Type="http://schemas.openxmlformats.org/officeDocument/2006/relationships/image" Target="../media/image64.png"/><Relationship Id="rId7" Type="http://schemas.openxmlformats.org/officeDocument/2006/relationships/image" Target="../media/image9.png"/><Relationship Id="rId2" Type="http://schemas.openxmlformats.org/officeDocument/2006/relationships/image" Target="../media/image4.png"/><Relationship Id="rId16" Type="http://schemas.openxmlformats.org/officeDocument/2006/relationships/image" Target="../media/image18.png"/><Relationship Id="rId29" Type="http://schemas.openxmlformats.org/officeDocument/2006/relationships/image" Target="../media/image30.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3.emf"/><Relationship Id="rId37" Type="http://schemas.openxmlformats.org/officeDocument/2006/relationships/image" Target="../media/image38.emf"/><Relationship Id="rId40" Type="http://schemas.openxmlformats.org/officeDocument/2006/relationships/image" Target="../media/image41.png"/><Relationship Id="rId45" Type="http://schemas.openxmlformats.org/officeDocument/2006/relationships/image" Target="../media/image46.png"/><Relationship Id="rId53" Type="http://schemas.openxmlformats.org/officeDocument/2006/relationships/image" Target="../media/image54.jpeg"/><Relationship Id="rId58" Type="http://schemas.openxmlformats.org/officeDocument/2006/relationships/image" Target="../media/image59.emf"/><Relationship Id="rId66" Type="http://schemas.openxmlformats.org/officeDocument/2006/relationships/image" Target="../media/image67.png"/><Relationship Id="rId5" Type="http://schemas.openxmlformats.org/officeDocument/2006/relationships/image" Target="../media/image7.png"/><Relationship Id="rId61" Type="http://schemas.openxmlformats.org/officeDocument/2006/relationships/image" Target="../media/image62.png"/><Relationship Id="rId19" Type="http://schemas.openxmlformats.org/officeDocument/2006/relationships/image" Target="../media/image21.jpeg"/><Relationship Id="rId14" Type="http://schemas.openxmlformats.org/officeDocument/2006/relationships/image" Target="../media/image16.png"/><Relationship Id="rId22" Type="http://schemas.openxmlformats.org/officeDocument/2006/relationships/image" Target="../media/image24.emf"/><Relationship Id="rId27" Type="http://schemas.microsoft.com/office/2007/relationships/hdphoto" Target="../media/hdphoto1.wdp"/><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emf"/><Relationship Id="rId56" Type="http://schemas.openxmlformats.org/officeDocument/2006/relationships/image" Target="../media/image57.emf"/><Relationship Id="rId64" Type="http://schemas.openxmlformats.org/officeDocument/2006/relationships/image" Target="../media/image65.png"/><Relationship Id="rId8" Type="http://schemas.openxmlformats.org/officeDocument/2006/relationships/image" Target="../media/image10.png"/><Relationship Id="rId51" Type="http://schemas.openxmlformats.org/officeDocument/2006/relationships/image" Target="../media/image52.png"/><Relationship Id="rId3" Type="http://schemas.openxmlformats.org/officeDocument/2006/relationships/image" Target="../media/image5.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4.emf"/><Relationship Id="rId38" Type="http://schemas.openxmlformats.org/officeDocument/2006/relationships/image" Target="../media/image39.png"/><Relationship Id="rId46" Type="http://schemas.openxmlformats.org/officeDocument/2006/relationships/image" Target="../media/image47.png"/><Relationship Id="rId59" Type="http://schemas.openxmlformats.org/officeDocument/2006/relationships/image" Target="../media/image60.png"/><Relationship Id="rId67" Type="http://schemas.openxmlformats.org/officeDocument/2006/relationships/image" Target="../media/image68.png"/><Relationship Id="rId20" Type="http://schemas.openxmlformats.org/officeDocument/2006/relationships/image" Target="../media/image22.png"/><Relationship Id="rId41" Type="http://schemas.openxmlformats.org/officeDocument/2006/relationships/image" Target="../media/image42.png"/><Relationship Id="rId54" Type="http://schemas.openxmlformats.org/officeDocument/2006/relationships/image" Target="../media/image55.emf"/><Relationship Id="rId62" Type="http://schemas.openxmlformats.org/officeDocument/2006/relationships/image" Target="../media/image63.png"/><Relationship Id="rId1" Type="http://schemas.openxmlformats.org/officeDocument/2006/relationships/image" Target="../media/image3.emf"/><Relationship Id="rId6" Type="http://schemas.openxmlformats.org/officeDocument/2006/relationships/image" Target="../media/image8.jpg"/><Relationship Id="rId15" Type="http://schemas.openxmlformats.org/officeDocument/2006/relationships/image" Target="../media/image17.png"/><Relationship Id="rId23" Type="http://schemas.openxmlformats.org/officeDocument/2006/relationships/image" Target="../media/image25.jpe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emf"/><Relationship Id="rId57" Type="http://schemas.openxmlformats.org/officeDocument/2006/relationships/image" Target="../media/image58.png"/><Relationship Id="rId10" Type="http://schemas.openxmlformats.org/officeDocument/2006/relationships/image" Target="../media/image12.png"/><Relationship Id="rId31" Type="http://schemas.openxmlformats.org/officeDocument/2006/relationships/image" Target="../media/image32.emf"/><Relationship Id="rId44" Type="http://schemas.openxmlformats.org/officeDocument/2006/relationships/image" Target="../media/image45.png"/><Relationship Id="rId52" Type="http://schemas.openxmlformats.org/officeDocument/2006/relationships/image" Target="../media/image53.emf"/><Relationship Id="rId60" Type="http://schemas.openxmlformats.org/officeDocument/2006/relationships/image" Target="../media/image61.png"/><Relationship Id="rId65" Type="http://schemas.openxmlformats.org/officeDocument/2006/relationships/image" Target="../media/image66.png"/><Relationship Id="rId4" Type="http://schemas.openxmlformats.org/officeDocument/2006/relationships/image" Target="../media/image6.png"/><Relationship Id="rId9" Type="http://schemas.openxmlformats.org/officeDocument/2006/relationships/image" Target="../media/image11.png"/><Relationship Id="rId13" Type="http://schemas.openxmlformats.org/officeDocument/2006/relationships/image" Target="../media/image15.jpeg"/><Relationship Id="rId18" Type="http://schemas.openxmlformats.org/officeDocument/2006/relationships/image" Target="../media/image20.png"/><Relationship Id="rId39" Type="http://schemas.openxmlformats.org/officeDocument/2006/relationships/image" Target="../media/image40.png"/></Relationships>
</file>

<file path=xl/drawings/_rels/drawing3.xml.rels><?xml version="1.0" encoding="UTF-8" standalone="yes"?>
<Relationships xmlns="http://schemas.openxmlformats.org/package/2006/relationships"><Relationship Id="rId26" Type="http://schemas.openxmlformats.org/officeDocument/2006/relationships/image" Target="../media/image28.png"/><Relationship Id="rId21" Type="http://schemas.openxmlformats.org/officeDocument/2006/relationships/image" Target="../media/image23.png"/><Relationship Id="rId34" Type="http://schemas.openxmlformats.org/officeDocument/2006/relationships/image" Target="../media/image35.emf"/><Relationship Id="rId42" Type="http://schemas.openxmlformats.org/officeDocument/2006/relationships/image" Target="../media/image43.jpeg"/><Relationship Id="rId47" Type="http://schemas.openxmlformats.org/officeDocument/2006/relationships/image" Target="../media/image48.png"/><Relationship Id="rId50" Type="http://schemas.openxmlformats.org/officeDocument/2006/relationships/image" Target="../media/image51.emf"/><Relationship Id="rId55" Type="http://schemas.openxmlformats.org/officeDocument/2006/relationships/image" Target="../media/image56.emf"/><Relationship Id="rId63" Type="http://schemas.openxmlformats.org/officeDocument/2006/relationships/image" Target="../media/image64.png"/><Relationship Id="rId7" Type="http://schemas.openxmlformats.org/officeDocument/2006/relationships/image" Target="../media/image9.png"/><Relationship Id="rId2" Type="http://schemas.openxmlformats.org/officeDocument/2006/relationships/image" Target="../media/image4.png"/><Relationship Id="rId16" Type="http://schemas.openxmlformats.org/officeDocument/2006/relationships/image" Target="../media/image18.png"/><Relationship Id="rId29" Type="http://schemas.openxmlformats.org/officeDocument/2006/relationships/image" Target="../media/image30.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3.emf"/><Relationship Id="rId37" Type="http://schemas.openxmlformats.org/officeDocument/2006/relationships/image" Target="../media/image38.emf"/><Relationship Id="rId40" Type="http://schemas.openxmlformats.org/officeDocument/2006/relationships/image" Target="../media/image41.png"/><Relationship Id="rId45" Type="http://schemas.openxmlformats.org/officeDocument/2006/relationships/image" Target="../media/image46.png"/><Relationship Id="rId53" Type="http://schemas.openxmlformats.org/officeDocument/2006/relationships/image" Target="../media/image54.jpeg"/><Relationship Id="rId58" Type="http://schemas.openxmlformats.org/officeDocument/2006/relationships/image" Target="../media/image59.emf"/><Relationship Id="rId66" Type="http://schemas.openxmlformats.org/officeDocument/2006/relationships/image" Target="../media/image67.png"/><Relationship Id="rId5" Type="http://schemas.openxmlformats.org/officeDocument/2006/relationships/image" Target="../media/image7.png"/><Relationship Id="rId61" Type="http://schemas.openxmlformats.org/officeDocument/2006/relationships/image" Target="../media/image62.png"/><Relationship Id="rId19" Type="http://schemas.openxmlformats.org/officeDocument/2006/relationships/image" Target="../media/image21.jpeg"/><Relationship Id="rId14" Type="http://schemas.openxmlformats.org/officeDocument/2006/relationships/image" Target="../media/image16.png"/><Relationship Id="rId22" Type="http://schemas.openxmlformats.org/officeDocument/2006/relationships/image" Target="../media/image24.emf"/><Relationship Id="rId27" Type="http://schemas.microsoft.com/office/2007/relationships/hdphoto" Target="../media/hdphoto1.wdp"/><Relationship Id="rId30" Type="http://schemas.openxmlformats.org/officeDocument/2006/relationships/image" Target="../media/image31.png"/><Relationship Id="rId35" Type="http://schemas.openxmlformats.org/officeDocument/2006/relationships/image" Target="../media/image36.png"/><Relationship Id="rId43" Type="http://schemas.openxmlformats.org/officeDocument/2006/relationships/image" Target="../media/image44.png"/><Relationship Id="rId48" Type="http://schemas.openxmlformats.org/officeDocument/2006/relationships/image" Target="../media/image49.emf"/><Relationship Id="rId56" Type="http://schemas.openxmlformats.org/officeDocument/2006/relationships/image" Target="../media/image57.emf"/><Relationship Id="rId64" Type="http://schemas.openxmlformats.org/officeDocument/2006/relationships/image" Target="../media/image65.png"/><Relationship Id="rId8" Type="http://schemas.openxmlformats.org/officeDocument/2006/relationships/image" Target="../media/image10.png"/><Relationship Id="rId51" Type="http://schemas.openxmlformats.org/officeDocument/2006/relationships/image" Target="../media/image52.png"/><Relationship Id="rId3" Type="http://schemas.openxmlformats.org/officeDocument/2006/relationships/image" Target="../media/image5.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4.emf"/><Relationship Id="rId38" Type="http://schemas.openxmlformats.org/officeDocument/2006/relationships/image" Target="../media/image39.png"/><Relationship Id="rId46" Type="http://schemas.openxmlformats.org/officeDocument/2006/relationships/image" Target="../media/image47.png"/><Relationship Id="rId59" Type="http://schemas.openxmlformats.org/officeDocument/2006/relationships/image" Target="../media/image60.png"/><Relationship Id="rId67" Type="http://schemas.openxmlformats.org/officeDocument/2006/relationships/image" Target="../media/image68.png"/><Relationship Id="rId20" Type="http://schemas.openxmlformats.org/officeDocument/2006/relationships/image" Target="../media/image22.png"/><Relationship Id="rId41" Type="http://schemas.openxmlformats.org/officeDocument/2006/relationships/image" Target="../media/image42.png"/><Relationship Id="rId54" Type="http://schemas.openxmlformats.org/officeDocument/2006/relationships/image" Target="../media/image55.emf"/><Relationship Id="rId62" Type="http://schemas.openxmlformats.org/officeDocument/2006/relationships/image" Target="../media/image63.png"/><Relationship Id="rId1" Type="http://schemas.openxmlformats.org/officeDocument/2006/relationships/image" Target="../media/image3.emf"/><Relationship Id="rId6" Type="http://schemas.openxmlformats.org/officeDocument/2006/relationships/image" Target="../media/image8.jpg"/><Relationship Id="rId15" Type="http://schemas.openxmlformats.org/officeDocument/2006/relationships/image" Target="../media/image17.png"/><Relationship Id="rId23" Type="http://schemas.openxmlformats.org/officeDocument/2006/relationships/image" Target="../media/image25.jpeg"/><Relationship Id="rId28" Type="http://schemas.openxmlformats.org/officeDocument/2006/relationships/image" Target="../media/image29.png"/><Relationship Id="rId36" Type="http://schemas.openxmlformats.org/officeDocument/2006/relationships/image" Target="../media/image37.png"/><Relationship Id="rId49" Type="http://schemas.openxmlformats.org/officeDocument/2006/relationships/image" Target="../media/image50.emf"/><Relationship Id="rId57" Type="http://schemas.openxmlformats.org/officeDocument/2006/relationships/image" Target="../media/image58.png"/><Relationship Id="rId10" Type="http://schemas.openxmlformats.org/officeDocument/2006/relationships/image" Target="../media/image12.png"/><Relationship Id="rId31" Type="http://schemas.openxmlformats.org/officeDocument/2006/relationships/image" Target="../media/image32.emf"/><Relationship Id="rId44" Type="http://schemas.openxmlformats.org/officeDocument/2006/relationships/image" Target="../media/image45.png"/><Relationship Id="rId52" Type="http://schemas.openxmlformats.org/officeDocument/2006/relationships/image" Target="../media/image53.emf"/><Relationship Id="rId60" Type="http://schemas.openxmlformats.org/officeDocument/2006/relationships/image" Target="../media/image61.png"/><Relationship Id="rId65" Type="http://schemas.openxmlformats.org/officeDocument/2006/relationships/image" Target="../media/image66.png"/><Relationship Id="rId4" Type="http://schemas.openxmlformats.org/officeDocument/2006/relationships/image" Target="../media/image6.png"/><Relationship Id="rId9" Type="http://schemas.openxmlformats.org/officeDocument/2006/relationships/image" Target="../media/image11.png"/><Relationship Id="rId13" Type="http://schemas.openxmlformats.org/officeDocument/2006/relationships/image" Target="../media/image15.jpeg"/><Relationship Id="rId18" Type="http://schemas.openxmlformats.org/officeDocument/2006/relationships/image" Target="../media/image20.png"/><Relationship Id="rId39" Type="http://schemas.openxmlformats.org/officeDocument/2006/relationships/image" Target="../media/image40.png"/></Relationships>
</file>

<file path=xl/drawings/_rels/drawing4.xml.rels><?xml version="1.0" encoding="UTF-8" standalone="yes"?>
<Relationships xmlns="http://schemas.openxmlformats.org/package/2006/relationships"><Relationship Id="rId2" Type="http://schemas.openxmlformats.org/officeDocument/2006/relationships/image" Target="../media/image70.png"/><Relationship Id="rId1" Type="http://schemas.openxmlformats.org/officeDocument/2006/relationships/image" Target="../media/image69.png"/></Relationships>
</file>

<file path=xl/drawings/_rels/drawing5.xml.rels><?xml version="1.0" encoding="UTF-8" standalone="yes"?>
<Relationships xmlns="http://schemas.openxmlformats.org/package/2006/relationships"><Relationship Id="rId1" Type="http://schemas.openxmlformats.org/officeDocument/2006/relationships/image" Target="../media/image7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2.png"/><Relationship Id="rId1" Type="http://schemas.openxmlformats.org/officeDocument/2006/relationships/image" Target="../media/image71.png"/></Relationships>
</file>

<file path=xl/drawings/_rels/drawing7.xml.rels><?xml version="1.0" encoding="UTF-8" standalone="yes"?>
<Relationships xmlns="http://schemas.openxmlformats.org/package/2006/relationships"><Relationship Id="rId8" Type="http://schemas.openxmlformats.org/officeDocument/2006/relationships/image" Target="../media/image80.png"/><Relationship Id="rId3" Type="http://schemas.openxmlformats.org/officeDocument/2006/relationships/image" Target="../media/image75.png"/><Relationship Id="rId7" Type="http://schemas.openxmlformats.org/officeDocument/2006/relationships/image" Target="../media/image79.jpeg"/><Relationship Id="rId12" Type="http://schemas.openxmlformats.org/officeDocument/2006/relationships/image" Target="../media/image84.jpeg"/><Relationship Id="rId2" Type="http://schemas.openxmlformats.org/officeDocument/2006/relationships/image" Target="../media/image74.jpeg"/><Relationship Id="rId1" Type="http://schemas.openxmlformats.org/officeDocument/2006/relationships/image" Target="../media/image73.jpeg"/><Relationship Id="rId6" Type="http://schemas.openxmlformats.org/officeDocument/2006/relationships/image" Target="../media/image78.png"/><Relationship Id="rId11" Type="http://schemas.openxmlformats.org/officeDocument/2006/relationships/image" Target="../media/image83.jpeg"/><Relationship Id="rId5" Type="http://schemas.openxmlformats.org/officeDocument/2006/relationships/image" Target="../media/image77.jpeg"/><Relationship Id="rId10" Type="http://schemas.openxmlformats.org/officeDocument/2006/relationships/image" Target="../media/image82.jpeg"/><Relationship Id="rId4" Type="http://schemas.openxmlformats.org/officeDocument/2006/relationships/image" Target="../media/image76.jpeg"/><Relationship Id="rId9" Type="http://schemas.openxmlformats.org/officeDocument/2006/relationships/image" Target="../media/image8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86.jpeg"/><Relationship Id="rId2" Type="http://schemas.openxmlformats.org/officeDocument/2006/relationships/image" Target="../media/image85.jpeg"/><Relationship Id="rId1" Type="http://schemas.openxmlformats.org/officeDocument/2006/relationships/image" Target="../media/image73.jpeg"/><Relationship Id="rId6" Type="http://schemas.openxmlformats.org/officeDocument/2006/relationships/image" Target="../media/image89.jpeg"/><Relationship Id="rId5" Type="http://schemas.openxmlformats.org/officeDocument/2006/relationships/image" Target="../media/image88.jpeg"/><Relationship Id="rId4" Type="http://schemas.openxmlformats.org/officeDocument/2006/relationships/image" Target="../media/image87.jpeg"/></Relationships>
</file>

<file path=xl/drawings/_rels/drawing9.xml.rels><?xml version="1.0" encoding="UTF-8" standalone="yes"?>
<Relationships xmlns="http://schemas.openxmlformats.org/package/2006/relationships"><Relationship Id="rId3" Type="http://schemas.openxmlformats.org/officeDocument/2006/relationships/image" Target="../media/image92.jpeg"/><Relationship Id="rId2" Type="http://schemas.openxmlformats.org/officeDocument/2006/relationships/image" Target="../media/image91.jpeg"/><Relationship Id="rId1" Type="http://schemas.openxmlformats.org/officeDocument/2006/relationships/image" Target="../media/image90.jpeg"/><Relationship Id="rId6" Type="http://schemas.openxmlformats.org/officeDocument/2006/relationships/image" Target="../media/image95.jpeg"/><Relationship Id="rId5" Type="http://schemas.openxmlformats.org/officeDocument/2006/relationships/image" Target="../media/image94.jpeg"/><Relationship Id="rId4" Type="http://schemas.openxmlformats.org/officeDocument/2006/relationships/image" Target="../media/image93.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97.jpeg"/><Relationship Id="rId7" Type="http://schemas.openxmlformats.org/officeDocument/2006/relationships/image" Target="../media/image101.jpeg"/><Relationship Id="rId2" Type="http://schemas.openxmlformats.org/officeDocument/2006/relationships/image" Target="../media/image96.jpeg"/><Relationship Id="rId1" Type="http://schemas.openxmlformats.org/officeDocument/2006/relationships/image" Target="../media/image90.jpeg"/><Relationship Id="rId6" Type="http://schemas.openxmlformats.org/officeDocument/2006/relationships/image" Target="../media/image100.jpeg"/><Relationship Id="rId5" Type="http://schemas.openxmlformats.org/officeDocument/2006/relationships/image" Target="../media/image99.jpeg"/><Relationship Id="rId4" Type="http://schemas.openxmlformats.org/officeDocument/2006/relationships/image" Target="../media/image98.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03.jpeg"/><Relationship Id="rId2" Type="http://schemas.openxmlformats.org/officeDocument/2006/relationships/image" Target="../media/image102.jpeg"/><Relationship Id="rId1" Type="http://schemas.openxmlformats.org/officeDocument/2006/relationships/image" Target="../media/image73.jpeg"/><Relationship Id="rId6" Type="http://schemas.openxmlformats.org/officeDocument/2006/relationships/image" Target="../media/image106.jpeg"/><Relationship Id="rId5" Type="http://schemas.openxmlformats.org/officeDocument/2006/relationships/image" Target="../media/image105.jpeg"/><Relationship Id="rId4" Type="http://schemas.openxmlformats.org/officeDocument/2006/relationships/image" Target="../media/image104.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108.jpeg"/><Relationship Id="rId2" Type="http://schemas.openxmlformats.org/officeDocument/2006/relationships/image" Target="../media/image107.jpeg"/><Relationship Id="rId1" Type="http://schemas.openxmlformats.org/officeDocument/2006/relationships/image" Target="../media/image73.jpeg"/><Relationship Id="rId6" Type="http://schemas.openxmlformats.org/officeDocument/2006/relationships/image" Target="../media/image111.jpeg"/><Relationship Id="rId5" Type="http://schemas.openxmlformats.org/officeDocument/2006/relationships/image" Target="../media/image110.jpeg"/><Relationship Id="rId4" Type="http://schemas.openxmlformats.org/officeDocument/2006/relationships/image" Target="../media/image109.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114.jpeg"/><Relationship Id="rId2" Type="http://schemas.openxmlformats.org/officeDocument/2006/relationships/image" Target="../media/image113.jpeg"/><Relationship Id="rId1" Type="http://schemas.openxmlformats.org/officeDocument/2006/relationships/image" Target="../media/image112.jpeg"/><Relationship Id="rId5" Type="http://schemas.openxmlformats.org/officeDocument/2006/relationships/image" Target="../media/image116.jpeg"/><Relationship Id="rId4" Type="http://schemas.openxmlformats.org/officeDocument/2006/relationships/image" Target="../media/image115.jpeg"/></Relationships>
</file>

<file path=xl/drawings/_rels/drawing14.xml.rels><?xml version="1.0" encoding="UTF-8" standalone="yes"?>
<Relationships xmlns="http://schemas.openxmlformats.org/package/2006/relationships"><Relationship Id="rId8" Type="http://schemas.openxmlformats.org/officeDocument/2006/relationships/image" Target="../media/image124.jpeg"/><Relationship Id="rId3" Type="http://schemas.openxmlformats.org/officeDocument/2006/relationships/image" Target="../media/image119.jpeg"/><Relationship Id="rId7" Type="http://schemas.openxmlformats.org/officeDocument/2006/relationships/image" Target="../media/image123.jpeg"/><Relationship Id="rId2" Type="http://schemas.openxmlformats.org/officeDocument/2006/relationships/image" Target="../media/image118.png"/><Relationship Id="rId1" Type="http://schemas.openxmlformats.org/officeDocument/2006/relationships/image" Target="../media/image117.jpeg"/><Relationship Id="rId6" Type="http://schemas.openxmlformats.org/officeDocument/2006/relationships/image" Target="../media/image122.jpeg"/><Relationship Id="rId5" Type="http://schemas.openxmlformats.org/officeDocument/2006/relationships/image" Target="../media/image121.jpeg"/><Relationship Id="rId4" Type="http://schemas.openxmlformats.org/officeDocument/2006/relationships/image" Target="../media/image120.jpeg"/></Relationships>
</file>

<file path=xl/drawings/drawing1.xml><?xml version="1.0" encoding="utf-8"?>
<xdr:wsDr xmlns:xdr="http://schemas.openxmlformats.org/drawingml/2006/spreadsheetDrawing" xmlns:a="http://schemas.openxmlformats.org/drawingml/2006/main">
  <xdr:twoCellAnchor>
    <xdr:from>
      <xdr:col>1</xdr:col>
      <xdr:colOff>313764</xdr:colOff>
      <xdr:row>0</xdr:row>
      <xdr:rowOff>116652</xdr:rowOff>
    </xdr:from>
    <xdr:to>
      <xdr:col>7</xdr:col>
      <xdr:colOff>44449</xdr:colOff>
      <xdr:row>2</xdr:row>
      <xdr:rowOff>178858</xdr:rowOff>
    </xdr:to>
    <xdr:sp macro="" textlink="">
      <xdr:nvSpPr>
        <xdr:cNvPr id="6" name="Rectángulo: esquinas superiores redondeadas 5">
          <a:extLst>
            <a:ext uri="{FF2B5EF4-FFF2-40B4-BE49-F238E27FC236}">
              <a16:creationId xmlns:a16="http://schemas.microsoft.com/office/drawing/2014/main" id="{00000000-0008-0000-0000-000006000000}"/>
            </a:ext>
          </a:extLst>
        </xdr:cNvPr>
        <xdr:cNvSpPr/>
      </xdr:nvSpPr>
      <xdr:spPr>
        <a:xfrm>
          <a:off x="504264" y="116652"/>
          <a:ext cx="9344585" cy="443206"/>
        </a:xfrm>
        <a:prstGeom prst="round2SameRect">
          <a:avLst>
            <a:gd name="adj1" fmla="val 50000"/>
            <a:gd name="adj2"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0000" tIns="36000" rIns="36000" bIns="36000" rtlCol="0" anchor="ctr" anchorCtr="0"/>
        <a:lstStyle/>
        <a:p>
          <a:pPr algn="l"/>
          <a:r>
            <a:rPr lang="es-CO" sz="1600" b="1"/>
            <a:t>      IPSOS COLOMBIA - QUOTATION</a:t>
          </a:r>
        </a:p>
      </xdr:txBody>
    </xdr:sp>
    <xdr:clientData/>
  </xdr:twoCellAnchor>
  <mc:AlternateContent xmlns:mc="http://schemas.openxmlformats.org/markup-compatibility/2006">
    <mc:Choice xmlns:a14="http://schemas.microsoft.com/office/drawing/2010/main" Requires="a14">
      <xdr:twoCellAnchor editAs="oneCell">
        <xdr:from>
          <xdr:col>2</xdr:col>
          <xdr:colOff>2124075</xdr:colOff>
          <xdr:row>48</xdr:row>
          <xdr:rowOff>9525</xdr:rowOff>
        </xdr:from>
        <xdr:to>
          <xdr:col>2</xdr:col>
          <xdr:colOff>2381250</xdr:colOff>
          <xdr:row>49</xdr:row>
          <xdr:rowOff>0</xdr:rowOff>
        </xdr:to>
        <xdr:sp macro="" textlink="">
          <xdr:nvSpPr>
            <xdr:cNvPr id="45131" name="Bogota" hidden="1">
              <a:extLst>
                <a:ext uri="{63B3BB69-23CF-44E3-9099-C40C66FF867C}">
                  <a14:compatExt spid="_x0000_s45131"/>
                </a:ext>
                <a:ext uri="{FF2B5EF4-FFF2-40B4-BE49-F238E27FC236}">
                  <a16:creationId xmlns:a16="http://schemas.microsoft.com/office/drawing/2014/main" id="{00000000-0008-0000-0000-00004B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49</xdr:row>
          <xdr:rowOff>9525</xdr:rowOff>
        </xdr:from>
        <xdr:to>
          <xdr:col>2</xdr:col>
          <xdr:colOff>2381250</xdr:colOff>
          <xdr:row>50</xdr:row>
          <xdr:rowOff>0</xdr:rowOff>
        </xdr:to>
        <xdr:sp macro="" textlink="">
          <xdr:nvSpPr>
            <xdr:cNvPr id="45150" name="Check Box 94" hidden="1">
              <a:extLst>
                <a:ext uri="{63B3BB69-23CF-44E3-9099-C40C66FF867C}">
                  <a14:compatExt spid="_x0000_s45150"/>
                </a:ext>
                <a:ext uri="{FF2B5EF4-FFF2-40B4-BE49-F238E27FC236}">
                  <a16:creationId xmlns:a16="http://schemas.microsoft.com/office/drawing/2014/main" id="{00000000-0008-0000-0000-00005E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50</xdr:row>
          <xdr:rowOff>9525</xdr:rowOff>
        </xdr:from>
        <xdr:to>
          <xdr:col>2</xdr:col>
          <xdr:colOff>2381250</xdr:colOff>
          <xdr:row>51</xdr:row>
          <xdr:rowOff>0</xdr:rowOff>
        </xdr:to>
        <xdr:sp macro="" textlink="">
          <xdr:nvSpPr>
            <xdr:cNvPr id="45151" name="Check Box 95" hidden="1">
              <a:extLst>
                <a:ext uri="{63B3BB69-23CF-44E3-9099-C40C66FF867C}">
                  <a14:compatExt spid="_x0000_s45151"/>
                </a:ext>
                <a:ext uri="{FF2B5EF4-FFF2-40B4-BE49-F238E27FC236}">
                  <a16:creationId xmlns:a16="http://schemas.microsoft.com/office/drawing/2014/main" id="{00000000-0008-0000-0000-00005F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51</xdr:row>
          <xdr:rowOff>9525</xdr:rowOff>
        </xdr:from>
        <xdr:to>
          <xdr:col>2</xdr:col>
          <xdr:colOff>2381250</xdr:colOff>
          <xdr:row>51</xdr:row>
          <xdr:rowOff>180975</xdr:rowOff>
        </xdr:to>
        <xdr:sp macro="" textlink="">
          <xdr:nvSpPr>
            <xdr:cNvPr id="45152" name="Check Box 96" hidden="1">
              <a:extLst>
                <a:ext uri="{63B3BB69-23CF-44E3-9099-C40C66FF867C}">
                  <a14:compatExt spid="_x0000_s45152"/>
                </a:ext>
                <a:ext uri="{FF2B5EF4-FFF2-40B4-BE49-F238E27FC236}">
                  <a16:creationId xmlns:a16="http://schemas.microsoft.com/office/drawing/2014/main" id="{00000000-0008-0000-0000-000060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52</xdr:row>
          <xdr:rowOff>0</xdr:rowOff>
        </xdr:from>
        <xdr:to>
          <xdr:col>2</xdr:col>
          <xdr:colOff>2381250</xdr:colOff>
          <xdr:row>52</xdr:row>
          <xdr:rowOff>180975</xdr:rowOff>
        </xdr:to>
        <xdr:sp macro="" textlink="">
          <xdr:nvSpPr>
            <xdr:cNvPr id="45153" name="Check Box 97" hidden="1">
              <a:extLst>
                <a:ext uri="{63B3BB69-23CF-44E3-9099-C40C66FF867C}">
                  <a14:compatExt spid="_x0000_s45153"/>
                </a:ext>
                <a:ext uri="{FF2B5EF4-FFF2-40B4-BE49-F238E27FC236}">
                  <a16:creationId xmlns:a16="http://schemas.microsoft.com/office/drawing/2014/main" id="{00000000-0008-0000-0000-000061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53</xdr:row>
          <xdr:rowOff>0</xdr:rowOff>
        </xdr:from>
        <xdr:to>
          <xdr:col>2</xdr:col>
          <xdr:colOff>2381250</xdr:colOff>
          <xdr:row>53</xdr:row>
          <xdr:rowOff>180975</xdr:rowOff>
        </xdr:to>
        <xdr:sp macro="" textlink="">
          <xdr:nvSpPr>
            <xdr:cNvPr id="45154" name="Check Box 98" hidden="1">
              <a:extLst>
                <a:ext uri="{63B3BB69-23CF-44E3-9099-C40C66FF867C}">
                  <a14:compatExt spid="_x0000_s45154"/>
                </a:ext>
                <a:ext uri="{FF2B5EF4-FFF2-40B4-BE49-F238E27FC236}">
                  <a16:creationId xmlns:a16="http://schemas.microsoft.com/office/drawing/2014/main" id="{00000000-0008-0000-0000-000062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2124075</xdr:colOff>
          <xdr:row>54</xdr:row>
          <xdr:rowOff>0</xdr:rowOff>
        </xdr:from>
        <xdr:to>
          <xdr:col>2</xdr:col>
          <xdr:colOff>2381250</xdr:colOff>
          <xdr:row>54</xdr:row>
          <xdr:rowOff>180975</xdr:rowOff>
        </xdr:to>
        <xdr:sp macro="" textlink="">
          <xdr:nvSpPr>
            <xdr:cNvPr id="45155" name="Check Box 99" hidden="1">
              <a:extLst>
                <a:ext uri="{63B3BB69-23CF-44E3-9099-C40C66FF867C}">
                  <a14:compatExt spid="_x0000_s45155"/>
                </a:ext>
                <a:ext uri="{FF2B5EF4-FFF2-40B4-BE49-F238E27FC236}">
                  <a16:creationId xmlns:a16="http://schemas.microsoft.com/office/drawing/2014/main" id="{00000000-0008-0000-0000-000063B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115</xdr:row>
          <xdr:rowOff>66675</xdr:rowOff>
        </xdr:from>
        <xdr:to>
          <xdr:col>6</xdr:col>
          <xdr:colOff>809625</xdr:colOff>
          <xdr:row>116</xdr:row>
          <xdr:rowOff>95250</xdr:rowOff>
        </xdr:to>
        <xdr:sp macro="" textlink="">
          <xdr:nvSpPr>
            <xdr:cNvPr id="45156" name="Button 100" hidden="1">
              <a:extLst>
                <a:ext uri="{63B3BB69-23CF-44E3-9099-C40C66FF867C}">
                  <a14:compatExt spid="_x0000_s45156"/>
                </a:ext>
                <a:ext uri="{FF2B5EF4-FFF2-40B4-BE49-F238E27FC236}">
                  <a16:creationId xmlns:a16="http://schemas.microsoft.com/office/drawing/2014/main" id="{00000000-0008-0000-0000-000064B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CO" sz="1100" b="0" i="0" u="none" strike="noStrike" baseline="0">
                  <a:solidFill>
                    <a:srgbClr val="000000"/>
                  </a:solidFill>
                  <a:latin typeface="Calibri"/>
                  <a:ea typeface="Calibri"/>
                  <a:cs typeface="Calibri"/>
                </a:rPr>
                <a:t>Cal. Meta</a:t>
              </a:r>
            </a:p>
          </xdr:txBody>
        </xdr:sp>
        <xdr:clientData fPrintsWithSheet="0"/>
      </xdr:twoCellAnchor>
    </mc:Choice>
    <mc:Fallback/>
  </mc:AlternateContent>
  <xdr:twoCellAnchor editAs="oneCell">
    <xdr:from>
      <xdr:col>1</xdr:col>
      <xdr:colOff>152985</xdr:colOff>
      <xdr:row>0</xdr:row>
      <xdr:rowOff>100601</xdr:rowOff>
    </xdr:from>
    <xdr:to>
      <xdr:col>2</xdr:col>
      <xdr:colOff>302507</xdr:colOff>
      <xdr:row>2</xdr:row>
      <xdr:rowOff>207609</xdr:rowOff>
    </xdr:to>
    <xdr:pic>
      <xdr:nvPicPr>
        <xdr:cNvPr id="9" name="Ipsos Logo">
          <a:extLst>
            <a:ext uri="{FF2B5EF4-FFF2-40B4-BE49-F238E27FC236}">
              <a16:creationId xmlns:a16="http://schemas.microsoft.com/office/drawing/2014/main" id="{00000000-0008-0000-0000-000009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2279" y="100601"/>
          <a:ext cx="517822" cy="4641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818197</xdr:colOff>
      <xdr:row>0</xdr:row>
      <xdr:rowOff>220752</xdr:rowOff>
    </xdr:from>
    <xdr:to>
      <xdr:col>9</xdr:col>
      <xdr:colOff>1049972</xdr:colOff>
      <xdr:row>0</xdr:row>
      <xdr:rowOff>531267</xdr:rowOff>
    </xdr:to>
    <xdr:sp macro="" textlink="">
      <xdr:nvSpPr>
        <xdr:cNvPr id="2" name="Flecha: hacia abajo 1">
          <a:extLst>
            <a:ext uri="{FF2B5EF4-FFF2-40B4-BE49-F238E27FC236}">
              <a16:creationId xmlns:a16="http://schemas.microsoft.com/office/drawing/2014/main" id="{00000000-0008-0000-0100-000002000000}"/>
            </a:ext>
          </a:extLst>
        </xdr:cNvPr>
        <xdr:cNvSpPr/>
      </xdr:nvSpPr>
      <xdr:spPr>
        <a:xfrm>
          <a:off x="16620172" y="220752"/>
          <a:ext cx="231775" cy="310515"/>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74430</xdr:colOff>
      <xdr:row>1</xdr:row>
      <xdr:rowOff>100648</xdr:rowOff>
    </xdr:from>
    <xdr:to>
      <xdr:col>4</xdr:col>
      <xdr:colOff>2206944</xdr:colOff>
      <xdr:row>1</xdr:row>
      <xdr:rowOff>977898</xdr:rowOff>
    </xdr:to>
    <xdr:pic>
      <xdr:nvPicPr>
        <xdr:cNvPr id="3" name="Marcador de posición de imagen 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rcRect l="4863" r="4863"/>
        <a:stretch>
          <a:fillRect/>
        </a:stretch>
      </xdr:blipFill>
      <xdr:spPr>
        <a:xfrm>
          <a:off x="9008880" y="843598"/>
          <a:ext cx="2132514" cy="877250"/>
        </a:xfrm>
        <a:prstGeom prst="rect">
          <a:avLst/>
        </a:prstGeom>
        <a:solidFill>
          <a:schemeClr val="bg1"/>
        </a:solidFill>
      </xdr:spPr>
    </xdr:pic>
    <xdr:clientData/>
  </xdr:twoCellAnchor>
  <xdr:twoCellAnchor editAs="oneCell">
    <xdr:from>
      <xdr:col>4</xdr:col>
      <xdr:colOff>89852</xdr:colOff>
      <xdr:row>2</xdr:row>
      <xdr:rowOff>54292</xdr:rowOff>
    </xdr:from>
    <xdr:to>
      <xdr:col>4</xdr:col>
      <xdr:colOff>2207126</xdr:colOff>
      <xdr:row>2</xdr:row>
      <xdr:rowOff>985517</xdr:rowOff>
    </xdr:to>
    <xdr:pic>
      <xdr:nvPicPr>
        <xdr:cNvPr id="4" name="Marcador de posición de 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rcRect l="4863" r="4863"/>
        <a:stretch>
          <a:fillRect/>
        </a:stretch>
      </xdr:blipFill>
      <xdr:spPr>
        <a:xfrm>
          <a:off x="9024302" y="1835467"/>
          <a:ext cx="2117274" cy="931225"/>
        </a:xfrm>
        <a:prstGeom prst="rect">
          <a:avLst/>
        </a:prstGeom>
        <a:solidFill>
          <a:schemeClr val="bg1"/>
        </a:solidFill>
      </xdr:spPr>
    </xdr:pic>
    <xdr:clientData/>
  </xdr:twoCellAnchor>
  <xdr:twoCellAnchor editAs="oneCell">
    <xdr:from>
      <xdr:col>4</xdr:col>
      <xdr:colOff>86360</xdr:colOff>
      <xdr:row>13</xdr:row>
      <xdr:rowOff>71650</xdr:rowOff>
    </xdr:from>
    <xdr:to>
      <xdr:col>4</xdr:col>
      <xdr:colOff>2206942</xdr:colOff>
      <xdr:row>13</xdr:row>
      <xdr:rowOff>968479</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9020810" y="13273300"/>
          <a:ext cx="2120582" cy="896829"/>
        </a:xfrm>
        <a:prstGeom prst="rect">
          <a:avLst/>
        </a:prstGeom>
      </xdr:spPr>
    </xdr:pic>
    <xdr:clientData/>
  </xdr:twoCellAnchor>
  <xdr:twoCellAnchor editAs="oneCell">
    <xdr:from>
      <xdr:col>4</xdr:col>
      <xdr:colOff>212091</xdr:colOff>
      <xdr:row>21</xdr:row>
      <xdr:rowOff>76536</xdr:rowOff>
    </xdr:from>
    <xdr:to>
      <xdr:col>4</xdr:col>
      <xdr:colOff>2077720</xdr:colOff>
      <xdr:row>21</xdr:row>
      <xdr:rowOff>951439</xdr:rowOff>
    </xdr:to>
    <xdr:pic>
      <xdr:nvPicPr>
        <xdr:cNvPr id="6" name="Imagen 5">
          <a:extLst>
            <a:ext uri="{FF2B5EF4-FFF2-40B4-BE49-F238E27FC236}">
              <a16:creationId xmlns:a16="http://schemas.microsoft.com/office/drawing/2014/main" id="{00000000-0008-0000-0100-000006000000}"/>
            </a:ext>
          </a:extLst>
        </xdr:cNvPr>
        <xdr:cNvPicPr>
          <a:picLocks noChangeAspect="1"/>
        </xdr:cNvPicPr>
      </xdr:nvPicPr>
      <xdr:blipFill rotWithShape="1">
        <a:blip xmlns:r="http://schemas.openxmlformats.org/officeDocument/2006/relationships" r:embed="rId3"/>
        <a:srcRect l="2432" t="25362" r="17025" b="24081"/>
        <a:stretch/>
      </xdr:blipFill>
      <xdr:spPr>
        <a:xfrm>
          <a:off x="9146541" y="21583986"/>
          <a:ext cx="1865629" cy="874903"/>
        </a:xfrm>
        <a:prstGeom prst="rect">
          <a:avLst/>
        </a:prstGeom>
      </xdr:spPr>
    </xdr:pic>
    <xdr:clientData/>
  </xdr:twoCellAnchor>
  <xdr:twoCellAnchor editAs="oneCell">
    <xdr:from>
      <xdr:col>4</xdr:col>
      <xdr:colOff>394334</xdr:colOff>
      <xdr:row>37</xdr:row>
      <xdr:rowOff>50165</xdr:rowOff>
    </xdr:from>
    <xdr:to>
      <xdr:col>4</xdr:col>
      <xdr:colOff>1787841</xdr:colOff>
      <xdr:row>37</xdr:row>
      <xdr:rowOff>1034143</xdr:rowOff>
    </xdr:to>
    <xdr:pic>
      <xdr:nvPicPr>
        <xdr:cNvPr id="7" name="Imagen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28784" y="38169215"/>
          <a:ext cx="1393507" cy="983978"/>
        </a:xfrm>
        <a:prstGeom prst="rect">
          <a:avLst/>
        </a:prstGeom>
        <a:noFill/>
        <a:ln>
          <a:noFill/>
        </a:ln>
      </xdr:spPr>
    </xdr:pic>
    <xdr:clientData/>
  </xdr:twoCellAnchor>
  <xdr:twoCellAnchor editAs="oneCell">
    <xdr:from>
      <xdr:col>4</xdr:col>
      <xdr:colOff>158750</xdr:colOff>
      <xdr:row>43</xdr:row>
      <xdr:rowOff>65087</xdr:rowOff>
    </xdr:from>
    <xdr:to>
      <xdr:col>4</xdr:col>
      <xdr:colOff>2135188</xdr:colOff>
      <xdr:row>44</xdr:row>
      <xdr:rowOff>10724</xdr:rowOff>
    </xdr:to>
    <xdr:pic>
      <xdr:nvPicPr>
        <xdr:cNvPr id="8" name="Imagen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5"/>
        <a:stretch>
          <a:fillRect/>
        </a:stretch>
      </xdr:blipFill>
      <xdr:spPr>
        <a:xfrm>
          <a:off x="9093200" y="44413487"/>
          <a:ext cx="1976438" cy="983862"/>
        </a:xfrm>
        <a:prstGeom prst="rect">
          <a:avLst/>
        </a:prstGeom>
      </xdr:spPr>
    </xdr:pic>
    <xdr:clientData/>
  </xdr:twoCellAnchor>
  <xdr:twoCellAnchor>
    <xdr:from>
      <xdr:col>4</xdr:col>
      <xdr:colOff>160020</xdr:colOff>
      <xdr:row>22</xdr:row>
      <xdr:rowOff>84773</xdr:rowOff>
    </xdr:from>
    <xdr:to>
      <xdr:col>4</xdr:col>
      <xdr:colOff>2182495</xdr:colOff>
      <xdr:row>22</xdr:row>
      <xdr:rowOff>948373</xdr:rowOff>
    </xdr:to>
    <xdr:sp macro="" textlink="">
      <xdr:nvSpPr>
        <xdr:cNvPr id="9" name="object 2">
          <a:extLst>
            <a:ext uri="{FF2B5EF4-FFF2-40B4-BE49-F238E27FC236}">
              <a16:creationId xmlns:a16="http://schemas.microsoft.com/office/drawing/2014/main" id="{00000000-0008-0000-0100-000009000000}"/>
            </a:ext>
          </a:extLst>
        </xdr:cNvPr>
        <xdr:cNvSpPr/>
      </xdr:nvSpPr>
      <xdr:spPr>
        <a:xfrm>
          <a:off x="9094470" y="22630448"/>
          <a:ext cx="2022475" cy="863600"/>
        </a:xfrm>
        <a:prstGeom prst="rect">
          <a:avLst/>
        </a:prstGeom>
        <a:blipFill>
          <a:blip xmlns:r="http://schemas.openxmlformats.org/officeDocument/2006/relationships" r:embed="rId6" cstate="print"/>
          <a:stretch>
            <a:fillRect/>
          </a:stretch>
        </a:blipFill>
      </xdr:spPr>
      <xdr:txBody>
        <a:bodyPr wrap="square" lIns="0" tIns="0" rIns="0" bIns="0" rtlCol="0"/>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p>
      </xdr:txBody>
    </xdr:sp>
    <xdr:clientData/>
  </xdr:twoCellAnchor>
  <xdr:twoCellAnchor editAs="oneCell">
    <xdr:from>
      <xdr:col>4</xdr:col>
      <xdr:colOff>190500</xdr:colOff>
      <xdr:row>25</xdr:row>
      <xdr:rowOff>67628</xdr:rowOff>
    </xdr:from>
    <xdr:to>
      <xdr:col>4</xdr:col>
      <xdr:colOff>1939925</xdr:colOff>
      <xdr:row>25</xdr:row>
      <xdr:rowOff>1011497</xdr:rowOff>
    </xdr:to>
    <xdr:pic>
      <xdr:nvPicPr>
        <xdr:cNvPr id="10" name="Imagen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7"/>
        <a:stretch>
          <a:fillRect/>
        </a:stretch>
      </xdr:blipFill>
      <xdr:spPr>
        <a:xfrm>
          <a:off x="9124950" y="25727978"/>
          <a:ext cx="1749425" cy="943869"/>
        </a:xfrm>
        <a:prstGeom prst="rect">
          <a:avLst/>
        </a:prstGeom>
      </xdr:spPr>
    </xdr:pic>
    <xdr:clientData/>
  </xdr:twoCellAnchor>
  <xdr:twoCellAnchor editAs="oneCell">
    <xdr:from>
      <xdr:col>4</xdr:col>
      <xdr:colOff>119062</xdr:colOff>
      <xdr:row>28</xdr:row>
      <xdr:rowOff>64773</xdr:rowOff>
    </xdr:from>
    <xdr:to>
      <xdr:col>4</xdr:col>
      <xdr:colOff>2059940</xdr:colOff>
      <xdr:row>28</xdr:row>
      <xdr:rowOff>1005421</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8"/>
        <a:stretch>
          <a:fillRect/>
        </a:stretch>
      </xdr:blipFill>
      <xdr:spPr>
        <a:xfrm>
          <a:off x="9053512" y="28839798"/>
          <a:ext cx="1940878" cy="940648"/>
        </a:xfrm>
        <a:prstGeom prst="rect">
          <a:avLst/>
        </a:prstGeom>
      </xdr:spPr>
    </xdr:pic>
    <xdr:clientData/>
  </xdr:twoCellAnchor>
  <xdr:twoCellAnchor editAs="oneCell">
    <xdr:from>
      <xdr:col>4</xdr:col>
      <xdr:colOff>121920</xdr:colOff>
      <xdr:row>30</xdr:row>
      <xdr:rowOff>85217</xdr:rowOff>
    </xdr:from>
    <xdr:to>
      <xdr:col>4</xdr:col>
      <xdr:colOff>2135188</xdr:colOff>
      <xdr:row>30</xdr:row>
      <xdr:rowOff>966098</xdr:rowOff>
    </xdr:to>
    <xdr:pic>
      <xdr:nvPicPr>
        <xdr:cNvPr id="12" name="Imagen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9"/>
        <a:stretch>
          <a:fillRect/>
        </a:stretch>
      </xdr:blipFill>
      <xdr:spPr>
        <a:xfrm>
          <a:off x="9056370" y="30936692"/>
          <a:ext cx="2013268" cy="880881"/>
        </a:xfrm>
        <a:prstGeom prst="rect">
          <a:avLst/>
        </a:prstGeom>
      </xdr:spPr>
    </xdr:pic>
    <xdr:clientData/>
  </xdr:twoCellAnchor>
  <xdr:twoCellAnchor editAs="oneCell">
    <xdr:from>
      <xdr:col>4</xdr:col>
      <xdr:colOff>46354</xdr:colOff>
      <xdr:row>42</xdr:row>
      <xdr:rowOff>66410</xdr:rowOff>
    </xdr:from>
    <xdr:to>
      <xdr:col>5</xdr:col>
      <xdr:colOff>1077</xdr:colOff>
      <xdr:row>42</xdr:row>
      <xdr:rowOff>1013006</xdr:rowOff>
    </xdr:to>
    <xdr:pic>
      <xdr:nvPicPr>
        <xdr:cNvPr id="13" name="Imagen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0"/>
        <a:stretch>
          <a:fillRect/>
        </a:stretch>
      </xdr:blipFill>
      <xdr:spPr>
        <a:xfrm>
          <a:off x="8980804" y="43376585"/>
          <a:ext cx="2174048" cy="946596"/>
        </a:xfrm>
        <a:prstGeom prst="rect">
          <a:avLst/>
        </a:prstGeom>
      </xdr:spPr>
    </xdr:pic>
    <xdr:clientData/>
  </xdr:twoCellAnchor>
  <xdr:twoCellAnchor editAs="oneCell">
    <xdr:from>
      <xdr:col>4</xdr:col>
      <xdr:colOff>72708</xdr:colOff>
      <xdr:row>20</xdr:row>
      <xdr:rowOff>86042</xdr:rowOff>
    </xdr:from>
    <xdr:to>
      <xdr:col>5</xdr:col>
      <xdr:colOff>1588</xdr:colOff>
      <xdr:row>20</xdr:row>
      <xdr:rowOff>977817</xdr:rowOff>
    </xdr:to>
    <xdr:pic>
      <xdr:nvPicPr>
        <xdr:cNvPr id="14" name="Imagen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9007158" y="20555267"/>
          <a:ext cx="2148205" cy="891775"/>
        </a:xfrm>
        <a:prstGeom prst="rect">
          <a:avLst/>
        </a:prstGeom>
      </xdr:spPr>
    </xdr:pic>
    <xdr:clientData/>
  </xdr:twoCellAnchor>
  <xdr:twoCellAnchor editAs="oneCell">
    <xdr:from>
      <xdr:col>4</xdr:col>
      <xdr:colOff>26774</xdr:colOff>
      <xdr:row>51</xdr:row>
      <xdr:rowOff>63498</xdr:rowOff>
    </xdr:from>
    <xdr:to>
      <xdr:col>5</xdr:col>
      <xdr:colOff>2221</xdr:colOff>
      <xdr:row>52</xdr:row>
      <xdr:rowOff>16100</xdr:rowOff>
    </xdr:to>
    <xdr:pic>
      <xdr:nvPicPr>
        <xdr:cNvPr id="15" name="Picture 2">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961224" y="53117748"/>
          <a:ext cx="2194772" cy="990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34536</xdr:colOff>
      <xdr:row>53</xdr:row>
      <xdr:rowOff>30161</xdr:rowOff>
    </xdr:from>
    <xdr:to>
      <xdr:col>5</xdr:col>
      <xdr:colOff>1906</xdr:colOff>
      <xdr:row>54</xdr:row>
      <xdr:rowOff>57649</xdr:rowOff>
    </xdr:to>
    <xdr:pic>
      <xdr:nvPicPr>
        <xdr:cNvPr id="16" name="Picture 2">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968986" y="55160861"/>
          <a:ext cx="2181932" cy="1065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73978</xdr:colOff>
      <xdr:row>54</xdr:row>
      <xdr:rowOff>12905</xdr:rowOff>
    </xdr:from>
    <xdr:to>
      <xdr:col>4</xdr:col>
      <xdr:colOff>2192338</xdr:colOff>
      <xdr:row>55</xdr:row>
      <xdr:rowOff>34062</xdr:rowOff>
    </xdr:to>
    <xdr:pic>
      <xdr:nvPicPr>
        <xdr:cNvPr id="17" name="Imagen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tretch>
          <a:fillRect/>
        </a:stretch>
      </xdr:blipFill>
      <xdr:spPr>
        <a:xfrm>
          <a:off x="9008428" y="56181830"/>
          <a:ext cx="2118360" cy="1059382"/>
        </a:xfrm>
        <a:prstGeom prst="rect">
          <a:avLst/>
        </a:prstGeom>
      </xdr:spPr>
    </xdr:pic>
    <xdr:clientData/>
  </xdr:twoCellAnchor>
  <xdr:twoCellAnchor editAs="oneCell">
    <xdr:from>
      <xdr:col>4</xdr:col>
      <xdr:colOff>125469</xdr:colOff>
      <xdr:row>31</xdr:row>
      <xdr:rowOff>99059</xdr:rowOff>
    </xdr:from>
    <xdr:to>
      <xdr:col>4</xdr:col>
      <xdr:colOff>2168525</xdr:colOff>
      <xdr:row>31</xdr:row>
      <xdr:rowOff>977886</xdr:rowOff>
    </xdr:to>
    <xdr:pic>
      <xdr:nvPicPr>
        <xdr:cNvPr id="18" name="Imagen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5"/>
        <a:stretch>
          <a:fillRect/>
        </a:stretch>
      </xdr:blipFill>
      <xdr:spPr>
        <a:xfrm>
          <a:off x="9059919" y="31988759"/>
          <a:ext cx="2043056" cy="878827"/>
        </a:xfrm>
        <a:prstGeom prst="rect">
          <a:avLst/>
        </a:prstGeom>
        <a:solidFill>
          <a:schemeClr val="bg1"/>
        </a:solidFill>
      </xdr:spPr>
    </xdr:pic>
    <xdr:clientData/>
  </xdr:twoCellAnchor>
  <xdr:twoCellAnchor editAs="oneCell">
    <xdr:from>
      <xdr:col>4</xdr:col>
      <xdr:colOff>124276</xdr:colOff>
      <xdr:row>27</xdr:row>
      <xdr:rowOff>78423</xdr:rowOff>
    </xdr:from>
    <xdr:to>
      <xdr:col>4</xdr:col>
      <xdr:colOff>1201738</xdr:colOff>
      <xdr:row>27</xdr:row>
      <xdr:rowOff>992188</xdr:rowOff>
    </xdr:to>
    <xdr:pic>
      <xdr:nvPicPr>
        <xdr:cNvPr id="19" name="Picture 2">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058726" y="27815223"/>
          <a:ext cx="1077462" cy="913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155893</xdr:colOff>
      <xdr:row>50</xdr:row>
      <xdr:rowOff>75214</xdr:rowOff>
    </xdr:from>
    <xdr:to>
      <xdr:col>4</xdr:col>
      <xdr:colOff>2168526</xdr:colOff>
      <xdr:row>51</xdr:row>
      <xdr:rowOff>11656</xdr:rowOff>
    </xdr:to>
    <xdr:pic>
      <xdr:nvPicPr>
        <xdr:cNvPr id="20" name="Imagen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7"/>
        <a:stretch>
          <a:fillRect/>
        </a:stretch>
      </xdr:blipFill>
      <xdr:spPr>
        <a:xfrm>
          <a:off x="9090343" y="52091239"/>
          <a:ext cx="2012633" cy="974667"/>
        </a:xfrm>
        <a:prstGeom prst="rect">
          <a:avLst/>
        </a:prstGeom>
      </xdr:spPr>
    </xdr:pic>
    <xdr:clientData/>
  </xdr:twoCellAnchor>
  <xdr:twoCellAnchor editAs="oneCell">
    <xdr:from>
      <xdr:col>4</xdr:col>
      <xdr:colOff>123189</xdr:colOff>
      <xdr:row>34</xdr:row>
      <xdr:rowOff>84772</xdr:rowOff>
    </xdr:from>
    <xdr:to>
      <xdr:col>4</xdr:col>
      <xdr:colOff>2192020</xdr:colOff>
      <xdr:row>34</xdr:row>
      <xdr:rowOff>945197</xdr:rowOff>
    </xdr:to>
    <xdr:pic>
      <xdr:nvPicPr>
        <xdr:cNvPr id="21" name="Imagen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stretch>
          <a:fillRect/>
        </a:stretch>
      </xdr:blipFill>
      <xdr:spPr>
        <a:xfrm>
          <a:off x="9057639" y="35089147"/>
          <a:ext cx="2068831" cy="860425"/>
        </a:xfrm>
        <a:prstGeom prst="rect">
          <a:avLst/>
        </a:prstGeom>
      </xdr:spPr>
    </xdr:pic>
    <xdr:clientData/>
  </xdr:twoCellAnchor>
  <xdr:twoCellAnchor editAs="oneCell">
    <xdr:from>
      <xdr:col>4</xdr:col>
      <xdr:colOff>364700</xdr:colOff>
      <xdr:row>47</xdr:row>
      <xdr:rowOff>63183</xdr:rowOff>
    </xdr:from>
    <xdr:to>
      <xdr:col>4</xdr:col>
      <xdr:colOff>1773237</xdr:colOff>
      <xdr:row>48</xdr:row>
      <xdr:rowOff>15968</xdr:rowOff>
    </xdr:to>
    <xdr:pic>
      <xdr:nvPicPr>
        <xdr:cNvPr id="22" name="Picture 2">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299150" y="48964533"/>
          <a:ext cx="1408537" cy="991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95623</xdr:colOff>
      <xdr:row>40</xdr:row>
      <xdr:rowOff>62230</xdr:rowOff>
    </xdr:from>
    <xdr:to>
      <xdr:col>4</xdr:col>
      <xdr:colOff>2212340</xdr:colOff>
      <xdr:row>40</xdr:row>
      <xdr:rowOff>1012371</xdr:rowOff>
    </xdr:to>
    <xdr:pic>
      <xdr:nvPicPr>
        <xdr:cNvPr id="23" name="Picture 2" descr="imagen">
          <a:extLst>
            <a:ext uri="{FF2B5EF4-FFF2-40B4-BE49-F238E27FC236}">
              <a16:creationId xmlns:a16="http://schemas.microsoft.com/office/drawing/2014/main" id="{00000000-0008-0000-0100-000017000000}"/>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1851"/>
        <a:stretch/>
      </xdr:blipFill>
      <xdr:spPr bwMode="auto">
        <a:xfrm>
          <a:off x="9030073" y="41295955"/>
          <a:ext cx="2116717" cy="950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231402</xdr:colOff>
      <xdr:row>18</xdr:row>
      <xdr:rowOff>34291</xdr:rowOff>
    </xdr:from>
    <xdr:to>
      <xdr:col>4</xdr:col>
      <xdr:colOff>2054542</xdr:colOff>
      <xdr:row>18</xdr:row>
      <xdr:rowOff>1006179</xdr:rowOff>
    </xdr:to>
    <xdr:pic>
      <xdr:nvPicPr>
        <xdr:cNvPr id="24" name="Imagen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1"/>
        <a:stretch>
          <a:fillRect/>
        </a:stretch>
      </xdr:blipFill>
      <xdr:spPr>
        <a:xfrm>
          <a:off x="9165852" y="18427066"/>
          <a:ext cx="1823140" cy="971888"/>
        </a:xfrm>
        <a:prstGeom prst="rect">
          <a:avLst/>
        </a:prstGeom>
      </xdr:spPr>
    </xdr:pic>
    <xdr:clientData/>
  </xdr:twoCellAnchor>
  <xdr:twoCellAnchor editAs="oneCell">
    <xdr:from>
      <xdr:col>4</xdr:col>
      <xdr:colOff>21879</xdr:colOff>
      <xdr:row>32</xdr:row>
      <xdr:rowOff>9207</xdr:rowOff>
    </xdr:from>
    <xdr:to>
      <xdr:col>4</xdr:col>
      <xdr:colOff>2207210</xdr:colOff>
      <xdr:row>32</xdr:row>
      <xdr:rowOff>1017588</xdr:rowOff>
    </xdr:to>
    <xdr:pic>
      <xdr:nvPicPr>
        <xdr:cNvPr id="25" name="Imagen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2"/>
        <a:stretch>
          <a:fillRect/>
        </a:stretch>
      </xdr:blipFill>
      <xdr:spPr>
        <a:xfrm>
          <a:off x="8956329" y="32937132"/>
          <a:ext cx="2185331" cy="1008381"/>
        </a:xfrm>
        <a:prstGeom prst="rect">
          <a:avLst/>
        </a:prstGeom>
      </xdr:spPr>
    </xdr:pic>
    <xdr:clientData/>
  </xdr:twoCellAnchor>
  <xdr:twoCellAnchor editAs="oneCell">
    <xdr:from>
      <xdr:col>4</xdr:col>
      <xdr:colOff>67595</xdr:colOff>
      <xdr:row>52</xdr:row>
      <xdr:rowOff>63500</xdr:rowOff>
    </xdr:from>
    <xdr:to>
      <xdr:col>4</xdr:col>
      <xdr:colOff>2192254</xdr:colOff>
      <xdr:row>53</xdr:row>
      <xdr:rowOff>16087</xdr:rowOff>
    </xdr:to>
    <xdr:pic>
      <xdr:nvPicPr>
        <xdr:cNvPr id="26" name="Picture 2">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9002045" y="54155975"/>
          <a:ext cx="2124659" cy="990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62230</xdr:colOff>
      <xdr:row>17</xdr:row>
      <xdr:rowOff>65405</xdr:rowOff>
    </xdr:from>
    <xdr:to>
      <xdr:col>4</xdr:col>
      <xdr:colOff>2212340</xdr:colOff>
      <xdr:row>17</xdr:row>
      <xdr:rowOff>973455</xdr:rowOff>
    </xdr:to>
    <xdr:pic>
      <xdr:nvPicPr>
        <xdr:cNvPr id="27" name="Imagen 26">
          <a:extLst>
            <a:ext uri="{FF2B5EF4-FFF2-40B4-BE49-F238E27FC236}">
              <a16:creationId xmlns:a16="http://schemas.microsoft.com/office/drawing/2014/main" id="{00000000-0008-0000-0100-00001B000000}"/>
            </a:ext>
          </a:extLst>
        </xdr:cNvPr>
        <xdr:cNvPicPr>
          <a:picLocks noChangeAspect="1"/>
        </xdr:cNvPicPr>
      </xdr:nvPicPr>
      <xdr:blipFill rotWithShape="1">
        <a:blip xmlns:r="http://schemas.openxmlformats.org/officeDocument/2006/relationships" r:embed="rId24"/>
        <a:srcRect t="9384"/>
        <a:stretch/>
      </xdr:blipFill>
      <xdr:spPr>
        <a:xfrm>
          <a:off x="8996680" y="17419955"/>
          <a:ext cx="2150110" cy="908050"/>
        </a:xfrm>
        <a:prstGeom prst="rect">
          <a:avLst/>
        </a:prstGeom>
      </xdr:spPr>
    </xdr:pic>
    <xdr:clientData/>
  </xdr:twoCellAnchor>
  <xdr:twoCellAnchor editAs="oneCell">
    <xdr:from>
      <xdr:col>4</xdr:col>
      <xdr:colOff>73977</xdr:colOff>
      <xdr:row>49</xdr:row>
      <xdr:rowOff>44930</xdr:rowOff>
    </xdr:from>
    <xdr:to>
      <xdr:col>5</xdr:col>
      <xdr:colOff>1587</xdr:colOff>
      <xdr:row>50</xdr:row>
      <xdr:rowOff>24040</xdr:rowOff>
    </xdr:to>
    <xdr:pic>
      <xdr:nvPicPr>
        <xdr:cNvPr id="28" name="Imagen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5"/>
        <a:stretch>
          <a:fillRect/>
        </a:stretch>
      </xdr:blipFill>
      <xdr:spPr>
        <a:xfrm>
          <a:off x="9008427" y="51022730"/>
          <a:ext cx="2146935" cy="1017335"/>
        </a:xfrm>
        <a:prstGeom prst="rect">
          <a:avLst/>
        </a:prstGeom>
      </xdr:spPr>
    </xdr:pic>
    <xdr:clientData/>
  </xdr:twoCellAnchor>
  <xdr:twoCellAnchor editAs="oneCell">
    <xdr:from>
      <xdr:col>4</xdr:col>
      <xdr:colOff>89851</xdr:colOff>
      <xdr:row>9</xdr:row>
      <xdr:rowOff>79751</xdr:rowOff>
    </xdr:from>
    <xdr:to>
      <xdr:col>4</xdr:col>
      <xdr:colOff>2209164</xdr:colOff>
      <xdr:row>9</xdr:row>
      <xdr:rowOff>977150</xdr:rowOff>
    </xdr:to>
    <xdr:pic>
      <xdr:nvPicPr>
        <xdr:cNvPr id="29" name="Imagen 28">
          <a:extLst>
            <a:ext uri="{FF2B5EF4-FFF2-40B4-BE49-F238E27FC236}">
              <a16:creationId xmlns:a16="http://schemas.microsoft.com/office/drawing/2014/main" id="{00000000-0008-0000-0100-00001D000000}"/>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24301" y="9128501"/>
          <a:ext cx="2119313" cy="897399"/>
        </a:xfrm>
        <a:prstGeom prst="rect">
          <a:avLst/>
        </a:prstGeom>
        <a:solidFill>
          <a:schemeClr val="bg1"/>
        </a:solidFill>
      </xdr:spPr>
    </xdr:pic>
    <xdr:clientData/>
  </xdr:twoCellAnchor>
  <xdr:twoCellAnchor editAs="oneCell">
    <xdr:from>
      <xdr:col>4</xdr:col>
      <xdr:colOff>83821</xdr:colOff>
      <xdr:row>7</xdr:row>
      <xdr:rowOff>48895</xdr:rowOff>
    </xdr:from>
    <xdr:to>
      <xdr:col>4</xdr:col>
      <xdr:colOff>1406843</xdr:colOff>
      <xdr:row>7</xdr:row>
      <xdr:rowOff>985202</xdr:rowOff>
    </xdr:to>
    <xdr:pic>
      <xdr:nvPicPr>
        <xdr:cNvPr id="30" name="Imagen 29">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8"/>
        <a:stretch>
          <a:fillRect/>
        </a:stretch>
      </xdr:blipFill>
      <xdr:spPr>
        <a:xfrm>
          <a:off x="9018271" y="7021195"/>
          <a:ext cx="1323022" cy="936307"/>
        </a:xfrm>
        <a:prstGeom prst="rect">
          <a:avLst/>
        </a:prstGeom>
      </xdr:spPr>
    </xdr:pic>
    <xdr:clientData/>
  </xdr:twoCellAnchor>
  <xdr:twoCellAnchor editAs="oneCell">
    <xdr:from>
      <xdr:col>4</xdr:col>
      <xdr:colOff>1330644</xdr:colOff>
      <xdr:row>7</xdr:row>
      <xdr:rowOff>53023</xdr:rowOff>
    </xdr:from>
    <xdr:to>
      <xdr:col>4</xdr:col>
      <xdr:colOff>2209166</xdr:colOff>
      <xdr:row>7</xdr:row>
      <xdr:rowOff>987108</xdr:rowOff>
    </xdr:to>
    <xdr:pic>
      <xdr:nvPicPr>
        <xdr:cNvPr id="31" name="Imagen 30">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65094" y="7025323"/>
          <a:ext cx="878522" cy="934085"/>
        </a:xfrm>
        <a:prstGeom prst="rect">
          <a:avLst/>
        </a:prstGeom>
      </xdr:spPr>
    </xdr:pic>
    <xdr:clientData/>
  </xdr:twoCellAnchor>
  <xdr:twoCellAnchor editAs="oneCell">
    <xdr:from>
      <xdr:col>4</xdr:col>
      <xdr:colOff>55563</xdr:colOff>
      <xdr:row>69</xdr:row>
      <xdr:rowOff>75730</xdr:rowOff>
    </xdr:from>
    <xdr:to>
      <xdr:col>4</xdr:col>
      <xdr:colOff>2212340</xdr:colOff>
      <xdr:row>69</xdr:row>
      <xdr:rowOff>966425</xdr:rowOff>
    </xdr:to>
    <xdr:pic>
      <xdr:nvPicPr>
        <xdr:cNvPr id="32" name="Imagen 31">
          <a:extLst>
            <a:ext uri="{FF2B5EF4-FFF2-40B4-BE49-F238E27FC236}">
              <a16:creationId xmlns:a16="http://schemas.microsoft.com/office/drawing/2014/main" id="{00000000-0008-0000-0100-000020000000}"/>
            </a:ext>
          </a:extLst>
        </xdr:cNvPr>
        <xdr:cNvPicPr>
          <a:picLocks noChangeAspect="1"/>
        </xdr:cNvPicPr>
      </xdr:nvPicPr>
      <xdr:blipFill rotWithShape="1">
        <a:blip xmlns:r="http://schemas.openxmlformats.org/officeDocument/2006/relationships" r:embed="rId30"/>
        <a:srcRect l="57930" t="14803" r="10031" b="6368"/>
        <a:stretch/>
      </xdr:blipFill>
      <xdr:spPr>
        <a:xfrm>
          <a:off x="8990013" y="72570505"/>
          <a:ext cx="2156777" cy="890695"/>
        </a:xfrm>
        <a:prstGeom prst="rect">
          <a:avLst/>
        </a:prstGeom>
      </xdr:spPr>
    </xdr:pic>
    <xdr:clientData/>
  </xdr:twoCellAnchor>
  <xdr:twoCellAnchor editAs="oneCell">
    <xdr:from>
      <xdr:col>4</xdr:col>
      <xdr:colOff>145415</xdr:colOff>
      <xdr:row>14</xdr:row>
      <xdr:rowOff>156210</xdr:rowOff>
    </xdr:from>
    <xdr:to>
      <xdr:col>4</xdr:col>
      <xdr:colOff>1240028</xdr:colOff>
      <xdr:row>14</xdr:row>
      <xdr:rowOff>593862</xdr:rowOff>
    </xdr:to>
    <xdr:pic>
      <xdr:nvPicPr>
        <xdr:cNvPr id="33" name="Imagen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1"/>
        <a:stretch>
          <a:fillRect/>
        </a:stretch>
      </xdr:blipFill>
      <xdr:spPr>
        <a:xfrm>
          <a:off x="9079865" y="14396085"/>
          <a:ext cx="1094613" cy="437652"/>
        </a:xfrm>
        <a:prstGeom prst="rect">
          <a:avLst/>
        </a:prstGeom>
      </xdr:spPr>
    </xdr:pic>
    <xdr:clientData/>
  </xdr:twoCellAnchor>
  <xdr:twoCellAnchor editAs="oneCell">
    <xdr:from>
      <xdr:col>4</xdr:col>
      <xdr:colOff>125367</xdr:colOff>
      <xdr:row>3</xdr:row>
      <xdr:rowOff>109854</xdr:rowOff>
    </xdr:from>
    <xdr:to>
      <xdr:col>4</xdr:col>
      <xdr:colOff>2206625</xdr:colOff>
      <xdr:row>3</xdr:row>
      <xdr:rowOff>969798</xdr:rowOff>
    </xdr:to>
    <xdr:pic>
      <xdr:nvPicPr>
        <xdr:cNvPr id="34" name="Imagen 33">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059817" y="2929254"/>
          <a:ext cx="2081258" cy="859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255905</xdr:colOff>
      <xdr:row>23</xdr:row>
      <xdr:rowOff>66675</xdr:rowOff>
    </xdr:from>
    <xdr:to>
      <xdr:col>4</xdr:col>
      <xdr:colOff>2092325</xdr:colOff>
      <xdr:row>23</xdr:row>
      <xdr:rowOff>1011171</xdr:rowOff>
    </xdr:to>
    <xdr:pic>
      <xdr:nvPicPr>
        <xdr:cNvPr id="35" name="Imagen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9190355" y="23650575"/>
          <a:ext cx="1836420" cy="944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176056</xdr:colOff>
      <xdr:row>4</xdr:row>
      <xdr:rowOff>55880</xdr:rowOff>
    </xdr:from>
    <xdr:to>
      <xdr:col>4</xdr:col>
      <xdr:colOff>2168525</xdr:colOff>
      <xdr:row>4</xdr:row>
      <xdr:rowOff>996950</xdr:rowOff>
    </xdr:to>
    <xdr:pic>
      <xdr:nvPicPr>
        <xdr:cNvPr id="36" name="Imagen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9110506" y="3913505"/>
          <a:ext cx="1992469" cy="94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76199</xdr:colOff>
      <xdr:row>8</xdr:row>
      <xdr:rowOff>55209</xdr:rowOff>
    </xdr:from>
    <xdr:to>
      <xdr:col>4</xdr:col>
      <xdr:colOff>1544320</xdr:colOff>
      <xdr:row>8</xdr:row>
      <xdr:rowOff>1029334</xdr:rowOff>
    </xdr:to>
    <xdr:pic>
      <xdr:nvPicPr>
        <xdr:cNvPr id="37" name="Imagen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5"/>
        <a:stretch>
          <a:fillRect/>
        </a:stretch>
      </xdr:blipFill>
      <xdr:spPr>
        <a:xfrm>
          <a:off x="9010649" y="8065734"/>
          <a:ext cx="1468121" cy="974125"/>
        </a:xfrm>
        <a:prstGeom prst="rect">
          <a:avLst/>
        </a:prstGeom>
      </xdr:spPr>
    </xdr:pic>
    <xdr:clientData/>
  </xdr:twoCellAnchor>
  <xdr:twoCellAnchor editAs="oneCell">
    <xdr:from>
      <xdr:col>4</xdr:col>
      <xdr:colOff>482340</xdr:colOff>
      <xdr:row>14</xdr:row>
      <xdr:rowOff>587375</xdr:rowOff>
    </xdr:from>
    <xdr:to>
      <xdr:col>4</xdr:col>
      <xdr:colOff>1444625</xdr:colOff>
      <xdr:row>14</xdr:row>
      <xdr:rowOff>1028520</xdr:rowOff>
    </xdr:to>
    <xdr:pic>
      <xdr:nvPicPr>
        <xdr:cNvPr id="38" name="Picture 2">
          <a:extLst>
            <a:ext uri="{FF2B5EF4-FFF2-40B4-BE49-F238E27FC236}">
              <a16:creationId xmlns:a16="http://schemas.microsoft.com/office/drawing/2014/main" id="{00000000-0008-0000-0100-000026000000}"/>
            </a:ext>
          </a:extLst>
        </xdr:cNvPr>
        <xdr:cNvPicPr>
          <a:picLocks noChangeAspect="1" noChangeArrowheads="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t="10761"/>
        <a:stretch/>
      </xdr:blipFill>
      <xdr:spPr bwMode="auto">
        <a:xfrm>
          <a:off x="9416790" y="14827250"/>
          <a:ext cx="962285" cy="4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154940</xdr:colOff>
      <xdr:row>48</xdr:row>
      <xdr:rowOff>17780</xdr:rowOff>
    </xdr:from>
    <xdr:to>
      <xdr:col>5</xdr:col>
      <xdr:colOff>1270</xdr:colOff>
      <xdr:row>49</xdr:row>
      <xdr:rowOff>43707</xdr:rowOff>
    </xdr:to>
    <xdr:pic>
      <xdr:nvPicPr>
        <xdr:cNvPr id="39" name="Imagen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7"/>
        <a:stretch>
          <a:fillRect/>
        </a:stretch>
      </xdr:blipFill>
      <xdr:spPr>
        <a:xfrm>
          <a:off x="9089390" y="49957355"/>
          <a:ext cx="2065655" cy="1064152"/>
        </a:xfrm>
        <a:prstGeom prst="rect">
          <a:avLst/>
        </a:prstGeom>
      </xdr:spPr>
    </xdr:pic>
    <xdr:clientData/>
  </xdr:twoCellAnchor>
  <xdr:twoCellAnchor editAs="oneCell">
    <xdr:from>
      <xdr:col>4</xdr:col>
      <xdr:colOff>200025</xdr:colOff>
      <xdr:row>38</xdr:row>
      <xdr:rowOff>22442</xdr:rowOff>
    </xdr:from>
    <xdr:to>
      <xdr:col>4</xdr:col>
      <xdr:colOff>2001520</xdr:colOff>
      <xdr:row>38</xdr:row>
      <xdr:rowOff>1008379</xdr:rowOff>
    </xdr:to>
    <xdr:pic>
      <xdr:nvPicPr>
        <xdr:cNvPr id="40" name="Imagen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8"/>
        <a:stretch>
          <a:fillRect/>
        </a:stretch>
      </xdr:blipFill>
      <xdr:spPr>
        <a:xfrm>
          <a:off x="9134475" y="39179717"/>
          <a:ext cx="1801495" cy="985937"/>
        </a:xfrm>
        <a:prstGeom prst="rect">
          <a:avLst/>
        </a:prstGeom>
      </xdr:spPr>
    </xdr:pic>
    <xdr:clientData/>
  </xdr:twoCellAnchor>
  <xdr:twoCellAnchor editAs="oneCell">
    <xdr:from>
      <xdr:col>4</xdr:col>
      <xdr:colOff>113030</xdr:colOff>
      <xdr:row>11</xdr:row>
      <xdr:rowOff>51435</xdr:rowOff>
    </xdr:from>
    <xdr:to>
      <xdr:col>4</xdr:col>
      <xdr:colOff>1177925</xdr:colOff>
      <xdr:row>11</xdr:row>
      <xdr:rowOff>987569</xdr:rowOff>
    </xdr:to>
    <xdr:pic>
      <xdr:nvPicPr>
        <xdr:cNvPr id="41" name="Imagen 40">
          <a:extLst>
            <a:ext uri="{FF2B5EF4-FFF2-40B4-BE49-F238E27FC236}">
              <a16:creationId xmlns:a16="http://schemas.microsoft.com/office/drawing/2014/main" id="{00000000-0008-0000-0100-000029000000}"/>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47480" y="11176635"/>
          <a:ext cx="1064895" cy="936134"/>
        </a:xfrm>
        <a:prstGeom prst="rect">
          <a:avLst/>
        </a:prstGeom>
        <a:solidFill>
          <a:schemeClr val="bg1"/>
        </a:solidFill>
      </xdr:spPr>
    </xdr:pic>
    <xdr:clientData/>
  </xdr:twoCellAnchor>
  <xdr:twoCellAnchor editAs="oneCell">
    <xdr:from>
      <xdr:col>4</xdr:col>
      <xdr:colOff>1304925</xdr:colOff>
      <xdr:row>11</xdr:row>
      <xdr:rowOff>142875</xdr:rowOff>
    </xdr:from>
    <xdr:to>
      <xdr:col>5</xdr:col>
      <xdr:colOff>815</xdr:colOff>
      <xdr:row>11</xdr:row>
      <xdr:rowOff>1009330</xdr:rowOff>
    </xdr:to>
    <xdr:pic>
      <xdr:nvPicPr>
        <xdr:cNvPr id="42" name="Marcador de posición de imagen 3">
          <a:extLst>
            <a:ext uri="{FF2B5EF4-FFF2-40B4-BE49-F238E27FC236}">
              <a16:creationId xmlns:a16="http://schemas.microsoft.com/office/drawing/2014/main" id="{00000000-0008-0000-0100-00002A000000}"/>
            </a:ext>
          </a:extLst>
        </xdr:cNvPr>
        <xdr:cNvPicPr>
          <a:picLocks noChangeAspect="1"/>
        </xdr:cNvPicPr>
      </xdr:nvPicPr>
      <xdr:blipFill rotWithShape="1">
        <a:blip xmlns:r="http://schemas.openxmlformats.org/officeDocument/2006/relationships" r:embed="rId1"/>
        <a:srcRect l="4863" r="52264"/>
        <a:stretch/>
      </xdr:blipFill>
      <xdr:spPr>
        <a:xfrm>
          <a:off x="10239375" y="11268075"/>
          <a:ext cx="915215" cy="866455"/>
        </a:xfrm>
        <a:prstGeom prst="rect">
          <a:avLst/>
        </a:prstGeom>
        <a:solidFill>
          <a:schemeClr val="bg1"/>
        </a:solidFill>
      </xdr:spPr>
    </xdr:pic>
    <xdr:clientData/>
  </xdr:twoCellAnchor>
  <xdr:twoCellAnchor editAs="oneCell">
    <xdr:from>
      <xdr:col>4</xdr:col>
      <xdr:colOff>85725</xdr:colOff>
      <xdr:row>12</xdr:row>
      <xdr:rowOff>114300</xdr:rowOff>
    </xdr:from>
    <xdr:to>
      <xdr:col>4</xdr:col>
      <xdr:colOff>1144270</xdr:colOff>
      <xdr:row>12</xdr:row>
      <xdr:rowOff>1005984</xdr:rowOff>
    </xdr:to>
    <xdr:pic>
      <xdr:nvPicPr>
        <xdr:cNvPr id="43" name="Imagen 42">
          <a:extLst>
            <a:ext uri="{FF2B5EF4-FFF2-40B4-BE49-F238E27FC236}">
              <a16:creationId xmlns:a16="http://schemas.microsoft.com/office/drawing/2014/main" id="{00000000-0008-0000-0100-00002B000000}"/>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20175" y="12277725"/>
          <a:ext cx="1058545" cy="891684"/>
        </a:xfrm>
        <a:prstGeom prst="rect">
          <a:avLst/>
        </a:prstGeom>
        <a:solidFill>
          <a:schemeClr val="bg1"/>
        </a:solidFill>
      </xdr:spPr>
    </xdr:pic>
    <xdr:clientData/>
  </xdr:twoCellAnchor>
  <xdr:twoCellAnchor editAs="oneCell">
    <xdr:from>
      <xdr:col>4</xdr:col>
      <xdr:colOff>1188084</xdr:colOff>
      <xdr:row>12</xdr:row>
      <xdr:rowOff>85725</xdr:rowOff>
    </xdr:from>
    <xdr:to>
      <xdr:col>4</xdr:col>
      <xdr:colOff>2206987</xdr:colOff>
      <xdr:row>12</xdr:row>
      <xdr:rowOff>984404</xdr:rowOff>
    </xdr:to>
    <xdr:pic>
      <xdr:nvPicPr>
        <xdr:cNvPr id="44" name="Imagen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0122534" y="12249150"/>
          <a:ext cx="1018903" cy="898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250371</xdr:colOff>
      <xdr:row>10</xdr:row>
      <xdr:rowOff>65315</xdr:rowOff>
    </xdr:from>
    <xdr:to>
      <xdr:col>5</xdr:col>
      <xdr:colOff>906</xdr:colOff>
      <xdr:row>10</xdr:row>
      <xdr:rowOff>885028</xdr:rowOff>
    </xdr:to>
    <xdr:pic>
      <xdr:nvPicPr>
        <xdr:cNvPr id="45" name="Imagen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9184821" y="10152290"/>
          <a:ext cx="1969860" cy="819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177165</xdr:colOff>
      <xdr:row>15</xdr:row>
      <xdr:rowOff>57785</xdr:rowOff>
    </xdr:from>
    <xdr:to>
      <xdr:col>4</xdr:col>
      <xdr:colOff>2130425</xdr:colOff>
      <xdr:row>15</xdr:row>
      <xdr:rowOff>1022985</xdr:rowOff>
    </xdr:to>
    <xdr:pic>
      <xdr:nvPicPr>
        <xdr:cNvPr id="46" name="Imagen 45">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9111615" y="15335885"/>
          <a:ext cx="1953260" cy="965200"/>
        </a:xfrm>
        <a:prstGeom prst="rect">
          <a:avLst/>
        </a:prstGeom>
      </xdr:spPr>
    </xdr:pic>
    <xdr:clientData/>
  </xdr:twoCellAnchor>
  <xdr:twoCellAnchor editAs="oneCell">
    <xdr:from>
      <xdr:col>4</xdr:col>
      <xdr:colOff>13544</xdr:colOff>
      <xdr:row>15</xdr:row>
      <xdr:rowOff>1013460</xdr:rowOff>
    </xdr:from>
    <xdr:to>
      <xdr:col>5</xdr:col>
      <xdr:colOff>1588</xdr:colOff>
      <xdr:row>16</xdr:row>
      <xdr:rowOff>1005568</xdr:rowOff>
    </xdr:to>
    <xdr:pic>
      <xdr:nvPicPr>
        <xdr:cNvPr id="47" name="Imagen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8947994" y="16291560"/>
          <a:ext cx="2202606" cy="1030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128904</xdr:colOff>
      <xdr:row>19</xdr:row>
      <xdr:rowOff>46960</xdr:rowOff>
    </xdr:from>
    <xdr:to>
      <xdr:col>4</xdr:col>
      <xdr:colOff>2171700</xdr:colOff>
      <xdr:row>19</xdr:row>
      <xdr:rowOff>1032238</xdr:rowOff>
    </xdr:to>
    <xdr:pic>
      <xdr:nvPicPr>
        <xdr:cNvPr id="48" name="Imagen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42"/>
        <a:stretch>
          <a:fillRect/>
        </a:stretch>
      </xdr:blipFill>
      <xdr:spPr>
        <a:xfrm>
          <a:off x="9063354" y="19477960"/>
          <a:ext cx="2042796" cy="985278"/>
        </a:xfrm>
        <a:prstGeom prst="rect">
          <a:avLst/>
        </a:prstGeom>
      </xdr:spPr>
    </xdr:pic>
    <xdr:clientData/>
  </xdr:twoCellAnchor>
  <xdr:twoCellAnchor editAs="oneCell">
    <xdr:from>
      <xdr:col>4</xdr:col>
      <xdr:colOff>251459</xdr:colOff>
      <xdr:row>76</xdr:row>
      <xdr:rowOff>102234</xdr:rowOff>
    </xdr:from>
    <xdr:to>
      <xdr:col>4</xdr:col>
      <xdr:colOff>2206625</xdr:colOff>
      <xdr:row>76</xdr:row>
      <xdr:rowOff>998029</xdr:rowOff>
    </xdr:to>
    <xdr:pic>
      <xdr:nvPicPr>
        <xdr:cNvPr id="49" name="Imagen 48">
          <a:extLst>
            <a:ext uri="{FF2B5EF4-FFF2-40B4-BE49-F238E27FC236}">
              <a16:creationId xmlns:a16="http://schemas.microsoft.com/office/drawing/2014/main" id="{00000000-0008-0000-0100-000031000000}"/>
            </a:ext>
          </a:extLst>
        </xdr:cNvPr>
        <xdr:cNvPicPr>
          <a:picLocks noChangeAspect="1"/>
        </xdr:cNvPicPr>
      </xdr:nvPicPr>
      <xdr:blipFill rotWithShape="1">
        <a:blip xmlns:r="http://schemas.openxmlformats.org/officeDocument/2006/relationships" r:embed="rId43"/>
        <a:srcRect t="18500" r="58859" b="14577"/>
        <a:stretch/>
      </xdr:blipFill>
      <xdr:spPr>
        <a:xfrm>
          <a:off x="9185909" y="79864584"/>
          <a:ext cx="1955166" cy="895795"/>
        </a:xfrm>
        <a:prstGeom prst="rect">
          <a:avLst/>
        </a:prstGeom>
      </xdr:spPr>
    </xdr:pic>
    <xdr:clientData/>
  </xdr:twoCellAnchor>
  <xdr:twoCellAnchor editAs="oneCell">
    <xdr:from>
      <xdr:col>4</xdr:col>
      <xdr:colOff>135255</xdr:colOff>
      <xdr:row>74</xdr:row>
      <xdr:rowOff>214630</xdr:rowOff>
    </xdr:from>
    <xdr:to>
      <xdr:col>5</xdr:col>
      <xdr:colOff>1270</xdr:colOff>
      <xdr:row>75</xdr:row>
      <xdr:rowOff>765992</xdr:rowOff>
    </xdr:to>
    <xdr:pic>
      <xdr:nvPicPr>
        <xdr:cNvPr id="50" name="Imagen 49">
          <a:extLst>
            <a:ext uri="{FF2B5EF4-FFF2-40B4-BE49-F238E27FC236}">
              <a16:creationId xmlns:a16="http://schemas.microsoft.com/office/drawing/2014/main" id="{00000000-0008-0000-0100-000032000000}"/>
            </a:ext>
          </a:extLst>
        </xdr:cNvPr>
        <xdr:cNvPicPr>
          <a:picLocks noChangeAspect="1"/>
        </xdr:cNvPicPr>
      </xdr:nvPicPr>
      <xdr:blipFill rotWithShape="1">
        <a:blip xmlns:r="http://schemas.openxmlformats.org/officeDocument/2006/relationships" r:embed="rId44"/>
        <a:srcRect l="52926" t="19728" r="3060" b="6744"/>
        <a:stretch/>
      </xdr:blipFill>
      <xdr:spPr>
        <a:xfrm>
          <a:off x="9069705" y="77900530"/>
          <a:ext cx="2085340" cy="1589587"/>
        </a:xfrm>
        <a:prstGeom prst="rect">
          <a:avLst/>
        </a:prstGeom>
      </xdr:spPr>
    </xdr:pic>
    <xdr:clientData/>
  </xdr:twoCellAnchor>
  <xdr:twoCellAnchor editAs="oneCell">
    <xdr:from>
      <xdr:col>4</xdr:col>
      <xdr:colOff>170180</xdr:colOff>
      <xdr:row>39</xdr:row>
      <xdr:rowOff>27305</xdr:rowOff>
    </xdr:from>
    <xdr:to>
      <xdr:col>4</xdr:col>
      <xdr:colOff>2171700</xdr:colOff>
      <xdr:row>39</xdr:row>
      <xdr:rowOff>1009352</xdr:rowOff>
    </xdr:to>
    <xdr:pic>
      <xdr:nvPicPr>
        <xdr:cNvPr id="51" name="Imagen 50" descr="Gráfico, Gráfico radial&#10;&#10;Descripción generada automáticamente">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9104630" y="40222805"/>
          <a:ext cx="2001520" cy="982047"/>
        </a:xfrm>
        <a:prstGeom prst="rect">
          <a:avLst/>
        </a:prstGeom>
      </xdr:spPr>
    </xdr:pic>
    <xdr:clientData/>
  </xdr:twoCellAnchor>
  <xdr:twoCellAnchor editAs="oneCell">
    <xdr:from>
      <xdr:col>4</xdr:col>
      <xdr:colOff>123825</xdr:colOff>
      <xdr:row>24</xdr:row>
      <xdr:rowOff>76200</xdr:rowOff>
    </xdr:from>
    <xdr:to>
      <xdr:col>5</xdr:col>
      <xdr:colOff>815</xdr:colOff>
      <xdr:row>24</xdr:row>
      <xdr:rowOff>989012</xdr:rowOff>
    </xdr:to>
    <xdr:pic>
      <xdr:nvPicPr>
        <xdr:cNvPr id="52" name="Imagen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46"/>
        <a:stretch>
          <a:fillRect/>
        </a:stretch>
      </xdr:blipFill>
      <xdr:spPr>
        <a:xfrm>
          <a:off x="9058275" y="24698325"/>
          <a:ext cx="2096315" cy="912812"/>
        </a:xfrm>
        <a:prstGeom prst="rect">
          <a:avLst/>
        </a:prstGeom>
      </xdr:spPr>
    </xdr:pic>
    <xdr:clientData/>
  </xdr:twoCellAnchor>
  <xdr:twoCellAnchor editAs="oneCell">
    <xdr:from>
      <xdr:col>4</xdr:col>
      <xdr:colOff>63591</xdr:colOff>
      <xdr:row>24</xdr:row>
      <xdr:rowOff>76200</xdr:rowOff>
    </xdr:from>
    <xdr:to>
      <xdr:col>5</xdr:col>
      <xdr:colOff>89</xdr:colOff>
      <xdr:row>24</xdr:row>
      <xdr:rowOff>989012</xdr:rowOff>
    </xdr:to>
    <xdr:pic>
      <xdr:nvPicPr>
        <xdr:cNvPr id="53" name="Imagen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46"/>
        <a:stretch>
          <a:fillRect/>
        </a:stretch>
      </xdr:blipFill>
      <xdr:spPr>
        <a:xfrm>
          <a:off x="8998041" y="24698325"/>
          <a:ext cx="2155823" cy="912812"/>
        </a:xfrm>
        <a:prstGeom prst="rect">
          <a:avLst/>
        </a:prstGeom>
      </xdr:spPr>
    </xdr:pic>
    <xdr:clientData/>
  </xdr:twoCellAnchor>
  <xdr:twoCellAnchor editAs="oneCell">
    <xdr:from>
      <xdr:col>4</xdr:col>
      <xdr:colOff>1200151</xdr:colOff>
      <xdr:row>26</xdr:row>
      <xdr:rowOff>85725</xdr:rowOff>
    </xdr:from>
    <xdr:to>
      <xdr:col>5</xdr:col>
      <xdr:colOff>1271</xdr:colOff>
      <xdr:row>26</xdr:row>
      <xdr:rowOff>1022667</xdr:rowOff>
    </xdr:to>
    <xdr:pic>
      <xdr:nvPicPr>
        <xdr:cNvPr id="54" name="Imagen 53">
          <a:extLst>
            <a:ext uri="{FF2B5EF4-FFF2-40B4-BE49-F238E27FC236}">
              <a16:creationId xmlns:a16="http://schemas.microsoft.com/office/drawing/2014/main" id="{00000000-0008-0000-0100-000036000000}"/>
            </a:ext>
          </a:extLst>
        </xdr:cNvPr>
        <xdr:cNvPicPr>
          <a:picLocks noChangeAspect="1"/>
        </xdr:cNvPicPr>
      </xdr:nvPicPr>
      <xdr:blipFill rotWithShape="1">
        <a:blip xmlns:r="http://schemas.openxmlformats.org/officeDocument/2006/relationships" r:embed="rId46"/>
        <a:srcRect r="51829"/>
        <a:stretch/>
      </xdr:blipFill>
      <xdr:spPr>
        <a:xfrm>
          <a:off x="10134601" y="26784300"/>
          <a:ext cx="1020445" cy="936942"/>
        </a:xfrm>
        <a:prstGeom prst="rect">
          <a:avLst/>
        </a:prstGeom>
      </xdr:spPr>
    </xdr:pic>
    <xdr:clientData/>
  </xdr:twoCellAnchor>
  <xdr:twoCellAnchor editAs="oneCell">
    <xdr:from>
      <xdr:col>4</xdr:col>
      <xdr:colOff>103505</xdr:colOff>
      <xdr:row>26</xdr:row>
      <xdr:rowOff>76200</xdr:rowOff>
    </xdr:from>
    <xdr:to>
      <xdr:col>4</xdr:col>
      <xdr:colOff>1087120</xdr:colOff>
      <xdr:row>26</xdr:row>
      <xdr:rowOff>972185</xdr:rowOff>
    </xdr:to>
    <xdr:pic>
      <xdr:nvPicPr>
        <xdr:cNvPr id="55" name="Imagen 54">
          <a:extLst>
            <a:ext uri="{FF2B5EF4-FFF2-40B4-BE49-F238E27FC236}">
              <a16:creationId xmlns:a16="http://schemas.microsoft.com/office/drawing/2014/main" id="{00000000-0008-0000-0100-000037000000}"/>
            </a:ext>
          </a:extLst>
        </xdr:cNvPr>
        <xdr:cNvPicPr>
          <a:picLocks noChangeAspect="1"/>
        </xdr:cNvPicPr>
      </xdr:nvPicPr>
      <xdr:blipFill rotWithShape="1">
        <a:blip xmlns:r="http://schemas.openxmlformats.org/officeDocument/2006/relationships" r:embed="rId7"/>
        <a:srcRect l="20307" t="2006" b="39816"/>
        <a:stretch/>
      </xdr:blipFill>
      <xdr:spPr>
        <a:xfrm>
          <a:off x="9037955" y="26774775"/>
          <a:ext cx="983615" cy="895985"/>
        </a:xfrm>
        <a:prstGeom prst="rect">
          <a:avLst/>
        </a:prstGeom>
      </xdr:spPr>
    </xdr:pic>
    <xdr:clientData/>
  </xdr:twoCellAnchor>
  <xdr:twoCellAnchor editAs="oneCell">
    <xdr:from>
      <xdr:col>4</xdr:col>
      <xdr:colOff>219075</xdr:colOff>
      <xdr:row>29</xdr:row>
      <xdr:rowOff>57150</xdr:rowOff>
    </xdr:from>
    <xdr:to>
      <xdr:col>4</xdr:col>
      <xdr:colOff>2154430</xdr:colOff>
      <xdr:row>29</xdr:row>
      <xdr:rowOff>1021938</xdr:rowOff>
    </xdr:to>
    <xdr:pic>
      <xdr:nvPicPr>
        <xdr:cNvPr id="56" name="Imagen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47"/>
        <a:stretch>
          <a:fillRect/>
        </a:stretch>
      </xdr:blipFill>
      <xdr:spPr>
        <a:xfrm>
          <a:off x="9153525" y="29870400"/>
          <a:ext cx="1935355" cy="964788"/>
        </a:xfrm>
        <a:prstGeom prst="rect">
          <a:avLst/>
        </a:prstGeom>
      </xdr:spPr>
    </xdr:pic>
    <xdr:clientData/>
  </xdr:twoCellAnchor>
  <xdr:twoCellAnchor editAs="oneCell">
    <xdr:from>
      <xdr:col>4</xdr:col>
      <xdr:colOff>38101</xdr:colOff>
      <xdr:row>33</xdr:row>
      <xdr:rowOff>50164</xdr:rowOff>
    </xdr:from>
    <xdr:to>
      <xdr:col>5</xdr:col>
      <xdr:colOff>1270</xdr:colOff>
      <xdr:row>33</xdr:row>
      <xdr:rowOff>1021714</xdr:rowOff>
    </xdr:to>
    <xdr:pic>
      <xdr:nvPicPr>
        <xdr:cNvPr id="57" name="Imagen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8972551" y="34016314"/>
          <a:ext cx="2182494"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133350</xdr:colOff>
      <xdr:row>45</xdr:row>
      <xdr:rowOff>71887</xdr:rowOff>
    </xdr:from>
    <xdr:to>
      <xdr:col>5</xdr:col>
      <xdr:colOff>1589</xdr:colOff>
      <xdr:row>45</xdr:row>
      <xdr:rowOff>1013550</xdr:rowOff>
    </xdr:to>
    <xdr:pic>
      <xdr:nvPicPr>
        <xdr:cNvPr id="58" name="Imagen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9067800" y="46496737"/>
          <a:ext cx="2082801" cy="941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128905</xdr:colOff>
      <xdr:row>44</xdr:row>
      <xdr:rowOff>62864</xdr:rowOff>
    </xdr:from>
    <xdr:to>
      <xdr:col>4</xdr:col>
      <xdr:colOff>2192654</xdr:colOff>
      <xdr:row>45</xdr:row>
      <xdr:rowOff>16418</xdr:rowOff>
    </xdr:to>
    <xdr:pic>
      <xdr:nvPicPr>
        <xdr:cNvPr id="59" name="Imagen 58">
          <a:extLst>
            <a:ext uri="{FF2B5EF4-FFF2-40B4-BE49-F238E27FC236}">
              <a16:creationId xmlns:a16="http://schemas.microsoft.com/office/drawing/2014/main" id="{00000000-0008-0000-0100-00003B000000}"/>
            </a:ext>
          </a:extLst>
        </xdr:cNvPr>
        <xdr:cNvPicPr>
          <a:picLocks noChangeAspect="1" noChangeArrowheads="1"/>
        </xdr:cNvPicPr>
      </xdr:nvPicPr>
      <xdr:blipFill rotWithShape="1">
        <a:blip xmlns:r="http://schemas.openxmlformats.org/officeDocument/2006/relationships" r:embed="rId50" cstate="print">
          <a:extLst>
            <a:ext uri="{28A0092B-C50C-407E-A947-70E740481C1C}">
              <a14:useLocalDpi xmlns:a14="http://schemas.microsoft.com/office/drawing/2010/main" val="0"/>
            </a:ext>
          </a:extLst>
        </a:blip>
        <a:srcRect r="15465"/>
        <a:stretch/>
      </xdr:blipFill>
      <xdr:spPr bwMode="auto">
        <a:xfrm>
          <a:off x="9063355" y="45449489"/>
          <a:ext cx="2063749" cy="991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1229361</xdr:colOff>
      <xdr:row>46</xdr:row>
      <xdr:rowOff>75595</xdr:rowOff>
    </xdr:from>
    <xdr:to>
      <xdr:col>4</xdr:col>
      <xdr:colOff>2130425</xdr:colOff>
      <xdr:row>46</xdr:row>
      <xdr:rowOff>763087</xdr:rowOff>
    </xdr:to>
    <xdr:pic>
      <xdr:nvPicPr>
        <xdr:cNvPr id="60" name="Imagen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51"/>
        <a:stretch>
          <a:fillRect/>
        </a:stretch>
      </xdr:blipFill>
      <xdr:spPr>
        <a:xfrm>
          <a:off x="10163811" y="47538670"/>
          <a:ext cx="901064" cy="687492"/>
        </a:xfrm>
        <a:prstGeom prst="rect">
          <a:avLst/>
        </a:prstGeom>
      </xdr:spPr>
    </xdr:pic>
    <xdr:clientData/>
  </xdr:twoCellAnchor>
  <xdr:twoCellAnchor editAs="oneCell">
    <xdr:from>
      <xdr:col>4</xdr:col>
      <xdr:colOff>1154451</xdr:colOff>
      <xdr:row>46</xdr:row>
      <xdr:rowOff>745490</xdr:rowOff>
    </xdr:from>
    <xdr:to>
      <xdr:col>5</xdr:col>
      <xdr:colOff>1270</xdr:colOff>
      <xdr:row>46</xdr:row>
      <xdr:rowOff>1358602</xdr:rowOff>
    </xdr:to>
    <xdr:pic>
      <xdr:nvPicPr>
        <xdr:cNvPr id="61" name="Imagen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10088901" y="48208565"/>
          <a:ext cx="1066144" cy="61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87651</xdr:colOff>
      <xdr:row>46</xdr:row>
      <xdr:rowOff>138429</xdr:rowOff>
    </xdr:from>
    <xdr:to>
      <xdr:col>4</xdr:col>
      <xdr:colOff>1010920</xdr:colOff>
      <xdr:row>46</xdr:row>
      <xdr:rowOff>1298211</xdr:rowOff>
    </xdr:to>
    <xdr:pic>
      <xdr:nvPicPr>
        <xdr:cNvPr id="62" name="Imagen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53"/>
        <a:stretch>
          <a:fillRect/>
        </a:stretch>
      </xdr:blipFill>
      <xdr:spPr>
        <a:xfrm>
          <a:off x="9022101" y="47601504"/>
          <a:ext cx="923269" cy="1159782"/>
        </a:xfrm>
        <a:prstGeom prst="rect">
          <a:avLst/>
        </a:prstGeom>
      </xdr:spPr>
    </xdr:pic>
    <xdr:clientData/>
  </xdr:twoCellAnchor>
  <xdr:twoCellAnchor editAs="oneCell">
    <xdr:from>
      <xdr:col>4</xdr:col>
      <xdr:colOff>99061</xdr:colOff>
      <xdr:row>41</xdr:row>
      <xdr:rowOff>99695</xdr:rowOff>
    </xdr:from>
    <xdr:to>
      <xdr:col>4</xdr:col>
      <xdr:colOff>2192021</xdr:colOff>
      <xdr:row>41</xdr:row>
      <xdr:rowOff>566237</xdr:rowOff>
    </xdr:to>
    <xdr:pic>
      <xdr:nvPicPr>
        <xdr:cNvPr id="63" name="Imagen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9033511" y="42371645"/>
          <a:ext cx="2092960" cy="466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41</xdr:row>
      <xdr:rowOff>606577</xdr:rowOff>
    </xdr:from>
    <xdr:to>
      <xdr:col>5</xdr:col>
      <xdr:colOff>2222</xdr:colOff>
      <xdr:row>41</xdr:row>
      <xdr:rowOff>1032328</xdr:rowOff>
    </xdr:to>
    <xdr:pic>
      <xdr:nvPicPr>
        <xdr:cNvPr id="64" name="Imagen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9010650" y="42878527"/>
          <a:ext cx="2140584" cy="425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1326379</xdr:colOff>
      <xdr:row>27</xdr:row>
      <xdr:rowOff>287655</xdr:rowOff>
    </xdr:from>
    <xdr:to>
      <xdr:col>5</xdr:col>
      <xdr:colOff>0</xdr:colOff>
      <xdr:row>27</xdr:row>
      <xdr:rowOff>889635</xdr:rowOff>
    </xdr:to>
    <xdr:pic>
      <xdr:nvPicPr>
        <xdr:cNvPr id="65" name="Imagen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10260829" y="28024455"/>
          <a:ext cx="892946"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373380</xdr:colOff>
      <xdr:row>35</xdr:row>
      <xdr:rowOff>134476</xdr:rowOff>
    </xdr:from>
    <xdr:to>
      <xdr:col>4</xdr:col>
      <xdr:colOff>1939925</xdr:colOff>
      <xdr:row>35</xdr:row>
      <xdr:rowOff>979805</xdr:rowOff>
    </xdr:to>
    <xdr:pic>
      <xdr:nvPicPr>
        <xdr:cNvPr id="66" name="Imagen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57"/>
        <a:stretch>
          <a:fillRect/>
        </a:stretch>
      </xdr:blipFill>
      <xdr:spPr>
        <a:xfrm>
          <a:off x="9307830" y="36177076"/>
          <a:ext cx="1566545" cy="845329"/>
        </a:xfrm>
        <a:prstGeom prst="rect">
          <a:avLst/>
        </a:prstGeom>
      </xdr:spPr>
    </xdr:pic>
    <xdr:clientData/>
  </xdr:twoCellAnchor>
  <xdr:twoCellAnchor editAs="oneCell">
    <xdr:from>
      <xdr:col>4</xdr:col>
      <xdr:colOff>704850</xdr:colOff>
      <xdr:row>36</xdr:row>
      <xdr:rowOff>86360</xdr:rowOff>
    </xdr:from>
    <xdr:to>
      <xdr:col>4</xdr:col>
      <xdr:colOff>1673225</xdr:colOff>
      <xdr:row>36</xdr:row>
      <xdr:rowOff>991235</xdr:rowOff>
    </xdr:to>
    <xdr:pic>
      <xdr:nvPicPr>
        <xdr:cNvPr id="67" name="Imagen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9639300" y="37167185"/>
          <a:ext cx="96837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1120140</xdr:colOff>
      <xdr:row>55</xdr:row>
      <xdr:rowOff>90524</xdr:rowOff>
    </xdr:from>
    <xdr:to>
      <xdr:col>5</xdr:col>
      <xdr:colOff>1752</xdr:colOff>
      <xdr:row>55</xdr:row>
      <xdr:rowOff>613274</xdr:rowOff>
    </xdr:to>
    <xdr:pic>
      <xdr:nvPicPr>
        <xdr:cNvPr id="68" name="Imagen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47"/>
        <a:stretch>
          <a:fillRect/>
        </a:stretch>
      </xdr:blipFill>
      <xdr:spPr>
        <a:xfrm>
          <a:off x="10054590" y="57297674"/>
          <a:ext cx="1096174" cy="522750"/>
        </a:xfrm>
        <a:prstGeom prst="rect">
          <a:avLst/>
        </a:prstGeom>
      </xdr:spPr>
    </xdr:pic>
    <xdr:clientData/>
  </xdr:twoCellAnchor>
  <xdr:twoCellAnchor editAs="oneCell">
    <xdr:from>
      <xdr:col>4</xdr:col>
      <xdr:colOff>88900</xdr:colOff>
      <xdr:row>55</xdr:row>
      <xdr:rowOff>57149</xdr:rowOff>
    </xdr:from>
    <xdr:to>
      <xdr:col>4</xdr:col>
      <xdr:colOff>1102041</xdr:colOff>
      <xdr:row>56</xdr:row>
      <xdr:rowOff>9525</xdr:rowOff>
    </xdr:to>
    <xdr:pic>
      <xdr:nvPicPr>
        <xdr:cNvPr id="69" name="Picture 11">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59"/>
        <a:stretch>
          <a:fillRect/>
        </a:stretch>
      </xdr:blipFill>
      <xdr:spPr>
        <a:xfrm>
          <a:off x="9023350" y="57264299"/>
          <a:ext cx="1013141" cy="1057276"/>
        </a:xfrm>
        <a:prstGeom prst="rect">
          <a:avLst/>
        </a:prstGeom>
      </xdr:spPr>
    </xdr:pic>
    <xdr:clientData/>
  </xdr:twoCellAnchor>
  <xdr:twoCellAnchor editAs="oneCell">
    <xdr:from>
      <xdr:col>4</xdr:col>
      <xdr:colOff>1032509</xdr:colOff>
      <xdr:row>56</xdr:row>
      <xdr:rowOff>76834</xdr:rowOff>
    </xdr:from>
    <xdr:to>
      <xdr:col>5</xdr:col>
      <xdr:colOff>1269</xdr:colOff>
      <xdr:row>57</xdr:row>
      <xdr:rowOff>19231</xdr:rowOff>
    </xdr:to>
    <xdr:pic>
      <xdr:nvPicPr>
        <xdr:cNvPr id="70" name="Imagen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60">
          <a:clrChange>
            <a:clrFrom>
              <a:srgbClr val="FFFFFF"/>
            </a:clrFrom>
            <a:clrTo>
              <a:srgbClr val="FFFFFF">
                <a:alpha val="0"/>
              </a:srgbClr>
            </a:clrTo>
          </a:clrChange>
        </a:blip>
        <a:stretch>
          <a:fillRect/>
        </a:stretch>
      </xdr:blipFill>
      <xdr:spPr>
        <a:xfrm>
          <a:off x="9966959" y="58388884"/>
          <a:ext cx="1188085" cy="980622"/>
        </a:xfrm>
        <a:prstGeom prst="rect">
          <a:avLst/>
        </a:prstGeom>
      </xdr:spPr>
    </xdr:pic>
    <xdr:clientData/>
  </xdr:twoCellAnchor>
  <xdr:twoCellAnchor editAs="oneCell">
    <xdr:from>
      <xdr:col>4</xdr:col>
      <xdr:colOff>29210</xdr:colOff>
      <xdr:row>56</xdr:row>
      <xdr:rowOff>135676</xdr:rowOff>
    </xdr:from>
    <xdr:to>
      <xdr:col>4</xdr:col>
      <xdr:colOff>949645</xdr:colOff>
      <xdr:row>56</xdr:row>
      <xdr:rowOff>900701</xdr:rowOff>
    </xdr:to>
    <xdr:pic>
      <xdr:nvPicPr>
        <xdr:cNvPr id="71" name="Imagen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61"/>
        <a:stretch>
          <a:fillRect/>
        </a:stretch>
      </xdr:blipFill>
      <xdr:spPr>
        <a:xfrm>
          <a:off x="8963660" y="58447726"/>
          <a:ext cx="920435" cy="765025"/>
        </a:xfrm>
        <a:prstGeom prst="rect">
          <a:avLst/>
        </a:prstGeom>
      </xdr:spPr>
    </xdr:pic>
    <xdr:clientData/>
  </xdr:twoCellAnchor>
  <xdr:twoCellAnchor editAs="oneCell">
    <xdr:from>
      <xdr:col>4</xdr:col>
      <xdr:colOff>71121</xdr:colOff>
      <xdr:row>70</xdr:row>
      <xdr:rowOff>685801</xdr:rowOff>
    </xdr:from>
    <xdr:to>
      <xdr:col>5</xdr:col>
      <xdr:colOff>1588</xdr:colOff>
      <xdr:row>72</xdr:row>
      <xdr:rowOff>48803</xdr:rowOff>
    </xdr:to>
    <xdr:pic>
      <xdr:nvPicPr>
        <xdr:cNvPr id="72" name="Imagen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62"/>
        <a:stretch>
          <a:fillRect/>
        </a:stretch>
      </xdr:blipFill>
      <xdr:spPr>
        <a:xfrm>
          <a:off x="9005571" y="74218801"/>
          <a:ext cx="2145029" cy="1439452"/>
        </a:xfrm>
        <a:prstGeom prst="rect">
          <a:avLst/>
        </a:prstGeom>
      </xdr:spPr>
    </xdr:pic>
    <xdr:clientData/>
  </xdr:twoCellAnchor>
  <xdr:twoCellAnchor editAs="oneCell">
    <xdr:from>
      <xdr:col>4</xdr:col>
      <xdr:colOff>52706</xdr:colOff>
      <xdr:row>58</xdr:row>
      <xdr:rowOff>164465</xdr:rowOff>
    </xdr:from>
    <xdr:to>
      <xdr:col>5</xdr:col>
      <xdr:colOff>1589</xdr:colOff>
      <xdr:row>61</xdr:row>
      <xdr:rowOff>887878</xdr:rowOff>
    </xdr:to>
    <xdr:pic>
      <xdr:nvPicPr>
        <xdr:cNvPr id="73" name="Imagen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63"/>
        <a:stretch>
          <a:fillRect/>
        </a:stretch>
      </xdr:blipFill>
      <xdr:spPr>
        <a:xfrm>
          <a:off x="8987156" y="60552965"/>
          <a:ext cx="2163445" cy="3838088"/>
        </a:xfrm>
        <a:prstGeom prst="rect">
          <a:avLst/>
        </a:prstGeom>
      </xdr:spPr>
    </xdr:pic>
    <xdr:clientData/>
  </xdr:twoCellAnchor>
  <xdr:twoCellAnchor editAs="oneCell">
    <xdr:from>
      <xdr:col>4</xdr:col>
      <xdr:colOff>142240</xdr:colOff>
      <xdr:row>62</xdr:row>
      <xdr:rowOff>182880</xdr:rowOff>
    </xdr:from>
    <xdr:to>
      <xdr:col>4</xdr:col>
      <xdr:colOff>2206625</xdr:colOff>
      <xdr:row>62</xdr:row>
      <xdr:rowOff>886821</xdr:rowOff>
    </xdr:to>
    <xdr:pic>
      <xdr:nvPicPr>
        <xdr:cNvPr id="74" name="Imagen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64"/>
        <a:stretch>
          <a:fillRect/>
        </a:stretch>
      </xdr:blipFill>
      <xdr:spPr>
        <a:xfrm>
          <a:off x="9076690" y="64724280"/>
          <a:ext cx="2064385" cy="703941"/>
        </a:xfrm>
        <a:prstGeom prst="rect">
          <a:avLst/>
        </a:prstGeom>
      </xdr:spPr>
    </xdr:pic>
    <xdr:clientData/>
  </xdr:twoCellAnchor>
  <xdr:twoCellAnchor editAs="oneCell">
    <xdr:from>
      <xdr:col>4</xdr:col>
      <xdr:colOff>103505</xdr:colOff>
      <xdr:row>73</xdr:row>
      <xdr:rowOff>124460</xdr:rowOff>
    </xdr:from>
    <xdr:to>
      <xdr:col>4</xdr:col>
      <xdr:colOff>2209800</xdr:colOff>
      <xdr:row>73</xdr:row>
      <xdr:rowOff>983977</xdr:rowOff>
    </xdr:to>
    <xdr:pic>
      <xdr:nvPicPr>
        <xdr:cNvPr id="75" name="Imagen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65"/>
        <a:stretch>
          <a:fillRect/>
        </a:stretch>
      </xdr:blipFill>
      <xdr:spPr>
        <a:xfrm>
          <a:off x="9037955" y="76772135"/>
          <a:ext cx="2106295" cy="859517"/>
        </a:xfrm>
        <a:prstGeom prst="rect">
          <a:avLst/>
        </a:prstGeom>
      </xdr:spPr>
    </xdr:pic>
    <xdr:clientData/>
  </xdr:twoCellAnchor>
  <xdr:twoCellAnchor editAs="oneCell">
    <xdr:from>
      <xdr:col>4</xdr:col>
      <xdr:colOff>153036</xdr:colOff>
      <xdr:row>64</xdr:row>
      <xdr:rowOff>646430</xdr:rowOff>
    </xdr:from>
    <xdr:to>
      <xdr:col>4</xdr:col>
      <xdr:colOff>2209800</xdr:colOff>
      <xdr:row>67</xdr:row>
      <xdr:rowOff>336277</xdr:rowOff>
    </xdr:to>
    <xdr:pic>
      <xdr:nvPicPr>
        <xdr:cNvPr id="76" name="Imagen 75">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66"/>
        <a:stretch>
          <a:fillRect/>
        </a:stretch>
      </xdr:blipFill>
      <xdr:spPr>
        <a:xfrm>
          <a:off x="9087486" y="67950080"/>
          <a:ext cx="2056764" cy="2804522"/>
        </a:xfrm>
        <a:prstGeom prst="rect">
          <a:avLst/>
        </a:prstGeom>
      </xdr:spPr>
    </xdr:pic>
    <xdr:clientData/>
  </xdr:twoCellAnchor>
  <xdr:oneCellAnchor>
    <xdr:from>
      <xdr:col>4</xdr:col>
      <xdr:colOff>142240</xdr:colOff>
      <xdr:row>63</xdr:row>
      <xdr:rowOff>182880</xdr:rowOff>
    </xdr:from>
    <xdr:ext cx="2064385" cy="703941"/>
    <xdr:pic>
      <xdr:nvPicPr>
        <xdr:cNvPr id="77" name="Imagen 76">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64"/>
        <a:stretch>
          <a:fillRect/>
        </a:stretch>
      </xdr:blipFill>
      <xdr:spPr>
        <a:xfrm>
          <a:off x="9076690" y="66105405"/>
          <a:ext cx="2064385" cy="703941"/>
        </a:xfrm>
        <a:prstGeom prst="rect">
          <a:avLst/>
        </a:prstGeom>
      </xdr:spPr>
    </xdr:pic>
    <xdr:clientData/>
  </xdr:oneCellAnchor>
  <xdr:oneCellAnchor>
    <xdr:from>
      <xdr:col>4</xdr:col>
      <xdr:colOff>125367</xdr:colOff>
      <xdr:row>5</xdr:row>
      <xdr:rowOff>109854</xdr:rowOff>
    </xdr:from>
    <xdr:ext cx="2081258" cy="859944"/>
    <xdr:pic>
      <xdr:nvPicPr>
        <xdr:cNvPr id="78" name="Imagen 77">
          <a:extLst>
            <a:ext uri="{FF2B5EF4-FFF2-40B4-BE49-F238E27FC236}">
              <a16:creationId xmlns:a16="http://schemas.microsoft.com/office/drawing/2014/main" id="{00000000-0008-0000-0100-00004E000000}"/>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059817" y="5005704"/>
          <a:ext cx="2081258" cy="85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468085</xdr:colOff>
      <xdr:row>57</xdr:row>
      <xdr:rowOff>119743</xdr:rowOff>
    </xdr:from>
    <xdr:to>
      <xdr:col>4</xdr:col>
      <xdr:colOff>1774370</xdr:colOff>
      <xdr:row>57</xdr:row>
      <xdr:rowOff>973358</xdr:rowOff>
    </xdr:to>
    <xdr:pic>
      <xdr:nvPicPr>
        <xdr:cNvPr id="79" name="Imagen 1" descr="Clustering Jerárquico con Python | JacobSoft">
          <a:extLst>
            <a:ext uri="{FF2B5EF4-FFF2-40B4-BE49-F238E27FC236}">
              <a16:creationId xmlns:a16="http://schemas.microsoft.com/office/drawing/2014/main" id="{00000000-0008-0000-0100-00004F000000}"/>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9402535" y="59470018"/>
          <a:ext cx="1306285" cy="853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818197</xdr:colOff>
      <xdr:row>0</xdr:row>
      <xdr:rowOff>220752</xdr:rowOff>
    </xdr:from>
    <xdr:to>
      <xdr:col>9</xdr:col>
      <xdr:colOff>1049972</xdr:colOff>
      <xdr:row>0</xdr:row>
      <xdr:rowOff>531267</xdr:rowOff>
    </xdr:to>
    <xdr:sp macro="" textlink="">
      <xdr:nvSpPr>
        <xdr:cNvPr id="2" name="Flecha: hacia abajo 1">
          <a:extLst>
            <a:ext uri="{FF2B5EF4-FFF2-40B4-BE49-F238E27FC236}">
              <a16:creationId xmlns:a16="http://schemas.microsoft.com/office/drawing/2014/main" id="{86C9C0D8-02AA-4FE7-8629-941182FB3EA2}"/>
            </a:ext>
          </a:extLst>
        </xdr:cNvPr>
        <xdr:cNvSpPr/>
      </xdr:nvSpPr>
      <xdr:spPr>
        <a:xfrm>
          <a:off x="16620172" y="220752"/>
          <a:ext cx="231775" cy="310515"/>
        </a:xfrm>
        <a:prstGeom prst="down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74430</xdr:colOff>
      <xdr:row>1</xdr:row>
      <xdr:rowOff>100648</xdr:rowOff>
    </xdr:from>
    <xdr:to>
      <xdr:col>4</xdr:col>
      <xdr:colOff>2206944</xdr:colOff>
      <xdr:row>1</xdr:row>
      <xdr:rowOff>977898</xdr:rowOff>
    </xdr:to>
    <xdr:pic>
      <xdr:nvPicPr>
        <xdr:cNvPr id="3" name="Marcador de posición de imagen 3">
          <a:extLst>
            <a:ext uri="{FF2B5EF4-FFF2-40B4-BE49-F238E27FC236}">
              <a16:creationId xmlns:a16="http://schemas.microsoft.com/office/drawing/2014/main" id="{BD6D813B-10D9-4A43-A33F-CD607AD52687}"/>
            </a:ext>
          </a:extLst>
        </xdr:cNvPr>
        <xdr:cNvPicPr>
          <a:picLocks noChangeAspect="1"/>
        </xdr:cNvPicPr>
      </xdr:nvPicPr>
      <xdr:blipFill>
        <a:blip xmlns:r="http://schemas.openxmlformats.org/officeDocument/2006/relationships" r:embed="rId1"/>
        <a:srcRect l="4863" r="4863"/>
        <a:stretch>
          <a:fillRect/>
        </a:stretch>
      </xdr:blipFill>
      <xdr:spPr>
        <a:xfrm>
          <a:off x="9008880" y="843598"/>
          <a:ext cx="2132514" cy="877250"/>
        </a:xfrm>
        <a:prstGeom prst="rect">
          <a:avLst/>
        </a:prstGeom>
        <a:solidFill>
          <a:schemeClr val="bg1"/>
        </a:solidFill>
      </xdr:spPr>
    </xdr:pic>
    <xdr:clientData/>
  </xdr:twoCellAnchor>
  <xdr:twoCellAnchor editAs="oneCell">
    <xdr:from>
      <xdr:col>4</xdr:col>
      <xdr:colOff>89852</xdr:colOff>
      <xdr:row>2</xdr:row>
      <xdr:rowOff>54292</xdr:rowOff>
    </xdr:from>
    <xdr:to>
      <xdr:col>4</xdr:col>
      <xdr:colOff>2207126</xdr:colOff>
      <xdr:row>2</xdr:row>
      <xdr:rowOff>985517</xdr:rowOff>
    </xdr:to>
    <xdr:pic>
      <xdr:nvPicPr>
        <xdr:cNvPr id="4" name="Marcador de posición de imagen 3">
          <a:extLst>
            <a:ext uri="{FF2B5EF4-FFF2-40B4-BE49-F238E27FC236}">
              <a16:creationId xmlns:a16="http://schemas.microsoft.com/office/drawing/2014/main" id="{984E7819-2022-4298-B737-EA7A440E10C7}"/>
            </a:ext>
          </a:extLst>
        </xdr:cNvPr>
        <xdr:cNvPicPr>
          <a:picLocks noChangeAspect="1"/>
        </xdr:cNvPicPr>
      </xdr:nvPicPr>
      <xdr:blipFill>
        <a:blip xmlns:r="http://schemas.openxmlformats.org/officeDocument/2006/relationships" r:embed="rId1"/>
        <a:srcRect l="4863" r="4863"/>
        <a:stretch>
          <a:fillRect/>
        </a:stretch>
      </xdr:blipFill>
      <xdr:spPr>
        <a:xfrm>
          <a:off x="9024302" y="1835467"/>
          <a:ext cx="2117274" cy="931225"/>
        </a:xfrm>
        <a:prstGeom prst="rect">
          <a:avLst/>
        </a:prstGeom>
        <a:solidFill>
          <a:schemeClr val="bg1"/>
        </a:solidFill>
      </xdr:spPr>
    </xdr:pic>
    <xdr:clientData/>
  </xdr:twoCellAnchor>
  <xdr:twoCellAnchor editAs="oneCell">
    <xdr:from>
      <xdr:col>4</xdr:col>
      <xdr:colOff>86360</xdr:colOff>
      <xdr:row>13</xdr:row>
      <xdr:rowOff>71650</xdr:rowOff>
    </xdr:from>
    <xdr:to>
      <xdr:col>4</xdr:col>
      <xdr:colOff>2206942</xdr:colOff>
      <xdr:row>13</xdr:row>
      <xdr:rowOff>968479</xdr:rowOff>
    </xdr:to>
    <xdr:pic>
      <xdr:nvPicPr>
        <xdr:cNvPr id="5" name="Imagen 4">
          <a:extLst>
            <a:ext uri="{FF2B5EF4-FFF2-40B4-BE49-F238E27FC236}">
              <a16:creationId xmlns:a16="http://schemas.microsoft.com/office/drawing/2014/main" id="{1FD332AC-B29E-4B51-8A57-3D9C2EB64058}"/>
            </a:ext>
          </a:extLst>
        </xdr:cNvPr>
        <xdr:cNvPicPr>
          <a:picLocks noChangeAspect="1"/>
        </xdr:cNvPicPr>
      </xdr:nvPicPr>
      <xdr:blipFill>
        <a:blip xmlns:r="http://schemas.openxmlformats.org/officeDocument/2006/relationships" r:embed="rId2"/>
        <a:stretch>
          <a:fillRect/>
        </a:stretch>
      </xdr:blipFill>
      <xdr:spPr>
        <a:xfrm>
          <a:off x="9020810" y="13273300"/>
          <a:ext cx="2120582" cy="896829"/>
        </a:xfrm>
        <a:prstGeom prst="rect">
          <a:avLst/>
        </a:prstGeom>
      </xdr:spPr>
    </xdr:pic>
    <xdr:clientData/>
  </xdr:twoCellAnchor>
  <xdr:twoCellAnchor editAs="oneCell">
    <xdr:from>
      <xdr:col>4</xdr:col>
      <xdr:colOff>212091</xdr:colOff>
      <xdr:row>21</xdr:row>
      <xdr:rowOff>76536</xdr:rowOff>
    </xdr:from>
    <xdr:to>
      <xdr:col>4</xdr:col>
      <xdr:colOff>2077720</xdr:colOff>
      <xdr:row>21</xdr:row>
      <xdr:rowOff>951439</xdr:rowOff>
    </xdr:to>
    <xdr:pic>
      <xdr:nvPicPr>
        <xdr:cNvPr id="6" name="Imagen 5">
          <a:extLst>
            <a:ext uri="{FF2B5EF4-FFF2-40B4-BE49-F238E27FC236}">
              <a16:creationId xmlns:a16="http://schemas.microsoft.com/office/drawing/2014/main" id="{4932A2D0-DBC5-441E-B0AB-C932BB04CFA3}"/>
            </a:ext>
          </a:extLst>
        </xdr:cNvPr>
        <xdr:cNvPicPr>
          <a:picLocks noChangeAspect="1"/>
        </xdr:cNvPicPr>
      </xdr:nvPicPr>
      <xdr:blipFill rotWithShape="1">
        <a:blip xmlns:r="http://schemas.openxmlformats.org/officeDocument/2006/relationships" r:embed="rId3"/>
        <a:srcRect l="2432" t="25362" r="17025" b="24081"/>
        <a:stretch/>
      </xdr:blipFill>
      <xdr:spPr>
        <a:xfrm>
          <a:off x="9146541" y="21583986"/>
          <a:ext cx="1865629" cy="874903"/>
        </a:xfrm>
        <a:prstGeom prst="rect">
          <a:avLst/>
        </a:prstGeom>
      </xdr:spPr>
    </xdr:pic>
    <xdr:clientData/>
  </xdr:twoCellAnchor>
  <xdr:twoCellAnchor editAs="oneCell">
    <xdr:from>
      <xdr:col>4</xdr:col>
      <xdr:colOff>394334</xdr:colOff>
      <xdr:row>37</xdr:row>
      <xdr:rowOff>50165</xdr:rowOff>
    </xdr:from>
    <xdr:to>
      <xdr:col>4</xdr:col>
      <xdr:colOff>1787841</xdr:colOff>
      <xdr:row>37</xdr:row>
      <xdr:rowOff>1034143</xdr:rowOff>
    </xdr:to>
    <xdr:pic>
      <xdr:nvPicPr>
        <xdr:cNvPr id="7" name="Imagen 6">
          <a:extLst>
            <a:ext uri="{FF2B5EF4-FFF2-40B4-BE49-F238E27FC236}">
              <a16:creationId xmlns:a16="http://schemas.microsoft.com/office/drawing/2014/main" id="{2E19F941-C0CC-47B8-8702-F7BF0C535AE3}"/>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28784" y="38169215"/>
          <a:ext cx="1393507" cy="983978"/>
        </a:xfrm>
        <a:prstGeom prst="rect">
          <a:avLst/>
        </a:prstGeom>
        <a:noFill/>
        <a:ln>
          <a:noFill/>
        </a:ln>
      </xdr:spPr>
    </xdr:pic>
    <xdr:clientData/>
  </xdr:twoCellAnchor>
  <xdr:twoCellAnchor editAs="oneCell">
    <xdr:from>
      <xdr:col>4</xdr:col>
      <xdr:colOff>158750</xdr:colOff>
      <xdr:row>43</xdr:row>
      <xdr:rowOff>65087</xdr:rowOff>
    </xdr:from>
    <xdr:to>
      <xdr:col>4</xdr:col>
      <xdr:colOff>2135188</xdr:colOff>
      <xdr:row>44</xdr:row>
      <xdr:rowOff>10724</xdr:rowOff>
    </xdr:to>
    <xdr:pic>
      <xdr:nvPicPr>
        <xdr:cNvPr id="8" name="Imagen 7">
          <a:extLst>
            <a:ext uri="{FF2B5EF4-FFF2-40B4-BE49-F238E27FC236}">
              <a16:creationId xmlns:a16="http://schemas.microsoft.com/office/drawing/2014/main" id="{E6CCABA1-5B6F-45D4-9D4E-6FDE7D227B4F}"/>
            </a:ext>
          </a:extLst>
        </xdr:cNvPr>
        <xdr:cNvPicPr>
          <a:picLocks noChangeAspect="1"/>
        </xdr:cNvPicPr>
      </xdr:nvPicPr>
      <xdr:blipFill>
        <a:blip xmlns:r="http://schemas.openxmlformats.org/officeDocument/2006/relationships" r:embed="rId5"/>
        <a:stretch>
          <a:fillRect/>
        </a:stretch>
      </xdr:blipFill>
      <xdr:spPr>
        <a:xfrm>
          <a:off x="9093200" y="44413487"/>
          <a:ext cx="1976438" cy="983862"/>
        </a:xfrm>
        <a:prstGeom prst="rect">
          <a:avLst/>
        </a:prstGeom>
      </xdr:spPr>
    </xdr:pic>
    <xdr:clientData/>
  </xdr:twoCellAnchor>
  <xdr:twoCellAnchor>
    <xdr:from>
      <xdr:col>4</xdr:col>
      <xdr:colOff>160020</xdr:colOff>
      <xdr:row>22</xdr:row>
      <xdr:rowOff>84773</xdr:rowOff>
    </xdr:from>
    <xdr:to>
      <xdr:col>4</xdr:col>
      <xdr:colOff>2182495</xdr:colOff>
      <xdr:row>22</xdr:row>
      <xdr:rowOff>948373</xdr:rowOff>
    </xdr:to>
    <xdr:sp macro="" textlink="">
      <xdr:nvSpPr>
        <xdr:cNvPr id="9" name="object 2">
          <a:extLst>
            <a:ext uri="{FF2B5EF4-FFF2-40B4-BE49-F238E27FC236}">
              <a16:creationId xmlns:a16="http://schemas.microsoft.com/office/drawing/2014/main" id="{3B6A7570-CFA9-4116-B556-CC462BBE70F2}"/>
            </a:ext>
          </a:extLst>
        </xdr:cNvPr>
        <xdr:cNvSpPr/>
      </xdr:nvSpPr>
      <xdr:spPr>
        <a:xfrm>
          <a:off x="9094470" y="22630448"/>
          <a:ext cx="2022475" cy="863600"/>
        </a:xfrm>
        <a:prstGeom prst="rect">
          <a:avLst/>
        </a:prstGeom>
        <a:blipFill>
          <a:blip xmlns:r="http://schemas.openxmlformats.org/officeDocument/2006/relationships" r:embed="rId6" cstate="print"/>
          <a:stretch>
            <a:fillRect/>
          </a:stretch>
        </a:blipFill>
      </xdr:spPr>
      <xdr:txBody>
        <a:bodyPr wrap="square" lIns="0" tIns="0" rIns="0" bIns="0" rtlCol="0"/>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a:p>
      </xdr:txBody>
    </xdr:sp>
    <xdr:clientData/>
  </xdr:twoCellAnchor>
  <xdr:twoCellAnchor editAs="oneCell">
    <xdr:from>
      <xdr:col>4</xdr:col>
      <xdr:colOff>190500</xdr:colOff>
      <xdr:row>25</xdr:row>
      <xdr:rowOff>67628</xdr:rowOff>
    </xdr:from>
    <xdr:to>
      <xdr:col>4</xdr:col>
      <xdr:colOff>1939925</xdr:colOff>
      <xdr:row>25</xdr:row>
      <xdr:rowOff>1011497</xdr:rowOff>
    </xdr:to>
    <xdr:pic>
      <xdr:nvPicPr>
        <xdr:cNvPr id="10" name="Imagen 9">
          <a:extLst>
            <a:ext uri="{FF2B5EF4-FFF2-40B4-BE49-F238E27FC236}">
              <a16:creationId xmlns:a16="http://schemas.microsoft.com/office/drawing/2014/main" id="{361A200D-0369-484D-A316-2B5BD3143CAD}"/>
            </a:ext>
          </a:extLst>
        </xdr:cNvPr>
        <xdr:cNvPicPr>
          <a:picLocks noChangeAspect="1"/>
        </xdr:cNvPicPr>
      </xdr:nvPicPr>
      <xdr:blipFill>
        <a:blip xmlns:r="http://schemas.openxmlformats.org/officeDocument/2006/relationships" r:embed="rId7"/>
        <a:stretch>
          <a:fillRect/>
        </a:stretch>
      </xdr:blipFill>
      <xdr:spPr>
        <a:xfrm>
          <a:off x="9124950" y="25727978"/>
          <a:ext cx="1749425" cy="943869"/>
        </a:xfrm>
        <a:prstGeom prst="rect">
          <a:avLst/>
        </a:prstGeom>
      </xdr:spPr>
    </xdr:pic>
    <xdr:clientData/>
  </xdr:twoCellAnchor>
  <xdr:twoCellAnchor editAs="oneCell">
    <xdr:from>
      <xdr:col>4</xdr:col>
      <xdr:colOff>119062</xdr:colOff>
      <xdr:row>28</xdr:row>
      <xdr:rowOff>64773</xdr:rowOff>
    </xdr:from>
    <xdr:to>
      <xdr:col>4</xdr:col>
      <xdr:colOff>2059940</xdr:colOff>
      <xdr:row>28</xdr:row>
      <xdr:rowOff>1005421</xdr:rowOff>
    </xdr:to>
    <xdr:pic>
      <xdr:nvPicPr>
        <xdr:cNvPr id="11" name="Imagen 10">
          <a:extLst>
            <a:ext uri="{FF2B5EF4-FFF2-40B4-BE49-F238E27FC236}">
              <a16:creationId xmlns:a16="http://schemas.microsoft.com/office/drawing/2014/main" id="{6FDD53C3-BA6D-45F5-BDAD-8B669AF72720}"/>
            </a:ext>
          </a:extLst>
        </xdr:cNvPr>
        <xdr:cNvPicPr>
          <a:picLocks noChangeAspect="1"/>
        </xdr:cNvPicPr>
      </xdr:nvPicPr>
      <xdr:blipFill>
        <a:blip xmlns:r="http://schemas.openxmlformats.org/officeDocument/2006/relationships" r:embed="rId8"/>
        <a:stretch>
          <a:fillRect/>
        </a:stretch>
      </xdr:blipFill>
      <xdr:spPr>
        <a:xfrm>
          <a:off x="9053512" y="28839798"/>
          <a:ext cx="1940878" cy="940648"/>
        </a:xfrm>
        <a:prstGeom prst="rect">
          <a:avLst/>
        </a:prstGeom>
      </xdr:spPr>
    </xdr:pic>
    <xdr:clientData/>
  </xdr:twoCellAnchor>
  <xdr:twoCellAnchor editAs="oneCell">
    <xdr:from>
      <xdr:col>4</xdr:col>
      <xdr:colOff>121920</xdr:colOff>
      <xdr:row>30</xdr:row>
      <xdr:rowOff>85217</xdr:rowOff>
    </xdr:from>
    <xdr:to>
      <xdr:col>4</xdr:col>
      <xdr:colOff>2135188</xdr:colOff>
      <xdr:row>30</xdr:row>
      <xdr:rowOff>966098</xdr:rowOff>
    </xdr:to>
    <xdr:pic>
      <xdr:nvPicPr>
        <xdr:cNvPr id="12" name="Imagen 11">
          <a:extLst>
            <a:ext uri="{FF2B5EF4-FFF2-40B4-BE49-F238E27FC236}">
              <a16:creationId xmlns:a16="http://schemas.microsoft.com/office/drawing/2014/main" id="{B7838752-744D-466A-8031-6676C7382F76}"/>
            </a:ext>
          </a:extLst>
        </xdr:cNvPr>
        <xdr:cNvPicPr>
          <a:picLocks noChangeAspect="1"/>
        </xdr:cNvPicPr>
      </xdr:nvPicPr>
      <xdr:blipFill>
        <a:blip xmlns:r="http://schemas.openxmlformats.org/officeDocument/2006/relationships" r:embed="rId9"/>
        <a:stretch>
          <a:fillRect/>
        </a:stretch>
      </xdr:blipFill>
      <xdr:spPr>
        <a:xfrm>
          <a:off x="9056370" y="30936692"/>
          <a:ext cx="2013268" cy="880881"/>
        </a:xfrm>
        <a:prstGeom prst="rect">
          <a:avLst/>
        </a:prstGeom>
      </xdr:spPr>
    </xdr:pic>
    <xdr:clientData/>
  </xdr:twoCellAnchor>
  <xdr:twoCellAnchor editAs="oneCell">
    <xdr:from>
      <xdr:col>4</xdr:col>
      <xdr:colOff>46354</xdr:colOff>
      <xdr:row>42</xdr:row>
      <xdr:rowOff>66410</xdr:rowOff>
    </xdr:from>
    <xdr:to>
      <xdr:col>5</xdr:col>
      <xdr:colOff>1077</xdr:colOff>
      <xdr:row>42</xdr:row>
      <xdr:rowOff>1013006</xdr:rowOff>
    </xdr:to>
    <xdr:pic>
      <xdr:nvPicPr>
        <xdr:cNvPr id="13" name="Imagen 12">
          <a:extLst>
            <a:ext uri="{FF2B5EF4-FFF2-40B4-BE49-F238E27FC236}">
              <a16:creationId xmlns:a16="http://schemas.microsoft.com/office/drawing/2014/main" id="{9A2D10BE-5183-4AA5-8D23-1594AF462D2D}"/>
            </a:ext>
          </a:extLst>
        </xdr:cNvPr>
        <xdr:cNvPicPr>
          <a:picLocks noChangeAspect="1"/>
        </xdr:cNvPicPr>
      </xdr:nvPicPr>
      <xdr:blipFill>
        <a:blip xmlns:r="http://schemas.openxmlformats.org/officeDocument/2006/relationships" r:embed="rId10"/>
        <a:stretch>
          <a:fillRect/>
        </a:stretch>
      </xdr:blipFill>
      <xdr:spPr>
        <a:xfrm>
          <a:off x="8980804" y="43376585"/>
          <a:ext cx="2174048" cy="946596"/>
        </a:xfrm>
        <a:prstGeom prst="rect">
          <a:avLst/>
        </a:prstGeom>
      </xdr:spPr>
    </xdr:pic>
    <xdr:clientData/>
  </xdr:twoCellAnchor>
  <xdr:twoCellAnchor editAs="oneCell">
    <xdr:from>
      <xdr:col>4</xdr:col>
      <xdr:colOff>72708</xdr:colOff>
      <xdr:row>20</xdr:row>
      <xdr:rowOff>86042</xdr:rowOff>
    </xdr:from>
    <xdr:to>
      <xdr:col>5</xdr:col>
      <xdr:colOff>1588</xdr:colOff>
      <xdr:row>20</xdr:row>
      <xdr:rowOff>977817</xdr:rowOff>
    </xdr:to>
    <xdr:pic>
      <xdr:nvPicPr>
        <xdr:cNvPr id="14" name="Imagen 13">
          <a:extLst>
            <a:ext uri="{FF2B5EF4-FFF2-40B4-BE49-F238E27FC236}">
              <a16:creationId xmlns:a16="http://schemas.microsoft.com/office/drawing/2014/main" id="{0F6BA8C2-534B-48C8-88D5-A221A470B143}"/>
            </a:ext>
          </a:extLst>
        </xdr:cNvPr>
        <xdr:cNvPicPr>
          <a:picLocks noChangeAspect="1"/>
        </xdr:cNvPicPr>
      </xdr:nvPicPr>
      <xdr:blipFill>
        <a:blip xmlns:r="http://schemas.openxmlformats.org/officeDocument/2006/relationships" r:embed="rId11"/>
        <a:stretch>
          <a:fillRect/>
        </a:stretch>
      </xdr:blipFill>
      <xdr:spPr>
        <a:xfrm>
          <a:off x="9007158" y="20555267"/>
          <a:ext cx="2148205" cy="891775"/>
        </a:xfrm>
        <a:prstGeom prst="rect">
          <a:avLst/>
        </a:prstGeom>
      </xdr:spPr>
    </xdr:pic>
    <xdr:clientData/>
  </xdr:twoCellAnchor>
  <xdr:twoCellAnchor editAs="oneCell">
    <xdr:from>
      <xdr:col>4</xdr:col>
      <xdr:colOff>26774</xdr:colOff>
      <xdr:row>51</xdr:row>
      <xdr:rowOff>63498</xdr:rowOff>
    </xdr:from>
    <xdr:to>
      <xdr:col>5</xdr:col>
      <xdr:colOff>2221</xdr:colOff>
      <xdr:row>52</xdr:row>
      <xdr:rowOff>16100</xdr:rowOff>
    </xdr:to>
    <xdr:pic>
      <xdr:nvPicPr>
        <xdr:cNvPr id="15" name="Picture 2">
          <a:extLst>
            <a:ext uri="{FF2B5EF4-FFF2-40B4-BE49-F238E27FC236}">
              <a16:creationId xmlns:a16="http://schemas.microsoft.com/office/drawing/2014/main" id="{08A02860-CE53-4515-BFAB-5AE6ED7BD825}"/>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961224" y="53117748"/>
          <a:ext cx="2194772" cy="990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34536</xdr:colOff>
      <xdr:row>53</xdr:row>
      <xdr:rowOff>30161</xdr:rowOff>
    </xdr:from>
    <xdr:to>
      <xdr:col>5</xdr:col>
      <xdr:colOff>1906</xdr:colOff>
      <xdr:row>54</xdr:row>
      <xdr:rowOff>57649</xdr:rowOff>
    </xdr:to>
    <xdr:pic>
      <xdr:nvPicPr>
        <xdr:cNvPr id="16" name="Picture 2">
          <a:extLst>
            <a:ext uri="{FF2B5EF4-FFF2-40B4-BE49-F238E27FC236}">
              <a16:creationId xmlns:a16="http://schemas.microsoft.com/office/drawing/2014/main" id="{B225AE92-3EB7-4BE4-B875-13C79C07EC4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8968986" y="55160861"/>
          <a:ext cx="2186695" cy="1065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73978</xdr:colOff>
      <xdr:row>54</xdr:row>
      <xdr:rowOff>12905</xdr:rowOff>
    </xdr:from>
    <xdr:to>
      <xdr:col>4</xdr:col>
      <xdr:colOff>2192338</xdr:colOff>
      <xdr:row>55</xdr:row>
      <xdr:rowOff>34062</xdr:rowOff>
    </xdr:to>
    <xdr:pic>
      <xdr:nvPicPr>
        <xdr:cNvPr id="17" name="Imagen 16">
          <a:extLst>
            <a:ext uri="{FF2B5EF4-FFF2-40B4-BE49-F238E27FC236}">
              <a16:creationId xmlns:a16="http://schemas.microsoft.com/office/drawing/2014/main" id="{CDAA26D2-941E-4022-B890-349918904C8C}"/>
            </a:ext>
          </a:extLst>
        </xdr:cNvPr>
        <xdr:cNvPicPr>
          <a:picLocks noChangeAspect="1"/>
        </xdr:cNvPicPr>
      </xdr:nvPicPr>
      <xdr:blipFill>
        <a:blip xmlns:r="http://schemas.openxmlformats.org/officeDocument/2006/relationships" r:embed="rId14"/>
        <a:stretch>
          <a:fillRect/>
        </a:stretch>
      </xdr:blipFill>
      <xdr:spPr>
        <a:xfrm>
          <a:off x="9008428" y="56181830"/>
          <a:ext cx="2118360" cy="1059382"/>
        </a:xfrm>
        <a:prstGeom prst="rect">
          <a:avLst/>
        </a:prstGeom>
      </xdr:spPr>
    </xdr:pic>
    <xdr:clientData/>
  </xdr:twoCellAnchor>
  <xdr:twoCellAnchor editAs="oneCell">
    <xdr:from>
      <xdr:col>4</xdr:col>
      <xdr:colOff>125469</xdr:colOff>
      <xdr:row>31</xdr:row>
      <xdr:rowOff>99059</xdr:rowOff>
    </xdr:from>
    <xdr:to>
      <xdr:col>4</xdr:col>
      <xdr:colOff>2168525</xdr:colOff>
      <xdr:row>31</xdr:row>
      <xdr:rowOff>977886</xdr:rowOff>
    </xdr:to>
    <xdr:pic>
      <xdr:nvPicPr>
        <xdr:cNvPr id="18" name="Imagen 17">
          <a:extLst>
            <a:ext uri="{FF2B5EF4-FFF2-40B4-BE49-F238E27FC236}">
              <a16:creationId xmlns:a16="http://schemas.microsoft.com/office/drawing/2014/main" id="{BA69F407-0243-4A46-B2E7-6B6C457BEFB5}"/>
            </a:ext>
          </a:extLst>
        </xdr:cNvPr>
        <xdr:cNvPicPr>
          <a:picLocks noChangeAspect="1"/>
        </xdr:cNvPicPr>
      </xdr:nvPicPr>
      <xdr:blipFill>
        <a:blip xmlns:r="http://schemas.openxmlformats.org/officeDocument/2006/relationships" r:embed="rId15"/>
        <a:stretch>
          <a:fillRect/>
        </a:stretch>
      </xdr:blipFill>
      <xdr:spPr>
        <a:xfrm>
          <a:off x="9059919" y="31988759"/>
          <a:ext cx="2043056" cy="878827"/>
        </a:xfrm>
        <a:prstGeom prst="rect">
          <a:avLst/>
        </a:prstGeom>
        <a:solidFill>
          <a:schemeClr val="bg1"/>
        </a:solidFill>
      </xdr:spPr>
    </xdr:pic>
    <xdr:clientData/>
  </xdr:twoCellAnchor>
  <xdr:twoCellAnchor editAs="oneCell">
    <xdr:from>
      <xdr:col>4</xdr:col>
      <xdr:colOff>124276</xdr:colOff>
      <xdr:row>27</xdr:row>
      <xdr:rowOff>78423</xdr:rowOff>
    </xdr:from>
    <xdr:to>
      <xdr:col>4</xdr:col>
      <xdr:colOff>1201738</xdr:colOff>
      <xdr:row>27</xdr:row>
      <xdr:rowOff>992188</xdr:rowOff>
    </xdr:to>
    <xdr:pic>
      <xdr:nvPicPr>
        <xdr:cNvPr id="19" name="Picture 2">
          <a:extLst>
            <a:ext uri="{FF2B5EF4-FFF2-40B4-BE49-F238E27FC236}">
              <a16:creationId xmlns:a16="http://schemas.microsoft.com/office/drawing/2014/main" id="{C61FF642-3372-4031-8674-42DA0E80A0C6}"/>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058726" y="27815223"/>
          <a:ext cx="1077462" cy="913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155893</xdr:colOff>
      <xdr:row>50</xdr:row>
      <xdr:rowOff>75214</xdr:rowOff>
    </xdr:from>
    <xdr:to>
      <xdr:col>4</xdr:col>
      <xdr:colOff>2168526</xdr:colOff>
      <xdr:row>51</xdr:row>
      <xdr:rowOff>11656</xdr:rowOff>
    </xdr:to>
    <xdr:pic>
      <xdr:nvPicPr>
        <xdr:cNvPr id="20" name="Imagen 19">
          <a:extLst>
            <a:ext uri="{FF2B5EF4-FFF2-40B4-BE49-F238E27FC236}">
              <a16:creationId xmlns:a16="http://schemas.microsoft.com/office/drawing/2014/main" id="{87A0335C-31D2-4603-B6EE-4D9C20A69BAB}"/>
            </a:ext>
          </a:extLst>
        </xdr:cNvPr>
        <xdr:cNvPicPr>
          <a:picLocks noChangeAspect="1"/>
        </xdr:cNvPicPr>
      </xdr:nvPicPr>
      <xdr:blipFill>
        <a:blip xmlns:r="http://schemas.openxmlformats.org/officeDocument/2006/relationships" r:embed="rId17"/>
        <a:stretch>
          <a:fillRect/>
        </a:stretch>
      </xdr:blipFill>
      <xdr:spPr>
        <a:xfrm>
          <a:off x="9090343" y="52091239"/>
          <a:ext cx="2012633" cy="974667"/>
        </a:xfrm>
        <a:prstGeom prst="rect">
          <a:avLst/>
        </a:prstGeom>
      </xdr:spPr>
    </xdr:pic>
    <xdr:clientData/>
  </xdr:twoCellAnchor>
  <xdr:twoCellAnchor editAs="oneCell">
    <xdr:from>
      <xdr:col>4</xdr:col>
      <xdr:colOff>123189</xdr:colOff>
      <xdr:row>34</xdr:row>
      <xdr:rowOff>84772</xdr:rowOff>
    </xdr:from>
    <xdr:to>
      <xdr:col>4</xdr:col>
      <xdr:colOff>2192020</xdr:colOff>
      <xdr:row>34</xdr:row>
      <xdr:rowOff>945197</xdr:rowOff>
    </xdr:to>
    <xdr:pic>
      <xdr:nvPicPr>
        <xdr:cNvPr id="21" name="Imagen 20">
          <a:extLst>
            <a:ext uri="{FF2B5EF4-FFF2-40B4-BE49-F238E27FC236}">
              <a16:creationId xmlns:a16="http://schemas.microsoft.com/office/drawing/2014/main" id="{B9198A38-711A-435C-8607-B204A3843B49}"/>
            </a:ext>
          </a:extLst>
        </xdr:cNvPr>
        <xdr:cNvPicPr>
          <a:picLocks noChangeAspect="1"/>
        </xdr:cNvPicPr>
      </xdr:nvPicPr>
      <xdr:blipFill>
        <a:blip xmlns:r="http://schemas.openxmlformats.org/officeDocument/2006/relationships" r:embed="rId18"/>
        <a:stretch>
          <a:fillRect/>
        </a:stretch>
      </xdr:blipFill>
      <xdr:spPr>
        <a:xfrm>
          <a:off x="9057639" y="35089147"/>
          <a:ext cx="2068831" cy="860425"/>
        </a:xfrm>
        <a:prstGeom prst="rect">
          <a:avLst/>
        </a:prstGeom>
      </xdr:spPr>
    </xdr:pic>
    <xdr:clientData/>
  </xdr:twoCellAnchor>
  <xdr:twoCellAnchor editAs="oneCell">
    <xdr:from>
      <xdr:col>4</xdr:col>
      <xdr:colOff>364700</xdr:colOff>
      <xdr:row>47</xdr:row>
      <xdr:rowOff>63183</xdr:rowOff>
    </xdr:from>
    <xdr:to>
      <xdr:col>4</xdr:col>
      <xdr:colOff>1773237</xdr:colOff>
      <xdr:row>48</xdr:row>
      <xdr:rowOff>15968</xdr:rowOff>
    </xdr:to>
    <xdr:pic>
      <xdr:nvPicPr>
        <xdr:cNvPr id="22" name="Picture 2">
          <a:extLst>
            <a:ext uri="{FF2B5EF4-FFF2-40B4-BE49-F238E27FC236}">
              <a16:creationId xmlns:a16="http://schemas.microsoft.com/office/drawing/2014/main" id="{6C4212C2-BAD0-4415-9DB4-C19AD9F98407}"/>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299150" y="48964533"/>
          <a:ext cx="1408537" cy="991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95623</xdr:colOff>
      <xdr:row>40</xdr:row>
      <xdr:rowOff>62230</xdr:rowOff>
    </xdr:from>
    <xdr:to>
      <xdr:col>4</xdr:col>
      <xdr:colOff>2212340</xdr:colOff>
      <xdr:row>40</xdr:row>
      <xdr:rowOff>1012371</xdr:rowOff>
    </xdr:to>
    <xdr:pic>
      <xdr:nvPicPr>
        <xdr:cNvPr id="23" name="Picture 2" descr="imagen">
          <a:extLst>
            <a:ext uri="{FF2B5EF4-FFF2-40B4-BE49-F238E27FC236}">
              <a16:creationId xmlns:a16="http://schemas.microsoft.com/office/drawing/2014/main" id="{87D70F25-E52E-40E4-967C-66703BAD9DC0}"/>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1851"/>
        <a:stretch/>
      </xdr:blipFill>
      <xdr:spPr bwMode="auto">
        <a:xfrm>
          <a:off x="9030073" y="41295955"/>
          <a:ext cx="2116717" cy="950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231402</xdr:colOff>
      <xdr:row>18</xdr:row>
      <xdr:rowOff>34291</xdr:rowOff>
    </xdr:from>
    <xdr:to>
      <xdr:col>4</xdr:col>
      <xdr:colOff>2054542</xdr:colOff>
      <xdr:row>18</xdr:row>
      <xdr:rowOff>1006179</xdr:rowOff>
    </xdr:to>
    <xdr:pic>
      <xdr:nvPicPr>
        <xdr:cNvPr id="24" name="Imagen 23">
          <a:extLst>
            <a:ext uri="{FF2B5EF4-FFF2-40B4-BE49-F238E27FC236}">
              <a16:creationId xmlns:a16="http://schemas.microsoft.com/office/drawing/2014/main" id="{F8155190-4DC8-442A-B009-06199D428005}"/>
            </a:ext>
          </a:extLst>
        </xdr:cNvPr>
        <xdr:cNvPicPr>
          <a:picLocks noChangeAspect="1"/>
        </xdr:cNvPicPr>
      </xdr:nvPicPr>
      <xdr:blipFill>
        <a:blip xmlns:r="http://schemas.openxmlformats.org/officeDocument/2006/relationships" r:embed="rId21"/>
        <a:stretch>
          <a:fillRect/>
        </a:stretch>
      </xdr:blipFill>
      <xdr:spPr>
        <a:xfrm>
          <a:off x="9165852" y="18427066"/>
          <a:ext cx="1823140" cy="971888"/>
        </a:xfrm>
        <a:prstGeom prst="rect">
          <a:avLst/>
        </a:prstGeom>
      </xdr:spPr>
    </xdr:pic>
    <xdr:clientData/>
  </xdr:twoCellAnchor>
  <xdr:twoCellAnchor editAs="oneCell">
    <xdr:from>
      <xdr:col>4</xdr:col>
      <xdr:colOff>21879</xdr:colOff>
      <xdr:row>32</xdr:row>
      <xdr:rowOff>9207</xdr:rowOff>
    </xdr:from>
    <xdr:to>
      <xdr:col>4</xdr:col>
      <xdr:colOff>2207210</xdr:colOff>
      <xdr:row>32</xdr:row>
      <xdr:rowOff>1017588</xdr:rowOff>
    </xdr:to>
    <xdr:pic>
      <xdr:nvPicPr>
        <xdr:cNvPr id="25" name="Imagen 24">
          <a:extLst>
            <a:ext uri="{FF2B5EF4-FFF2-40B4-BE49-F238E27FC236}">
              <a16:creationId xmlns:a16="http://schemas.microsoft.com/office/drawing/2014/main" id="{C54E1E62-4617-4449-BCF0-68F6F9AD7865}"/>
            </a:ext>
          </a:extLst>
        </xdr:cNvPr>
        <xdr:cNvPicPr>
          <a:picLocks noChangeAspect="1"/>
        </xdr:cNvPicPr>
      </xdr:nvPicPr>
      <xdr:blipFill>
        <a:blip xmlns:r="http://schemas.openxmlformats.org/officeDocument/2006/relationships" r:embed="rId22"/>
        <a:stretch>
          <a:fillRect/>
        </a:stretch>
      </xdr:blipFill>
      <xdr:spPr>
        <a:xfrm>
          <a:off x="8956329" y="32937132"/>
          <a:ext cx="2185331" cy="1008381"/>
        </a:xfrm>
        <a:prstGeom prst="rect">
          <a:avLst/>
        </a:prstGeom>
      </xdr:spPr>
    </xdr:pic>
    <xdr:clientData/>
  </xdr:twoCellAnchor>
  <xdr:twoCellAnchor editAs="oneCell">
    <xdr:from>
      <xdr:col>4</xdr:col>
      <xdr:colOff>67595</xdr:colOff>
      <xdr:row>52</xdr:row>
      <xdr:rowOff>63500</xdr:rowOff>
    </xdr:from>
    <xdr:to>
      <xdr:col>4</xdr:col>
      <xdr:colOff>2192254</xdr:colOff>
      <xdr:row>53</xdr:row>
      <xdr:rowOff>16087</xdr:rowOff>
    </xdr:to>
    <xdr:pic>
      <xdr:nvPicPr>
        <xdr:cNvPr id="26" name="Picture 2">
          <a:extLst>
            <a:ext uri="{FF2B5EF4-FFF2-40B4-BE49-F238E27FC236}">
              <a16:creationId xmlns:a16="http://schemas.microsoft.com/office/drawing/2014/main" id="{D81CDD24-352C-4129-9A00-A304BFB43019}"/>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9002045" y="54155975"/>
          <a:ext cx="2124659" cy="990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62230</xdr:colOff>
      <xdr:row>17</xdr:row>
      <xdr:rowOff>65405</xdr:rowOff>
    </xdr:from>
    <xdr:to>
      <xdr:col>4</xdr:col>
      <xdr:colOff>2212340</xdr:colOff>
      <xdr:row>17</xdr:row>
      <xdr:rowOff>973455</xdr:rowOff>
    </xdr:to>
    <xdr:pic>
      <xdr:nvPicPr>
        <xdr:cNvPr id="27" name="Imagen 26">
          <a:extLst>
            <a:ext uri="{FF2B5EF4-FFF2-40B4-BE49-F238E27FC236}">
              <a16:creationId xmlns:a16="http://schemas.microsoft.com/office/drawing/2014/main" id="{30DA30EC-EDA1-4127-89D9-D2CD13D973BA}"/>
            </a:ext>
          </a:extLst>
        </xdr:cNvPr>
        <xdr:cNvPicPr>
          <a:picLocks noChangeAspect="1"/>
        </xdr:cNvPicPr>
      </xdr:nvPicPr>
      <xdr:blipFill rotWithShape="1">
        <a:blip xmlns:r="http://schemas.openxmlformats.org/officeDocument/2006/relationships" r:embed="rId24"/>
        <a:srcRect t="9384"/>
        <a:stretch/>
      </xdr:blipFill>
      <xdr:spPr>
        <a:xfrm>
          <a:off x="8996680" y="17419955"/>
          <a:ext cx="2150110" cy="908050"/>
        </a:xfrm>
        <a:prstGeom prst="rect">
          <a:avLst/>
        </a:prstGeom>
      </xdr:spPr>
    </xdr:pic>
    <xdr:clientData/>
  </xdr:twoCellAnchor>
  <xdr:twoCellAnchor editAs="oneCell">
    <xdr:from>
      <xdr:col>4</xdr:col>
      <xdr:colOff>73977</xdr:colOff>
      <xdr:row>49</xdr:row>
      <xdr:rowOff>44930</xdr:rowOff>
    </xdr:from>
    <xdr:to>
      <xdr:col>5</xdr:col>
      <xdr:colOff>1587</xdr:colOff>
      <xdr:row>50</xdr:row>
      <xdr:rowOff>24040</xdr:rowOff>
    </xdr:to>
    <xdr:pic>
      <xdr:nvPicPr>
        <xdr:cNvPr id="28" name="Imagen 27">
          <a:extLst>
            <a:ext uri="{FF2B5EF4-FFF2-40B4-BE49-F238E27FC236}">
              <a16:creationId xmlns:a16="http://schemas.microsoft.com/office/drawing/2014/main" id="{D60F7FDF-EAD0-4D77-BA99-242E52F29DD7}"/>
            </a:ext>
          </a:extLst>
        </xdr:cNvPr>
        <xdr:cNvPicPr>
          <a:picLocks noChangeAspect="1"/>
        </xdr:cNvPicPr>
      </xdr:nvPicPr>
      <xdr:blipFill>
        <a:blip xmlns:r="http://schemas.openxmlformats.org/officeDocument/2006/relationships" r:embed="rId25"/>
        <a:stretch>
          <a:fillRect/>
        </a:stretch>
      </xdr:blipFill>
      <xdr:spPr>
        <a:xfrm>
          <a:off x="9008427" y="51022730"/>
          <a:ext cx="2146935" cy="1017335"/>
        </a:xfrm>
        <a:prstGeom prst="rect">
          <a:avLst/>
        </a:prstGeom>
      </xdr:spPr>
    </xdr:pic>
    <xdr:clientData/>
  </xdr:twoCellAnchor>
  <xdr:twoCellAnchor editAs="oneCell">
    <xdr:from>
      <xdr:col>4</xdr:col>
      <xdr:colOff>89851</xdr:colOff>
      <xdr:row>9</xdr:row>
      <xdr:rowOff>79751</xdr:rowOff>
    </xdr:from>
    <xdr:to>
      <xdr:col>4</xdr:col>
      <xdr:colOff>2209164</xdr:colOff>
      <xdr:row>9</xdr:row>
      <xdr:rowOff>977150</xdr:rowOff>
    </xdr:to>
    <xdr:pic>
      <xdr:nvPicPr>
        <xdr:cNvPr id="29" name="Imagen 28">
          <a:extLst>
            <a:ext uri="{FF2B5EF4-FFF2-40B4-BE49-F238E27FC236}">
              <a16:creationId xmlns:a16="http://schemas.microsoft.com/office/drawing/2014/main" id="{CEBA564A-F49E-468D-800B-4683B42A040D}"/>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24301" y="9128501"/>
          <a:ext cx="2119313" cy="897399"/>
        </a:xfrm>
        <a:prstGeom prst="rect">
          <a:avLst/>
        </a:prstGeom>
        <a:solidFill>
          <a:schemeClr val="bg1"/>
        </a:solidFill>
      </xdr:spPr>
    </xdr:pic>
    <xdr:clientData/>
  </xdr:twoCellAnchor>
  <xdr:twoCellAnchor editAs="oneCell">
    <xdr:from>
      <xdr:col>4</xdr:col>
      <xdr:colOff>83821</xdr:colOff>
      <xdr:row>7</xdr:row>
      <xdr:rowOff>48895</xdr:rowOff>
    </xdr:from>
    <xdr:to>
      <xdr:col>4</xdr:col>
      <xdr:colOff>1406843</xdr:colOff>
      <xdr:row>7</xdr:row>
      <xdr:rowOff>985202</xdr:rowOff>
    </xdr:to>
    <xdr:pic>
      <xdr:nvPicPr>
        <xdr:cNvPr id="30" name="Imagen 29">
          <a:extLst>
            <a:ext uri="{FF2B5EF4-FFF2-40B4-BE49-F238E27FC236}">
              <a16:creationId xmlns:a16="http://schemas.microsoft.com/office/drawing/2014/main" id="{B5F9EFBF-311D-41C7-B43F-75B73697BA7C}"/>
            </a:ext>
          </a:extLst>
        </xdr:cNvPr>
        <xdr:cNvPicPr/>
      </xdr:nvPicPr>
      <xdr:blipFill>
        <a:blip xmlns:r="http://schemas.openxmlformats.org/officeDocument/2006/relationships" r:embed="rId28"/>
        <a:stretch>
          <a:fillRect/>
        </a:stretch>
      </xdr:blipFill>
      <xdr:spPr>
        <a:xfrm>
          <a:off x="9018271" y="7021195"/>
          <a:ext cx="1323022" cy="936307"/>
        </a:xfrm>
        <a:prstGeom prst="rect">
          <a:avLst/>
        </a:prstGeom>
      </xdr:spPr>
    </xdr:pic>
    <xdr:clientData/>
  </xdr:twoCellAnchor>
  <xdr:twoCellAnchor editAs="oneCell">
    <xdr:from>
      <xdr:col>4</xdr:col>
      <xdr:colOff>1330644</xdr:colOff>
      <xdr:row>7</xdr:row>
      <xdr:rowOff>53023</xdr:rowOff>
    </xdr:from>
    <xdr:to>
      <xdr:col>4</xdr:col>
      <xdr:colOff>2209166</xdr:colOff>
      <xdr:row>7</xdr:row>
      <xdr:rowOff>987108</xdr:rowOff>
    </xdr:to>
    <xdr:pic>
      <xdr:nvPicPr>
        <xdr:cNvPr id="31" name="Imagen 30">
          <a:extLst>
            <a:ext uri="{FF2B5EF4-FFF2-40B4-BE49-F238E27FC236}">
              <a16:creationId xmlns:a16="http://schemas.microsoft.com/office/drawing/2014/main" id="{C95FC08D-7279-4B25-B531-6F45A77DBD9C}"/>
            </a:ext>
          </a:extLst>
        </xdr:cNvPr>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0265094" y="7025323"/>
          <a:ext cx="878522" cy="934085"/>
        </a:xfrm>
        <a:prstGeom prst="rect">
          <a:avLst/>
        </a:prstGeom>
      </xdr:spPr>
    </xdr:pic>
    <xdr:clientData/>
  </xdr:twoCellAnchor>
  <xdr:twoCellAnchor editAs="oneCell">
    <xdr:from>
      <xdr:col>4</xdr:col>
      <xdr:colOff>55563</xdr:colOff>
      <xdr:row>69</xdr:row>
      <xdr:rowOff>75730</xdr:rowOff>
    </xdr:from>
    <xdr:to>
      <xdr:col>4</xdr:col>
      <xdr:colOff>2212340</xdr:colOff>
      <xdr:row>69</xdr:row>
      <xdr:rowOff>966425</xdr:rowOff>
    </xdr:to>
    <xdr:pic>
      <xdr:nvPicPr>
        <xdr:cNvPr id="32" name="Imagen 31">
          <a:extLst>
            <a:ext uri="{FF2B5EF4-FFF2-40B4-BE49-F238E27FC236}">
              <a16:creationId xmlns:a16="http://schemas.microsoft.com/office/drawing/2014/main" id="{49D3F0AE-C72B-4D02-A612-F3A848DFDED3}"/>
            </a:ext>
          </a:extLst>
        </xdr:cNvPr>
        <xdr:cNvPicPr>
          <a:picLocks noChangeAspect="1"/>
        </xdr:cNvPicPr>
      </xdr:nvPicPr>
      <xdr:blipFill rotWithShape="1">
        <a:blip xmlns:r="http://schemas.openxmlformats.org/officeDocument/2006/relationships" r:embed="rId30"/>
        <a:srcRect l="57930" t="14803" r="10031" b="6368"/>
        <a:stretch/>
      </xdr:blipFill>
      <xdr:spPr>
        <a:xfrm>
          <a:off x="8990013" y="72570505"/>
          <a:ext cx="2156777" cy="890695"/>
        </a:xfrm>
        <a:prstGeom prst="rect">
          <a:avLst/>
        </a:prstGeom>
      </xdr:spPr>
    </xdr:pic>
    <xdr:clientData/>
  </xdr:twoCellAnchor>
  <xdr:twoCellAnchor editAs="oneCell">
    <xdr:from>
      <xdr:col>4</xdr:col>
      <xdr:colOff>145415</xdr:colOff>
      <xdr:row>14</xdr:row>
      <xdr:rowOff>156210</xdr:rowOff>
    </xdr:from>
    <xdr:to>
      <xdr:col>4</xdr:col>
      <xdr:colOff>1240028</xdr:colOff>
      <xdr:row>14</xdr:row>
      <xdr:rowOff>593862</xdr:rowOff>
    </xdr:to>
    <xdr:pic>
      <xdr:nvPicPr>
        <xdr:cNvPr id="33" name="Imagen 32">
          <a:extLst>
            <a:ext uri="{FF2B5EF4-FFF2-40B4-BE49-F238E27FC236}">
              <a16:creationId xmlns:a16="http://schemas.microsoft.com/office/drawing/2014/main" id="{61661C62-876B-41F7-9351-3C10A6D2FF9F}"/>
            </a:ext>
          </a:extLst>
        </xdr:cNvPr>
        <xdr:cNvPicPr>
          <a:picLocks noChangeAspect="1"/>
        </xdr:cNvPicPr>
      </xdr:nvPicPr>
      <xdr:blipFill>
        <a:blip xmlns:r="http://schemas.openxmlformats.org/officeDocument/2006/relationships" r:embed="rId31"/>
        <a:stretch>
          <a:fillRect/>
        </a:stretch>
      </xdr:blipFill>
      <xdr:spPr>
        <a:xfrm>
          <a:off x="9079865" y="14396085"/>
          <a:ext cx="1094613" cy="437652"/>
        </a:xfrm>
        <a:prstGeom prst="rect">
          <a:avLst/>
        </a:prstGeom>
      </xdr:spPr>
    </xdr:pic>
    <xdr:clientData/>
  </xdr:twoCellAnchor>
  <xdr:twoCellAnchor editAs="oneCell">
    <xdr:from>
      <xdr:col>4</xdr:col>
      <xdr:colOff>125367</xdr:colOff>
      <xdr:row>3</xdr:row>
      <xdr:rowOff>109854</xdr:rowOff>
    </xdr:from>
    <xdr:to>
      <xdr:col>4</xdr:col>
      <xdr:colOff>2206625</xdr:colOff>
      <xdr:row>3</xdr:row>
      <xdr:rowOff>969798</xdr:rowOff>
    </xdr:to>
    <xdr:pic>
      <xdr:nvPicPr>
        <xdr:cNvPr id="34" name="Imagen 33">
          <a:extLst>
            <a:ext uri="{FF2B5EF4-FFF2-40B4-BE49-F238E27FC236}">
              <a16:creationId xmlns:a16="http://schemas.microsoft.com/office/drawing/2014/main" id="{B4A8798B-1036-4CE1-ABCF-52947B6A446B}"/>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059817" y="2929254"/>
          <a:ext cx="2081258" cy="859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255905</xdr:colOff>
      <xdr:row>23</xdr:row>
      <xdr:rowOff>66675</xdr:rowOff>
    </xdr:from>
    <xdr:to>
      <xdr:col>4</xdr:col>
      <xdr:colOff>2092325</xdr:colOff>
      <xdr:row>23</xdr:row>
      <xdr:rowOff>1011171</xdr:rowOff>
    </xdr:to>
    <xdr:pic>
      <xdr:nvPicPr>
        <xdr:cNvPr id="35" name="Imagen 34">
          <a:extLst>
            <a:ext uri="{FF2B5EF4-FFF2-40B4-BE49-F238E27FC236}">
              <a16:creationId xmlns:a16="http://schemas.microsoft.com/office/drawing/2014/main" id="{1EF19D63-7030-45B7-858C-FB112D0DA978}"/>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9190355" y="23650575"/>
          <a:ext cx="1836420" cy="944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176056</xdr:colOff>
      <xdr:row>4</xdr:row>
      <xdr:rowOff>55880</xdr:rowOff>
    </xdr:from>
    <xdr:to>
      <xdr:col>4</xdr:col>
      <xdr:colOff>2168525</xdr:colOff>
      <xdr:row>4</xdr:row>
      <xdr:rowOff>996950</xdr:rowOff>
    </xdr:to>
    <xdr:pic>
      <xdr:nvPicPr>
        <xdr:cNvPr id="36" name="Imagen 35">
          <a:extLst>
            <a:ext uri="{FF2B5EF4-FFF2-40B4-BE49-F238E27FC236}">
              <a16:creationId xmlns:a16="http://schemas.microsoft.com/office/drawing/2014/main" id="{B7A95300-232F-4F31-BF8A-8024B5755072}"/>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9110506" y="3913505"/>
          <a:ext cx="1992469" cy="94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76199</xdr:colOff>
      <xdr:row>8</xdr:row>
      <xdr:rowOff>55209</xdr:rowOff>
    </xdr:from>
    <xdr:to>
      <xdr:col>4</xdr:col>
      <xdr:colOff>1544320</xdr:colOff>
      <xdr:row>8</xdr:row>
      <xdr:rowOff>1029334</xdr:rowOff>
    </xdr:to>
    <xdr:pic>
      <xdr:nvPicPr>
        <xdr:cNvPr id="37" name="Imagen 36">
          <a:extLst>
            <a:ext uri="{FF2B5EF4-FFF2-40B4-BE49-F238E27FC236}">
              <a16:creationId xmlns:a16="http://schemas.microsoft.com/office/drawing/2014/main" id="{49BEB7E2-6828-44E6-BC8D-B6B6D83D4B12}"/>
            </a:ext>
          </a:extLst>
        </xdr:cNvPr>
        <xdr:cNvPicPr>
          <a:picLocks noChangeAspect="1"/>
        </xdr:cNvPicPr>
      </xdr:nvPicPr>
      <xdr:blipFill>
        <a:blip xmlns:r="http://schemas.openxmlformats.org/officeDocument/2006/relationships" r:embed="rId35"/>
        <a:stretch>
          <a:fillRect/>
        </a:stretch>
      </xdr:blipFill>
      <xdr:spPr>
        <a:xfrm>
          <a:off x="9010649" y="8065734"/>
          <a:ext cx="1468121" cy="974125"/>
        </a:xfrm>
        <a:prstGeom prst="rect">
          <a:avLst/>
        </a:prstGeom>
      </xdr:spPr>
    </xdr:pic>
    <xdr:clientData/>
  </xdr:twoCellAnchor>
  <xdr:twoCellAnchor editAs="oneCell">
    <xdr:from>
      <xdr:col>4</xdr:col>
      <xdr:colOff>482340</xdr:colOff>
      <xdr:row>14</xdr:row>
      <xdr:rowOff>587375</xdr:rowOff>
    </xdr:from>
    <xdr:to>
      <xdr:col>4</xdr:col>
      <xdr:colOff>1444625</xdr:colOff>
      <xdr:row>14</xdr:row>
      <xdr:rowOff>1028520</xdr:rowOff>
    </xdr:to>
    <xdr:pic>
      <xdr:nvPicPr>
        <xdr:cNvPr id="38" name="Picture 2">
          <a:extLst>
            <a:ext uri="{FF2B5EF4-FFF2-40B4-BE49-F238E27FC236}">
              <a16:creationId xmlns:a16="http://schemas.microsoft.com/office/drawing/2014/main" id="{198CF493-15A5-4499-8D7C-524B2C741801}"/>
            </a:ext>
          </a:extLst>
        </xdr:cNvPr>
        <xdr:cNvPicPr>
          <a:picLocks noChangeAspect="1" noChangeArrowheads="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t="10761"/>
        <a:stretch/>
      </xdr:blipFill>
      <xdr:spPr bwMode="auto">
        <a:xfrm>
          <a:off x="9416790" y="14827250"/>
          <a:ext cx="962285" cy="441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154940</xdr:colOff>
      <xdr:row>48</xdr:row>
      <xdr:rowOff>17780</xdr:rowOff>
    </xdr:from>
    <xdr:to>
      <xdr:col>5</xdr:col>
      <xdr:colOff>1270</xdr:colOff>
      <xdr:row>49</xdr:row>
      <xdr:rowOff>43707</xdr:rowOff>
    </xdr:to>
    <xdr:pic>
      <xdr:nvPicPr>
        <xdr:cNvPr id="39" name="Imagen 38">
          <a:extLst>
            <a:ext uri="{FF2B5EF4-FFF2-40B4-BE49-F238E27FC236}">
              <a16:creationId xmlns:a16="http://schemas.microsoft.com/office/drawing/2014/main" id="{21AAEA9E-8D05-41E3-BA24-58ACF277495E}"/>
            </a:ext>
          </a:extLst>
        </xdr:cNvPr>
        <xdr:cNvPicPr>
          <a:picLocks noChangeAspect="1"/>
        </xdr:cNvPicPr>
      </xdr:nvPicPr>
      <xdr:blipFill>
        <a:blip xmlns:r="http://schemas.openxmlformats.org/officeDocument/2006/relationships" r:embed="rId37"/>
        <a:stretch>
          <a:fillRect/>
        </a:stretch>
      </xdr:blipFill>
      <xdr:spPr>
        <a:xfrm>
          <a:off x="9089390" y="49957355"/>
          <a:ext cx="2065655" cy="1064152"/>
        </a:xfrm>
        <a:prstGeom prst="rect">
          <a:avLst/>
        </a:prstGeom>
      </xdr:spPr>
    </xdr:pic>
    <xdr:clientData/>
  </xdr:twoCellAnchor>
  <xdr:twoCellAnchor editAs="oneCell">
    <xdr:from>
      <xdr:col>4</xdr:col>
      <xdr:colOff>200025</xdr:colOff>
      <xdr:row>38</xdr:row>
      <xdr:rowOff>22442</xdr:rowOff>
    </xdr:from>
    <xdr:to>
      <xdr:col>4</xdr:col>
      <xdr:colOff>2001520</xdr:colOff>
      <xdr:row>38</xdr:row>
      <xdr:rowOff>1008379</xdr:rowOff>
    </xdr:to>
    <xdr:pic>
      <xdr:nvPicPr>
        <xdr:cNvPr id="40" name="Imagen 39">
          <a:extLst>
            <a:ext uri="{FF2B5EF4-FFF2-40B4-BE49-F238E27FC236}">
              <a16:creationId xmlns:a16="http://schemas.microsoft.com/office/drawing/2014/main" id="{84F41203-A55D-4D27-AF11-5754CAA62F0D}"/>
            </a:ext>
          </a:extLst>
        </xdr:cNvPr>
        <xdr:cNvPicPr>
          <a:picLocks noChangeAspect="1"/>
        </xdr:cNvPicPr>
      </xdr:nvPicPr>
      <xdr:blipFill>
        <a:blip xmlns:r="http://schemas.openxmlformats.org/officeDocument/2006/relationships" r:embed="rId38"/>
        <a:stretch>
          <a:fillRect/>
        </a:stretch>
      </xdr:blipFill>
      <xdr:spPr>
        <a:xfrm>
          <a:off x="9134475" y="39179717"/>
          <a:ext cx="1801495" cy="985937"/>
        </a:xfrm>
        <a:prstGeom prst="rect">
          <a:avLst/>
        </a:prstGeom>
      </xdr:spPr>
    </xdr:pic>
    <xdr:clientData/>
  </xdr:twoCellAnchor>
  <xdr:twoCellAnchor editAs="oneCell">
    <xdr:from>
      <xdr:col>4</xdr:col>
      <xdr:colOff>113030</xdr:colOff>
      <xdr:row>11</xdr:row>
      <xdr:rowOff>51435</xdr:rowOff>
    </xdr:from>
    <xdr:to>
      <xdr:col>4</xdr:col>
      <xdr:colOff>1177925</xdr:colOff>
      <xdr:row>11</xdr:row>
      <xdr:rowOff>987569</xdr:rowOff>
    </xdr:to>
    <xdr:pic>
      <xdr:nvPicPr>
        <xdr:cNvPr id="41" name="Imagen 40">
          <a:extLst>
            <a:ext uri="{FF2B5EF4-FFF2-40B4-BE49-F238E27FC236}">
              <a16:creationId xmlns:a16="http://schemas.microsoft.com/office/drawing/2014/main" id="{6FBD0BEF-E76B-47DD-BB31-ECF92EA47686}"/>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47480" y="11176635"/>
          <a:ext cx="1064895" cy="936134"/>
        </a:xfrm>
        <a:prstGeom prst="rect">
          <a:avLst/>
        </a:prstGeom>
        <a:solidFill>
          <a:schemeClr val="bg1"/>
        </a:solidFill>
      </xdr:spPr>
    </xdr:pic>
    <xdr:clientData/>
  </xdr:twoCellAnchor>
  <xdr:twoCellAnchor editAs="oneCell">
    <xdr:from>
      <xdr:col>4</xdr:col>
      <xdr:colOff>1304925</xdr:colOff>
      <xdr:row>11</xdr:row>
      <xdr:rowOff>142875</xdr:rowOff>
    </xdr:from>
    <xdr:to>
      <xdr:col>5</xdr:col>
      <xdr:colOff>815</xdr:colOff>
      <xdr:row>11</xdr:row>
      <xdr:rowOff>1009330</xdr:rowOff>
    </xdr:to>
    <xdr:pic>
      <xdr:nvPicPr>
        <xdr:cNvPr id="42" name="Marcador de posición de imagen 3">
          <a:extLst>
            <a:ext uri="{FF2B5EF4-FFF2-40B4-BE49-F238E27FC236}">
              <a16:creationId xmlns:a16="http://schemas.microsoft.com/office/drawing/2014/main" id="{410E97D9-3B4B-422F-B5D3-55D5D24C7ECE}"/>
            </a:ext>
          </a:extLst>
        </xdr:cNvPr>
        <xdr:cNvPicPr>
          <a:picLocks noChangeAspect="1"/>
        </xdr:cNvPicPr>
      </xdr:nvPicPr>
      <xdr:blipFill rotWithShape="1">
        <a:blip xmlns:r="http://schemas.openxmlformats.org/officeDocument/2006/relationships" r:embed="rId1"/>
        <a:srcRect l="4863" r="52264"/>
        <a:stretch/>
      </xdr:blipFill>
      <xdr:spPr>
        <a:xfrm>
          <a:off x="10239375" y="11268075"/>
          <a:ext cx="915215" cy="866455"/>
        </a:xfrm>
        <a:prstGeom prst="rect">
          <a:avLst/>
        </a:prstGeom>
        <a:solidFill>
          <a:schemeClr val="bg1"/>
        </a:solidFill>
      </xdr:spPr>
    </xdr:pic>
    <xdr:clientData/>
  </xdr:twoCellAnchor>
  <xdr:twoCellAnchor editAs="oneCell">
    <xdr:from>
      <xdr:col>4</xdr:col>
      <xdr:colOff>85725</xdr:colOff>
      <xdr:row>12</xdr:row>
      <xdr:rowOff>114300</xdr:rowOff>
    </xdr:from>
    <xdr:to>
      <xdr:col>4</xdr:col>
      <xdr:colOff>1144270</xdr:colOff>
      <xdr:row>12</xdr:row>
      <xdr:rowOff>1005984</xdr:rowOff>
    </xdr:to>
    <xdr:pic>
      <xdr:nvPicPr>
        <xdr:cNvPr id="43" name="Imagen 42">
          <a:extLst>
            <a:ext uri="{FF2B5EF4-FFF2-40B4-BE49-F238E27FC236}">
              <a16:creationId xmlns:a16="http://schemas.microsoft.com/office/drawing/2014/main" id="{62238786-9DD2-44A1-99B1-017568073362}"/>
            </a:ext>
          </a:extLst>
        </xdr:cNvPr>
        <xdr:cNvPicPr>
          <a:picLocks noChangeAspect="1"/>
        </xdr:cNvPicPr>
      </xdr:nvPicPr>
      <xdr:blipFill rotWithShape="1">
        <a:blip xmlns:r="http://schemas.openxmlformats.org/officeDocument/2006/relationships" r:embed="rId26">
          <a:extLst>
            <a:ext uri="{BEBA8EAE-BF5A-486C-A8C5-ECC9F3942E4B}">
              <a14:imgProps xmlns:a14="http://schemas.microsoft.com/office/drawing/2010/main">
                <a14:imgLayer r:embed="rId27">
                  <a14:imgEffect>
                    <a14:backgroundRemoval t="20573" b="86068" l="57814" r="95378">
                      <a14:foregroundMark x1="62913" y1="33594" x2="61629" y2="36589"/>
                      <a14:foregroundMark x1="61629" y1="36589" x2="59281" y2="48177"/>
                      <a14:foregroundMark x1="59281" y1="48177" x2="58327" y2="59505"/>
                      <a14:foregroundMark x1="58327" y1="59505" x2="59024" y2="77474"/>
                      <a14:foregroundMark x1="59024" y1="77474" x2="59795" y2="84635"/>
                      <a14:foregroundMark x1="59795" y1="84635" x2="61299" y2="86589"/>
                      <a14:foregroundMark x1="61299" y1="86589" x2="65260" y2="86068"/>
                      <a14:foregroundMark x1="65260" y1="86068" x2="68819" y2="86068"/>
                      <a14:foregroundMark x1="68819" y1="86068" x2="71643" y2="86068"/>
                      <a14:foregroundMark x1="71643" y1="86068" x2="79934" y2="74219"/>
                      <a14:foregroundMark x1="79934" y1="74219" x2="81255" y2="70052"/>
                      <a14:foregroundMark x1="81255" y1="70052" x2="83015" y2="52604"/>
                      <a14:foregroundMark x1="83015" y1="52604" x2="81621" y2="41146"/>
                      <a14:foregroundMark x1="81621" y1="41146" x2="78797" y2="30599"/>
                      <a14:foregroundMark x1="78797" y1="30599" x2="74688" y2="24870"/>
                      <a14:foregroundMark x1="74688" y1="24870" x2="66104" y2="23177"/>
                      <a14:foregroundMark x1="66104" y1="23177" x2="64490" y2="24479"/>
                      <a14:foregroundMark x1="64490" y1="24479" x2="63206" y2="28776"/>
                      <a14:foregroundMark x1="63206" y1="28776" x2="62179" y2="35938"/>
                      <a14:foregroundMark x1="79384" y1="42318" x2="78503" y2="29036"/>
                      <a14:foregroundMark x1="78503" y1="29036" x2="79054" y2="22396"/>
                      <a14:foregroundMark x1="79054" y1="22396" x2="80117" y2="18359"/>
                      <a14:foregroundMark x1="80117" y1="18359" x2="81915" y2="15885"/>
                      <a14:foregroundMark x1="81915" y1="15885" x2="84079" y2="14974"/>
                      <a14:foregroundMark x1="84079" y1="14974" x2="92627" y2="16536"/>
                      <a14:foregroundMark x1="92627" y1="16536" x2="94754" y2="20052"/>
                      <a14:foregroundMark x1="94754" y1="20052" x2="95671" y2="25391"/>
                      <a14:foregroundMark x1="95671" y1="25391" x2="95378" y2="45443"/>
                      <a14:foregroundMark x1="95378" y1="45443" x2="94277" y2="56120"/>
                      <a14:foregroundMark x1="94277" y1="56120" x2="91306" y2="63542"/>
                      <a14:foregroundMark x1="91306" y1="63542" x2="80668" y2="69922"/>
                      <a14:foregroundMark x1="72230" y1="74870" x2="73404" y2="69792"/>
                      <a14:foregroundMark x1="73404" y1="69792" x2="75055" y2="52083"/>
                      <a14:foregroundMark x1="75055" y1="52083" x2="75055" y2="45703"/>
                      <a14:foregroundMark x1="75055" y1="45703" x2="74028" y2="37891"/>
                      <a14:foregroundMark x1="74028" y1="37891" x2="71313" y2="31771"/>
                      <a14:foregroundMark x1="71313" y1="31771" x2="65774" y2="29688"/>
                      <a14:foregroundMark x1="65774" y1="29688" x2="61079" y2="34245"/>
                      <a14:foregroundMark x1="61079" y1="34245" x2="57557" y2="42318"/>
                      <a14:foregroundMark x1="57557" y1="42318" x2="56200" y2="49479"/>
                      <a14:foregroundMark x1="56200" y1="49479" x2="55759" y2="62370"/>
                      <a14:foregroundMark x1="55759" y1="62370" x2="56200" y2="72786"/>
                      <a14:foregroundMark x1="56200" y1="72786" x2="57887" y2="76432"/>
                      <a14:foregroundMark x1="57887" y1="76432" x2="62179" y2="79948"/>
                      <a14:foregroundMark x1="62179" y1="79948" x2="63206" y2="83984"/>
                      <a14:foregroundMark x1="63206" y1="83984" x2="64857" y2="84245"/>
                      <a14:foregroundMark x1="64857" y1="84245" x2="64930" y2="84115"/>
                      <a14:foregroundMark x1="79604" y1="27344" x2="80264" y2="21875"/>
                      <a14:foregroundMark x1="80264" y1="21875" x2="85253" y2="14193"/>
                      <a14:foregroundMark x1="85253" y1="14193" x2="89142" y2="16146"/>
                      <a14:foregroundMark x1="89142" y1="16146" x2="90426" y2="19661"/>
                      <a14:foregroundMark x1="90426" y1="19661" x2="92296" y2="29948"/>
                      <a14:foregroundMark x1="92296" y1="29948" x2="93654" y2="33724"/>
                      <a14:foregroundMark x1="93654" y1="33724" x2="95635" y2="42708"/>
                      <a14:foregroundMark x1="95635" y1="42708" x2="95378" y2="48047"/>
                      <a14:foregroundMark x1="95378" y1="48047" x2="91416" y2="57161"/>
                      <a14:foregroundMark x1="91416" y1="57161" x2="85547" y2="59766"/>
                      <a14:foregroundMark x1="85547" y1="59766" x2="83712" y2="58333"/>
                      <a14:foregroundMark x1="83712" y1="58333" x2="81731" y2="51823"/>
                      <a14:foregroundMark x1="81731" y1="51823" x2="79530" y2="36458"/>
                      <a14:foregroundMark x1="79530" y1="36458" x2="79347" y2="29427"/>
                      <a14:foregroundMark x1="79347" y1="29427" x2="79677" y2="25781"/>
                      <a14:foregroundMark x1="88738" y1="23698" x2="83272" y2="25130"/>
                      <a14:foregroundMark x1="83272" y1="25130" x2="81475" y2="23438"/>
                      <a14:foregroundMark x1="81475" y1="23438" x2="80448" y2="18229"/>
                      <a14:foregroundMark x1="80448" y1="18229" x2="82318" y2="15104"/>
                      <a14:foregroundMark x1="82318" y1="15104" x2="88004" y2="16406"/>
                      <a14:foregroundMark x1="88004" y1="16406" x2="90902" y2="20573"/>
                      <a14:foregroundMark x1="90902" y1="20573" x2="89692" y2="23828"/>
                      <a14:foregroundMark x1="89692" y1="23828" x2="87858" y2="24219"/>
                      <a14:foregroundMark x1="87197" y1="42318" x2="86757" y2="36198"/>
                      <a14:foregroundMark x1="86757" y1="36198" x2="87491" y2="30729"/>
                      <a14:foregroundMark x1="87491" y1="30729" x2="89472" y2="34245"/>
                      <a14:foregroundMark x1="89472" y1="34245" x2="89545" y2="40365"/>
                      <a14:foregroundMark x1="89545" y1="40365" x2="87271" y2="42318"/>
                      <a14:foregroundMark x1="87784" y1="36719" x2="88371" y2="40104"/>
                    </a14:backgroundRemoval>
                  </a14:imgEffect>
                </a14:imgLayer>
              </a14:imgProps>
            </a:ext>
          </a:extLst>
        </a:blip>
        <a:srcRect l="58189" t="14987" r="4142" b="15666"/>
        <a:stretch/>
      </xdr:blipFill>
      <xdr:spPr>
        <a:xfrm>
          <a:off x="9020175" y="12277725"/>
          <a:ext cx="1058545" cy="891684"/>
        </a:xfrm>
        <a:prstGeom prst="rect">
          <a:avLst/>
        </a:prstGeom>
        <a:solidFill>
          <a:schemeClr val="bg1"/>
        </a:solidFill>
      </xdr:spPr>
    </xdr:pic>
    <xdr:clientData/>
  </xdr:twoCellAnchor>
  <xdr:twoCellAnchor editAs="oneCell">
    <xdr:from>
      <xdr:col>4</xdr:col>
      <xdr:colOff>1188084</xdr:colOff>
      <xdr:row>12</xdr:row>
      <xdr:rowOff>85725</xdr:rowOff>
    </xdr:from>
    <xdr:to>
      <xdr:col>4</xdr:col>
      <xdr:colOff>2206987</xdr:colOff>
      <xdr:row>12</xdr:row>
      <xdr:rowOff>984404</xdr:rowOff>
    </xdr:to>
    <xdr:pic>
      <xdr:nvPicPr>
        <xdr:cNvPr id="44" name="Imagen 43">
          <a:extLst>
            <a:ext uri="{FF2B5EF4-FFF2-40B4-BE49-F238E27FC236}">
              <a16:creationId xmlns:a16="http://schemas.microsoft.com/office/drawing/2014/main" id="{3B1C5DB9-8162-4A8F-8C92-0549EA0DB393}"/>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10122534" y="12249150"/>
          <a:ext cx="1018903" cy="898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250371</xdr:colOff>
      <xdr:row>10</xdr:row>
      <xdr:rowOff>65315</xdr:rowOff>
    </xdr:from>
    <xdr:to>
      <xdr:col>5</xdr:col>
      <xdr:colOff>906</xdr:colOff>
      <xdr:row>10</xdr:row>
      <xdr:rowOff>885028</xdr:rowOff>
    </xdr:to>
    <xdr:pic>
      <xdr:nvPicPr>
        <xdr:cNvPr id="45" name="Imagen 44">
          <a:extLst>
            <a:ext uri="{FF2B5EF4-FFF2-40B4-BE49-F238E27FC236}">
              <a16:creationId xmlns:a16="http://schemas.microsoft.com/office/drawing/2014/main" id="{B36612FA-B7C8-47AE-92A5-7251F8587EC6}"/>
            </a:ext>
          </a:extLst>
        </xdr:cNvPr>
        <xdr:cNvPicPr>
          <a:picLocks noChangeAspect="1" noChangeArrowheads="1"/>
        </xdr:cNvPicPr>
      </xdr:nvPicPr>
      <xdr:blipFill>
        <a:blip xmlns:r="http://schemas.openxmlformats.org/officeDocument/2006/relationships" r:embed="rId39" cstate="print">
          <a:extLst>
            <a:ext uri="{28A0092B-C50C-407E-A947-70E740481C1C}">
              <a14:useLocalDpi xmlns:a14="http://schemas.microsoft.com/office/drawing/2010/main" val="0"/>
            </a:ext>
          </a:extLst>
        </a:blip>
        <a:srcRect/>
        <a:stretch>
          <a:fillRect/>
        </a:stretch>
      </xdr:blipFill>
      <xdr:spPr bwMode="auto">
        <a:xfrm>
          <a:off x="9184821" y="10152290"/>
          <a:ext cx="1969860" cy="8197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177165</xdr:colOff>
      <xdr:row>15</xdr:row>
      <xdr:rowOff>57785</xdr:rowOff>
    </xdr:from>
    <xdr:to>
      <xdr:col>4</xdr:col>
      <xdr:colOff>2130425</xdr:colOff>
      <xdr:row>15</xdr:row>
      <xdr:rowOff>1022985</xdr:rowOff>
    </xdr:to>
    <xdr:pic>
      <xdr:nvPicPr>
        <xdr:cNvPr id="46" name="Imagen 45">
          <a:extLst>
            <a:ext uri="{FF2B5EF4-FFF2-40B4-BE49-F238E27FC236}">
              <a16:creationId xmlns:a16="http://schemas.microsoft.com/office/drawing/2014/main" id="{0DCBC809-8267-4806-B567-198CFB00D5C1}"/>
            </a:ext>
          </a:extLst>
        </xdr:cNvPr>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9111615" y="15335885"/>
          <a:ext cx="1953260" cy="965200"/>
        </a:xfrm>
        <a:prstGeom prst="rect">
          <a:avLst/>
        </a:prstGeom>
      </xdr:spPr>
    </xdr:pic>
    <xdr:clientData/>
  </xdr:twoCellAnchor>
  <xdr:twoCellAnchor editAs="oneCell">
    <xdr:from>
      <xdr:col>4</xdr:col>
      <xdr:colOff>13544</xdr:colOff>
      <xdr:row>15</xdr:row>
      <xdr:rowOff>1013460</xdr:rowOff>
    </xdr:from>
    <xdr:to>
      <xdr:col>5</xdr:col>
      <xdr:colOff>1588</xdr:colOff>
      <xdr:row>16</xdr:row>
      <xdr:rowOff>1005568</xdr:rowOff>
    </xdr:to>
    <xdr:pic>
      <xdr:nvPicPr>
        <xdr:cNvPr id="47" name="Imagen 46">
          <a:extLst>
            <a:ext uri="{FF2B5EF4-FFF2-40B4-BE49-F238E27FC236}">
              <a16:creationId xmlns:a16="http://schemas.microsoft.com/office/drawing/2014/main" id="{3A10AD02-EA17-4DF3-88D5-245AD71D489F}"/>
            </a:ext>
          </a:extLst>
        </xdr:cNvPr>
        <xdr:cNvPicPr>
          <a:picLocks noChangeAspect="1" noChangeArrowheads="1"/>
        </xdr:cNvPicPr>
      </xdr:nvPicPr>
      <xdr:blipFill>
        <a:blip xmlns:r="http://schemas.openxmlformats.org/officeDocument/2006/relationships" r:embed="rId41" cstate="print">
          <a:extLst>
            <a:ext uri="{28A0092B-C50C-407E-A947-70E740481C1C}">
              <a14:useLocalDpi xmlns:a14="http://schemas.microsoft.com/office/drawing/2010/main" val="0"/>
            </a:ext>
          </a:extLst>
        </a:blip>
        <a:srcRect/>
        <a:stretch>
          <a:fillRect/>
        </a:stretch>
      </xdr:blipFill>
      <xdr:spPr bwMode="auto">
        <a:xfrm>
          <a:off x="8947994" y="16291560"/>
          <a:ext cx="2207369" cy="1030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128904</xdr:colOff>
      <xdr:row>19</xdr:row>
      <xdr:rowOff>46960</xdr:rowOff>
    </xdr:from>
    <xdr:to>
      <xdr:col>4</xdr:col>
      <xdr:colOff>2171700</xdr:colOff>
      <xdr:row>19</xdr:row>
      <xdr:rowOff>1032238</xdr:rowOff>
    </xdr:to>
    <xdr:pic>
      <xdr:nvPicPr>
        <xdr:cNvPr id="48" name="Imagen 47">
          <a:extLst>
            <a:ext uri="{FF2B5EF4-FFF2-40B4-BE49-F238E27FC236}">
              <a16:creationId xmlns:a16="http://schemas.microsoft.com/office/drawing/2014/main" id="{B6559940-9596-4FF0-BCCA-DCE7607EAF96}"/>
            </a:ext>
          </a:extLst>
        </xdr:cNvPr>
        <xdr:cNvPicPr>
          <a:picLocks noChangeAspect="1"/>
        </xdr:cNvPicPr>
      </xdr:nvPicPr>
      <xdr:blipFill>
        <a:blip xmlns:r="http://schemas.openxmlformats.org/officeDocument/2006/relationships" r:embed="rId42"/>
        <a:stretch>
          <a:fillRect/>
        </a:stretch>
      </xdr:blipFill>
      <xdr:spPr>
        <a:xfrm>
          <a:off x="9063354" y="19477960"/>
          <a:ext cx="2042796" cy="985278"/>
        </a:xfrm>
        <a:prstGeom prst="rect">
          <a:avLst/>
        </a:prstGeom>
      </xdr:spPr>
    </xdr:pic>
    <xdr:clientData/>
  </xdr:twoCellAnchor>
  <xdr:twoCellAnchor editAs="oneCell">
    <xdr:from>
      <xdr:col>4</xdr:col>
      <xdr:colOff>251459</xdr:colOff>
      <xdr:row>76</xdr:row>
      <xdr:rowOff>102234</xdr:rowOff>
    </xdr:from>
    <xdr:to>
      <xdr:col>4</xdr:col>
      <xdr:colOff>2206625</xdr:colOff>
      <xdr:row>76</xdr:row>
      <xdr:rowOff>998029</xdr:rowOff>
    </xdr:to>
    <xdr:pic>
      <xdr:nvPicPr>
        <xdr:cNvPr id="49" name="Imagen 48">
          <a:extLst>
            <a:ext uri="{FF2B5EF4-FFF2-40B4-BE49-F238E27FC236}">
              <a16:creationId xmlns:a16="http://schemas.microsoft.com/office/drawing/2014/main" id="{6F9C1325-6911-4326-ABFC-F049646D8DA3}"/>
            </a:ext>
          </a:extLst>
        </xdr:cNvPr>
        <xdr:cNvPicPr>
          <a:picLocks noChangeAspect="1"/>
        </xdr:cNvPicPr>
      </xdr:nvPicPr>
      <xdr:blipFill rotWithShape="1">
        <a:blip xmlns:r="http://schemas.openxmlformats.org/officeDocument/2006/relationships" r:embed="rId43"/>
        <a:srcRect t="18500" r="58859" b="14577"/>
        <a:stretch/>
      </xdr:blipFill>
      <xdr:spPr>
        <a:xfrm>
          <a:off x="9185909" y="79864584"/>
          <a:ext cx="1955166" cy="895795"/>
        </a:xfrm>
        <a:prstGeom prst="rect">
          <a:avLst/>
        </a:prstGeom>
      </xdr:spPr>
    </xdr:pic>
    <xdr:clientData/>
  </xdr:twoCellAnchor>
  <xdr:twoCellAnchor editAs="oneCell">
    <xdr:from>
      <xdr:col>4</xdr:col>
      <xdr:colOff>135255</xdr:colOff>
      <xdr:row>74</xdr:row>
      <xdr:rowOff>214630</xdr:rowOff>
    </xdr:from>
    <xdr:to>
      <xdr:col>5</xdr:col>
      <xdr:colOff>1270</xdr:colOff>
      <xdr:row>75</xdr:row>
      <xdr:rowOff>765992</xdr:rowOff>
    </xdr:to>
    <xdr:pic>
      <xdr:nvPicPr>
        <xdr:cNvPr id="50" name="Imagen 49">
          <a:extLst>
            <a:ext uri="{FF2B5EF4-FFF2-40B4-BE49-F238E27FC236}">
              <a16:creationId xmlns:a16="http://schemas.microsoft.com/office/drawing/2014/main" id="{D6B263DF-0593-49D5-9D4A-7C669E85E163}"/>
            </a:ext>
          </a:extLst>
        </xdr:cNvPr>
        <xdr:cNvPicPr>
          <a:picLocks noChangeAspect="1"/>
        </xdr:cNvPicPr>
      </xdr:nvPicPr>
      <xdr:blipFill rotWithShape="1">
        <a:blip xmlns:r="http://schemas.openxmlformats.org/officeDocument/2006/relationships" r:embed="rId44"/>
        <a:srcRect l="52926" t="19728" r="3060" b="6744"/>
        <a:stretch/>
      </xdr:blipFill>
      <xdr:spPr>
        <a:xfrm>
          <a:off x="9069705" y="77900530"/>
          <a:ext cx="2085340" cy="1589587"/>
        </a:xfrm>
        <a:prstGeom prst="rect">
          <a:avLst/>
        </a:prstGeom>
      </xdr:spPr>
    </xdr:pic>
    <xdr:clientData/>
  </xdr:twoCellAnchor>
  <xdr:twoCellAnchor editAs="oneCell">
    <xdr:from>
      <xdr:col>4</xdr:col>
      <xdr:colOff>170180</xdr:colOff>
      <xdr:row>39</xdr:row>
      <xdr:rowOff>27305</xdr:rowOff>
    </xdr:from>
    <xdr:to>
      <xdr:col>4</xdr:col>
      <xdr:colOff>2171700</xdr:colOff>
      <xdr:row>39</xdr:row>
      <xdr:rowOff>1009352</xdr:rowOff>
    </xdr:to>
    <xdr:pic>
      <xdr:nvPicPr>
        <xdr:cNvPr id="51" name="Imagen 50" descr="Gráfico, Gráfico radial&#10;&#10;Descripción generada automáticamente">
          <a:extLst>
            <a:ext uri="{FF2B5EF4-FFF2-40B4-BE49-F238E27FC236}">
              <a16:creationId xmlns:a16="http://schemas.microsoft.com/office/drawing/2014/main" id="{A39416DE-7683-4747-AAE7-5D21A6AAB83C}"/>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9104630" y="40222805"/>
          <a:ext cx="2001520" cy="982047"/>
        </a:xfrm>
        <a:prstGeom prst="rect">
          <a:avLst/>
        </a:prstGeom>
      </xdr:spPr>
    </xdr:pic>
    <xdr:clientData/>
  </xdr:twoCellAnchor>
  <xdr:twoCellAnchor editAs="oneCell">
    <xdr:from>
      <xdr:col>4</xdr:col>
      <xdr:colOff>123825</xdr:colOff>
      <xdr:row>24</xdr:row>
      <xdr:rowOff>76200</xdr:rowOff>
    </xdr:from>
    <xdr:to>
      <xdr:col>5</xdr:col>
      <xdr:colOff>815</xdr:colOff>
      <xdr:row>24</xdr:row>
      <xdr:rowOff>989012</xdr:rowOff>
    </xdr:to>
    <xdr:pic>
      <xdr:nvPicPr>
        <xdr:cNvPr id="52" name="Imagen 51">
          <a:extLst>
            <a:ext uri="{FF2B5EF4-FFF2-40B4-BE49-F238E27FC236}">
              <a16:creationId xmlns:a16="http://schemas.microsoft.com/office/drawing/2014/main" id="{CBCB05DB-AEBC-4482-A2AB-57CDAD5A7F2E}"/>
            </a:ext>
          </a:extLst>
        </xdr:cNvPr>
        <xdr:cNvPicPr>
          <a:picLocks noChangeAspect="1"/>
        </xdr:cNvPicPr>
      </xdr:nvPicPr>
      <xdr:blipFill>
        <a:blip xmlns:r="http://schemas.openxmlformats.org/officeDocument/2006/relationships" r:embed="rId46"/>
        <a:stretch>
          <a:fillRect/>
        </a:stretch>
      </xdr:blipFill>
      <xdr:spPr>
        <a:xfrm>
          <a:off x="9058275" y="24698325"/>
          <a:ext cx="2096315" cy="912812"/>
        </a:xfrm>
        <a:prstGeom prst="rect">
          <a:avLst/>
        </a:prstGeom>
      </xdr:spPr>
    </xdr:pic>
    <xdr:clientData/>
  </xdr:twoCellAnchor>
  <xdr:twoCellAnchor editAs="oneCell">
    <xdr:from>
      <xdr:col>4</xdr:col>
      <xdr:colOff>63591</xdr:colOff>
      <xdr:row>24</xdr:row>
      <xdr:rowOff>76200</xdr:rowOff>
    </xdr:from>
    <xdr:to>
      <xdr:col>5</xdr:col>
      <xdr:colOff>89</xdr:colOff>
      <xdr:row>24</xdr:row>
      <xdr:rowOff>989012</xdr:rowOff>
    </xdr:to>
    <xdr:pic>
      <xdr:nvPicPr>
        <xdr:cNvPr id="53" name="Imagen 52">
          <a:extLst>
            <a:ext uri="{FF2B5EF4-FFF2-40B4-BE49-F238E27FC236}">
              <a16:creationId xmlns:a16="http://schemas.microsoft.com/office/drawing/2014/main" id="{0EA9560C-EE44-4E50-B19A-8FE85012C83B}"/>
            </a:ext>
          </a:extLst>
        </xdr:cNvPr>
        <xdr:cNvPicPr>
          <a:picLocks noChangeAspect="1"/>
        </xdr:cNvPicPr>
      </xdr:nvPicPr>
      <xdr:blipFill>
        <a:blip xmlns:r="http://schemas.openxmlformats.org/officeDocument/2006/relationships" r:embed="rId46"/>
        <a:stretch>
          <a:fillRect/>
        </a:stretch>
      </xdr:blipFill>
      <xdr:spPr>
        <a:xfrm>
          <a:off x="8998041" y="24698325"/>
          <a:ext cx="2155823" cy="912812"/>
        </a:xfrm>
        <a:prstGeom prst="rect">
          <a:avLst/>
        </a:prstGeom>
      </xdr:spPr>
    </xdr:pic>
    <xdr:clientData/>
  </xdr:twoCellAnchor>
  <xdr:twoCellAnchor editAs="oneCell">
    <xdr:from>
      <xdr:col>4</xdr:col>
      <xdr:colOff>1200151</xdr:colOff>
      <xdr:row>26</xdr:row>
      <xdr:rowOff>85725</xdr:rowOff>
    </xdr:from>
    <xdr:to>
      <xdr:col>5</xdr:col>
      <xdr:colOff>1271</xdr:colOff>
      <xdr:row>26</xdr:row>
      <xdr:rowOff>1022667</xdr:rowOff>
    </xdr:to>
    <xdr:pic>
      <xdr:nvPicPr>
        <xdr:cNvPr id="54" name="Imagen 53">
          <a:extLst>
            <a:ext uri="{FF2B5EF4-FFF2-40B4-BE49-F238E27FC236}">
              <a16:creationId xmlns:a16="http://schemas.microsoft.com/office/drawing/2014/main" id="{59533562-74A5-45D0-85B1-59E48A5EC60B}"/>
            </a:ext>
          </a:extLst>
        </xdr:cNvPr>
        <xdr:cNvPicPr>
          <a:picLocks noChangeAspect="1"/>
        </xdr:cNvPicPr>
      </xdr:nvPicPr>
      <xdr:blipFill rotWithShape="1">
        <a:blip xmlns:r="http://schemas.openxmlformats.org/officeDocument/2006/relationships" r:embed="rId46"/>
        <a:srcRect r="51829"/>
        <a:stretch/>
      </xdr:blipFill>
      <xdr:spPr>
        <a:xfrm>
          <a:off x="10134601" y="26784300"/>
          <a:ext cx="1020445" cy="936942"/>
        </a:xfrm>
        <a:prstGeom prst="rect">
          <a:avLst/>
        </a:prstGeom>
      </xdr:spPr>
    </xdr:pic>
    <xdr:clientData/>
  </xdr:twoCellAnchor>
  <xdr:twoCellAnchor editAs="oneCell">
    <xdr:from>
      <xdr:col>4</xdr:col>
      <xdr:colOff>103505</xdr:colOff>
      <xdr:row>26</xdr:row>
      <xdr:rowOff>76200</xdr:rowOff>
    </xdr:from>
    <xdr:to>
      <xdr:col>4</xdr:col>
      <xdr:colOff>1087120</xdr:colOff>
      <xdr:row>26</xdr:row>
      <xdr:rowOff>972185</xdr:rowOff>
    </xdr:to>
    <xdr:pic>
      <xdr:nvPicPr>
        <xdr:cNvPr id="55" name="Imagen 54">
          <a:extLst>
            <a:ext uri="{FF2B5EF4-FFF2-40B4-BE49-F238E27FC236}">
              <a16:creationId xmlns:a16="http://schemas.microsoft.com/office/drawing/2014/main" id="{9D604D7B-961B-4A64-B4A9-6B77FCCBF23F}"/>
            </a:ext>
          </a:extLst>
        </xdr:cNvPr>
        <xdr:cNvPicPr>
          <a:picLocks noChangeAspect="1"/>
        </xdr:cNvPicPr>
      </xdr:nvPicPr>
      <xdr:blipFill rotWithShape="1">
        <a:blip xmlns:r="http://schemas.openxmlformats.org/officeDocument/2006/relationships" r:embed="rId7"/>
        <a:srcRect l="20307" t="2006" b="39816"/>
        <a:stretch/>
      </xdr:blipFill>
      <xdr:spPr>
        <a:xfrm>
          <a:off x="9037955" y="26774775"/>
          <a:ext cx="983615" cy="895985"/>
        </a:xfrm>
        <a:prstGeom prst="rect">
          <a:avLst/>
        </a:prstGeom>
      </xdr:spPr>
    </xdr:pic>
    <xdr:clientData/>
  </xdr:twoCellAnchor>
  <xdr:twoCellAnchor editAs="oneCell">
    <xdr:from>
      <xdr:col>4</xdr:col>
      <xdr:colOff>219075</xdr:colOff>
      <xdr:row>29</xdr:row>
      <xdr:rowOff>57150</xdr:rowOff>
    </xdr:from>
    <xdr:to>
      <xdr:col>4</xdr:col>
      <xdr:colOff>2154430</xdr:colOff>
      <xdr:row>29</xdr:row>
      <xdr:rowOff>1021938</xdr:rowOff>
    </xdr:to>
    <xdr:pic>
      <xdr:nvPicPr>
        <xdr:cNvPr id="56" name="Imagen 55">
          <a:extLst>
            <a:ext uri="{FF2B5EF4-FFF2-40B4-BE49-F238E27FC236}">
              <a16:creationId xmlns:a16="http://schemas.microsoft.com/office/drawing/2014/main" id="{5D8DA35E-8E0A-456A-99D2-CCA87E2A8B93}"/>
            </a:ext>
          </a:extLst>
        </xdr:cNvPr>
        <xdr:cNvPicPr>
          <a:picLocks noChangeAspect="1"/>
        </xdr:cNvPicPr>
      </xdr:nvPicPr>
      <xdr:blipFill>
        <a:blip xmlns:r="http://schemas.openxmlformats.org/officeDocument/2006/relationships" r:embed="rId47"/>
        <a:stretch>
          <a:fillRect/>
        </a:stretch>
      </xdr:blipFill>
      <xdr:spPr>
        <a:xfrm>
          <a:off x="9153525" y="29870400"/>
          <a:ext cx="1935355" cy="964788"/>
        </a:xfrm>
        <a:prstGeom prst="rect">
          <a:avLst/>
        </a:prstGeom>
      </xdr:spPr>
    </xdr:pic>
    <xdr:clientData/>
  </xdr:twoCellAnchor>
  <xdr:twoCellAnchor editAs="oneCell">
    <xdr:from>
      <xdr:col>4</xdr:col>
      <xdr:colOff>38101</xdr:colOff>
      <xdr:row>33</xdr:row>
      <xdr:rowOff>50164</xdr:rowOff>
    </xdr:from>
    <xdr:to>
      <xdr:col>5</xdr:col>
      <xdr:colOff>1270</xdr:colOff>
      <xdr:row>33</xdr:row>
      <xdr:rowOff>1021714</xdr:rowOff>
    </xdr:to>
    <xdr:pic>
      <xdr:nvPicPr>
        <xdr:cNvPr id="57" name="Imagen 56">
          <a:extLst>
            <a:ext uri="{FF2B5EF4-FFF2-40B4-BE49-F238E27FC236}">
              <a16:creationId xmlns:a16="http://schemas.microsoft.com/office/drawing/2014/main" id="{1F932E0B-4D9B-4DE1-8222-A1C33EF71CB4}"/>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8972551" y="34016314"/>
          <a:ext cx="2182494"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133350</xdr:colOff>
      <xdr:row>45</xdr:row>
      <xdr:rowOff>71887</xdr:rowOff>
    </xdr:from>
    <xdr:to>
      <xdr:col>5</xdr:col>
      <xdr:colOff>1589</xdr:colOff>
      <xdr:row>45</xdr:row>
      <xdr:rowOff>1013550</xdr:rowOff>
    </xdr:to>
    <xdr:pic>
      <xdr:nvPicPr>
        <xdr:cNvPr id="58" name="Imagen 57">
          <a:extLst>
            <a:ext uri="{FF2B5EF4-FFF2-40B4-BE49-F238E27FC236}">
              <a16:creationId xmlns:a16="http://schemas.microsoft.com/office/drawing/2014/main" id="{D18B2E74-62F3-4FE9-9547-9BE042DA1449}"/>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9067800" y="46496737"/>
          <a:ext cx="2087564" cy="941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128905</xdr:colOff>
      <xdr:row>44</xdr:row>
      <xdr:rowOff>62864</xdr:rowOff>
    </xdr:from>
    <xdr:to>
      <xdr:col>4</xdr:col>
      <xdr:colOff>2192654</xdr:colOff>
      <xdr:row>45</xdr:row>
      <xdr:rowOff>16418</xdr:rowOff>
    </xdr:to>
    <xdr:pic>
      <xdr:nvPicPr>
        <xdr:cNvPr id="59" name="Imagen 58">
          <a:extLst>
            <a:ext uri="{FF2B5EF4-FFF2-40B4-BE49-F238E27FC236}">
              <a16:creationId xmlns:a16="http://schemas.microsoft.com/office/drawing/2014/main" id="{73E640F9-C929-446D-A68E-E3B4B64A3DA6}"/>
            </a:ext>
          </a:extLst>
        </xdr:cNvPr>
        <xdr:cNvPicPr>
          <a:picLocks noChangeAspect="1" noChangeArrowheads="1"/>
        </xdr:cNvPicPr>
      </xdr:nvPicPr>
      <xdr:blipFill rotWithShape="1">
        <a:blip xmlns:r="http://schemas.openxmlformats.org/officeDocument/2006/relationships" r:embed="rId50" cstate="print">
          <a:extLst>
            <a:ext uri="{28A0092B-C50C-407E-A947-70E740481C1C}">
              <a14:useLocalDpi xmlns:a14="http://schemas.microsoft.com/office/drawing/2010/main" val="0"/>
            </a:ext>
          </a:extLst>
        </a:blip>
        <a:srcRect r="15465"/>
        <a:stretch/>
      </xdr:blipFill>
      <xdr:spPr bwMode="auto">
        <a:xfrm>
          <a:off x="9063355" y="45449489"/>
          <a:ext cx="2063749" cy="991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1229361</xdr:colOff>
      <xdr:row>46</xdr:row>
      <xdr:rowOff>75595</xdr:rowOff>
    </xdr:from>
    <xdr:to>
      <xdr:col>4</xdr:col>
      <xdr:colOff>2130425</xdr:colOff>
      <xdr:row>46</xdr:row>
      <xdr:rowOff>763087</xdr:rowOff>
    </xdr:to>
    <xdr:pic>
      <xdr:nvPicPr>
        <xdr:cNvPr id="60" name="Imagen 59">
          <a:extLst>
            <a:ext uri="{FF2B5EF4-FFF2-40B4-BE49-F238E27FC236}">
              <a16:creationId xmlns:a16="http://schemas.microsoft.com/office/drawing/2014/main" id="{C0322F36-F0E5-4C20-8427-2D367CD153B7}"/>
            </a:ext>
          </a:extLst>
        </xdr:cNvPr>
        <xdr:cNvPicPr>
          <a:picLocks noChangeAspect="1"/>
        </xdr:cNvPicPr>
      </xdr:nvPicPr>
      <xdr:blipFill>
        <a:blip xmlns:r="http://schemas.openxmlformats.org/officeDocument/2006/relationships" r:embed="rId51"/>
        <a:stretch>
          <a:fillRect/>
        </a:stretch>
      </xdr:blipFill>
      <xdr:spPr>
        <a:xfrm>
          <a:off x="10163811" y="47538670"/>
          <a:ext cx="901064" cy="687492"/>
        </a:xfrm>
        <a:prstGeom prst="rect">
          <a:avLst/>
        </a:prstGeom>
      </xdr:spPr>
    </xdr:pic>
    <xdr:clientData/>
  </xdr:twoCellAnchor>
  <xdr:twoCellAnchor editAs="oneCell">
    <xdr:from>
      <xdr:col>4</xdr:col>
      <xdr:colOff>1154451</xdr:colOff>
      <xdr:row>46</xdr:row>
      <xdr:rowOff>745490</xdr:rowOff>
    </xdr:from>
    <xdr:to>
      <xdr:col>5</xdr:col>
      <xdr:colOff>1270</xdr:colOff>
      <xdr:row>46</xdr:row>
      <xdr:rowOff>1358602</xdr:rowOff>
    </xdr:to>
    <xdr:pic>
      <xdr:nvPicPr>
        <xdr:cNvPr id="61" name="Imagen 60">
          <a:extLst>
            <a:ext uri="{FF2B5EF4-FFF2-40B4-BE49-F238E27FC236}">
              <a16:creationId xmlns:a16="http://schemas.microsoft.com/office/drawing/2014/main" id="{23019518-46C3-4ECB-966E-664CAB670E15}"/>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10088901" y="48208565"/>
          <a:ext cx="1066144" cy="613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87651</xdr:colOff>
      <xdr:row>46</xdr:row>
      <xdr:rowOff>138429</xdr:rowOff>
    </xdr:from>
    <xdr:to>
      <xdr:col>4</xdr:col>
      <xdr:colOff>1010920</xdr:colOff>
      <xdr:row>46</xdr:row>
      <xdr:rowOff>1298211</xdr:rowOff>
    </xdr:to>
    <xdr:pic>
      <xdr:nvPicPr>
        <xdr:cNvPr id="62" name="Imagen 61">
          <a:extLst>
            <a:ext uri="{FF2B5EF4-FFF2-40B4-BE49-F238E27FC236}">
              <a16:creationId xmlns:a16="http://schemas.microsoft.com/office/drawing/2014/main" id="{6775262E-67AC-4D13-8730-3E7FDA556E2B}"/>
            </a:ext>
          </a:extLst>
        </xdr:cNvPr>
        <xdr:cNvPicPr>
          <a:picLocks noChangeAspect="1"/>
        </xdr:cNvPicPr>
      </xdr:nvPicPr>
      <xdr:blipFill>
        <a:blip xmlns:r="http://schemas.openxmlformats.org/officeDocument/2006/relationships" r:embed="rId53"/>
        <a:stretch>
          <a:fillRect/>
        </a:stretch>
      </xdr:blipFill>
      <xdr:spPr>
        <a:xfrm>
          <a:off x="9022101" y="47601504"/>
          <a:ext cx="923269" cy="1159782"/>
        </a:xfrm>
        <a:prstGeom prst="rect">
          <a:avLst/>
        </a:prstGeom>
      </xdr:spPr>
    </xdr:pic>
    <xdr:clientData/>
  </xdr:twoCellAnchor>
  <xdr:twoCellAnchor editAs="oneCell">
    <xdr:from>
      <xdr:col>4</xdr:col>
      <xdr:colOff>99061</xdr:colOff>
      <xdr:row>41</xdr:row>
      <xdr:rowOff>99695</xdr:rowOff>
    </xdr:from>
    <xdr:to>
      <xdr:col>4</xdr:col>
      <xdr:colOff>2192021</xdr:colOff>
      <xdr:row>41</xdr:row>
      <xdr:rowOff>566237</xdr:rowOff>
    </xdr:to>
    <xdr:pic>
      <xdr:nvPicPr>
        <xdr:cNvPr id="63" name="Imagen 62">
          <a:extLst>
            <a:ext uri="{FF2B5EF4-FFF2-40B4-BE49-F238E27FC236}">
              <a16:creationId xmlns:a16="http://schemas.microsoft.com/office/drawing/2014/main" id="{01019590-D6F4-4D84-8836-659A8EB6C504}"/>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9033511" y="42371645"/>
          <a:ext cx="2092960" cy="4665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41</xdr:row>
      <xdr:rowOff>606577</xdr:rowOff>
    </xdr:from>
    <xdr:to>
      <xdr:col>5</xdr:col>
      <xdr:colOff>2222</xdr:colOff>
      <xdr:row>41</xdr:row>
      <xdr:rowOff>1032328</xdr:rowOff>
    </xdr:to>
    <xdr:pic>
      <xdr:nvPicPr>
        <xdr:cNvPr id="64" name="Imagen 63">
          <a:extLst>
            <a:ext uri="{FF2B5EF4-FFF2-40B4-BE49-F238E27FC236}">
              <a16:creationId xmlns:a16="http://schemas.microsoft.com/office/drawing/2014/main" id="{28D43805-DD64-4F4E-B547-4418384758EC}"/>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9010650" y="42878527"/>
          <a:ext cx="2145347" cy="425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1326379</xdr:colOff>
      <xdr:row>27</xdr:row>
      <xdr:rowOff>287655</xdr:rowOff>
    </xdr:from>
    <xdr:to>
      <xdr:col>5</xdr:col>
      <xdr:colOff>0</xdr:colOff>
      <xdr:row>27</xdr:row>
      <xdr:rowOff>889635</xdr:rowOff>
    </xdr:to>
    <xdr:pic>
      <xdr:nvPicPr>
        <xdr:cNvPr id="65" name="Imagen 64">
          <a:extLst>
            <a:ext uri="{FF2B5EF4-FFF2-40B4-BE49-F238E27FC236}">
              <a16:creationId xmlns:a16="http://schemas.microsoft.com/office/drawing/2014/main" id="{0FF68F83-EC80-4BCF-A1EC-384BEB34B388}"/>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10260829" y="28024455"/>
          <a:ext cx="892946"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373380</xdr:colOff>
      <xdr:row>35</xdr:row>
      <xdr:rowOff>134476</xdr:rowOff>
    </xdr:from>
    <xdr:to>
      <xdr:col>4</xdr:col>
      <xdr:colOff>1939925</xdr:colOff>
      <xdr:row>35</xdr:row>
      <xdr:rowOff>979805</xdr:rowOff>
    </xdr:to>
    <xdr:pic>
      <xdr:nvPicPr>
        <xdr:cNvPr id="66" name="Imagen 65">
          <a:extLst>
            <a:ext uri="{FF2B5EF4-FFF2-40B4-BE49-F238E27FC236}">
              <a16:creationId xmlns:a16="http://schemas.microsoft.com/office/drawing/2014/main" id="{39BB097B-7923-4D69-B5DD-A1DC6E3683D8}"/>
            </a:ext>
          </a:extLst>
        </xdr:cNvPr>
        <xdr:cNvPicPr>
          <a:picLocks noChangeAspect="1"/>
        </xdr:cNvPicPr>
      </xdr:nvPicPr>
      <xdr:blipFill>
        <a:blip xmlns:r="http://schemas.openxmlformats.org/officeDocument/2006/relationships" r:embed="rId57"/>
        <a:stretch>
          <a:fillRect/>
        </a:stretch>
      </xdr:blipFill>
      <xdr:spPr>
        <a:xfrm>
          <a:off x="9307830" y="36177076"/>
          <a:ext cx="1566545" cy="845329"/>
        </a:xfrm>
        <a:prstGeom prst="rect">
          <a:avLst/>
        </a:prstGeom>
      </xdr:spPr>
    </xdr:pic>
    <xdr:clientData/>
  </xdr:twoCellAnchor>
  <xdr:twoCellAnchor editAs="oneCell">
    <xdr:from>
      <xdr:col>4</xdr:col>
      <xdr:colOff>704850</xdr:colOff>
      <xdr:row>36</xdr:row>
      <xdr:rowOff>86360</xdr:rowOff>
    </xdr:from>
    <xdr:to>
      <xdr:col>4</xdr:col>
      <xdr:colOff>1673225</xdr:colOff>
      <xdr:row>36</xdr:row>
      <xdr:rowOff>991235</xdr:rowOff>
    </xdr:to>
    <xdr:pic>
      <xdr:nvPicPr>
        <xdr:cNvPr id="67" name="Imagen 66">
          <a:extLst>
            <a:ext uri="{FF2B5EF4-FFF2-40B4-BE49-F238E27FC236}">
              <a16:creationId xmlns:a16="http://schemas.microsoft.com/office/drawing/2014/main" id="{BC50F224-98C4-46DA-9D26-4429BB385163}"/>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9639300" y="37167185"/>
          <a:ext cx="968375"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1120140</xdr:colOff>
      <xdr:row>55</xdr:row>
      <xdr:rowOff>90524</xdr:rowOff>
    </xdr:from>
    <xdr:to>
      <xdr:col>5</xdr:col>
      <xdr:colOff>1752</xdr:colOff>
      <xdr:row>55</xdr:row>
      <xdr:rowOff>613274</xdr:rowOff>
    </xdr:to>
    <xdr:pic>
      <xdr:nvPicPr>
        <xdr:cNvPr id="68" name="Imagen 67">
          <a:extLst>
            <a:ext uri="{FF2B5EF4-FFF2-40B4-BE49-F238E27FC236}">
              <a16:creationId xmlns:a16="http://schemas.microsoft.com/office/drawing/2014/main" id="{316E1CCA-CFFD-4AF1-8C60-1333B7CE4EB4}"/>
            </a:ext>
          </a:extLst>
        </xdr:cNvPr>
        <xdr:cNvPicPr>
          <a:picLocks noChangeAspect="1"/>
        </xdr:cNvPicPr>
      </xdr:nvPicPr>
      <xdr:blipFill>
        <a:blip xmlns:r="http://schemas.openxmlformats.org/officeDocument/2006/relationships" r:embed="rId47"/>
        <a:stretch>
          <a:fillRect/>
        </a:stretch>
      </xdr:blipFill>
      <xdr:spPr>
        <a:xfrm>
          <a:off x="10054590" y="57297674"/>
          <a:ext cx="1100937" cy="522750"/>
        </a:xfrm>
        <a:prstGeom prst="rect">
          <a:avLst/>
        </a:prstGeom>
      </xdr:spPr>
    </xdr:pic>
    <xdr:clientData/>
  </xdr:twoCellAnchor>
  <xdr:twoCellAnchor editAs="oneCell">
    <xdr:from>
      <xdr:col>4</xdr:col>
      <xdr:colOff>88900</xdr:colOff>
      <xdr:row>55</xdr:row>
      <xdr:rowOff>57149</xdr:rowOff>
    </xdr:from>
    <xdr:to>
      <xdr:col>4</xdr:col>
      <xdr:colOff>1102041</xdr:colOff>
      <xdr:row>56</xdr:row>
      <xdr:rowOff>9525</xdr:rowOff>
    </xdr:to>
    <xdr:pic>
      <xdr:nvPicPr>
        <xdr:cNvPr id="69" name="Picture 11">
          <a:extLst>
            <a:ext uri="{FF2B5EF4-FFF2-40B4-BE49-F238E27FC236}">
              <a16:creationId xmlns:a16="http://schemas.microsoft.com/office/drawing/2014/main" id="{FD0FDEDE-04E6-4B9A-82DD-3920F07F86D7}"/>
            </a:ext>
          </a:extLst>
        </xdr:cNvPr>
        <xdr:cNvPicPr>
          <a:picLocks noChangeAspect="1"/>
        </xdr:cNvPicPr>
      </xdr:nvPicPr>
      <xdr:blipFill>
        <a:blip xmlns:r="http://schemas.openxmlformats.org/officeDocument/2006/relationships" r:embed="rId59"/>
        <a:stretch>
          <a:fillRect/>
        </a:stretch>
      </xdr:blipFill>
      <xdr:spPr>
        <a:xfrm>
          <a:off x="9023350" y="57264299"/>
          <a:ext cx="1013141" cy="1057276"/>
        </a:xfrm>
        <a:prstGeom prst="rect">
          <a:avLst/>
        </a:prstGeom>
      </xdr:spPr>
    </xdr:pic>
    <xdr:clientData/>
  </xdr:twoCellAnchor>
  <xdr:twoCellAnchor editAs="oneCell">
    <xdr:from>
      <xdr:col>4</xdr:col>
      <xdr:colOff>1032509</xdr:colOff>
      <xdr:row>56</xdr:row>
      <xdr:rowOff>76834</xdr:rowOff>
    </xdr:from>
    <xdr:to>
      <xdr:col>5</xdr:col>
      <xdr:colOff>1269</xdr:colOff>
      <xdr:row>57</xdr:row>
      <xdr:rowOff>19231</xdr:rowOff>
    </xdr:to>
    <xdr:pic>
      <xdr:nvPicPr>
        <xdr:cNvPr id="70" name="Imagen 69">
          <a:extLst>
            <a:ext uri="{FF2B5EF4-FFF2-40B4-BE49-F238E27FC236}">
              <a16:creationId xmlns:a16="http://schemas.microsoft.com/office/drawing/2014/main" id="{F320A39B-5F02-4957-9C2A-B0AFE7CF5B95}"/>
            </a:ext>
          </a:extLst>
        </xdr:cNvPr>
        <xdr:cNvPicPr>
          <a:picLocks noChangeAspect="1"/>
        </xdr:cNvPicPr>
      </xdr:nvPicPr>
      <xdr:blipFill>
        <a:blip xmlns:r="http://schemas.openxmlformats.org/officeDocument/2006/relationships" r:embed="rId60">
          <a:clrChange>
            <a:clrFrom>
              <a:srgbClr val="FFFFFF"/>
            </a:clrFrom>
            <a:clrTo>
              <a:srgbClr val="FFFFFF">
                <a:alpha val="0"/>
              </a:srgbClr>
            </a:clrTo>
          </a:clrChange>
        </a:blip>
        <a:stretch>
          <a:fillRect/>
        </a:stretch>
      </xdr:blipFill>
      <xdr:spPr>
        <a:xfrm>
          <a:off x="9966959" y="58388884"/>
          <a:ext cx="1188085" cy="980622"/>
        </a:xfrm>
        <a:prstGeom prst="rect">
          <a:avLst/>
        </a:prstGeom>
      </xdr:spPr>
    </xdr:pic>
    <xdr:clientData/>
  </xdr:twoCellAnchor>
  <xdr:twoCellAnchor editAs="oneCell">
    <xdr:from>
      <xdr:col>4</xdr:col>
      <xdr:colOff>29210</xdr:colOff>
      <xdr:row>56</xdr:row>
      <xdr:rowOff>135676</xdr:rowOff>
    </xdr:from>
    <xdr:to>
      <xdr:col>4</xdr:col>
      <xdr:colOff>949645</xdr:colOff>
      <xdr:row>56</xdr:row>
      <xdr:rowOff>900701</xdr:rowOff>
    </xdr:to>
    <xdr:pic>
      <xdr:nvPicPr>
        <xdr:cNvPr id="71" name="Imagen 70">
          <a:extLst>
            <a:ext uri="{FF2B5EF4-FFF2-40B4-BE49-F238E27FC236}">
              <a16:creationId xmlns:a16="http://schemas.microsoft.com/office/drawing/2014/main" id="{382DAD0C-5A5D-446B-B1EA-B97E5499E5AE}"/>
            </a:ext>
          </a:extLst>
        </xdr:cNvPr>
        <xdr:cNvPicPr>
          <a:picLocks noChangeAspect="1"/>
        </xdr:cNvPicPr>
      </xdr:nvPicPr>
      <xdr:blipFill>
        <a:blip xmlns:r="http://schemas.openxmlformats.org/officeDocument/2006/relationships" r:embed="rId61"/>
        <a:stretch>
          <a:fillRect/>
        </a:stretch>
      </xdr:blipFill>
      <xdr:spPr>
        <a:xfrm>
          <a:off x="8963660" y="58447726"/>
          <a:ext cx="920435" cy="765025"/>
        </a:xfrm>
        <a:prstGeom prst="rect">
          <a:avLst/>
        </a:prstGeom>
      </xdr:spPr>
    </xdr:pic>
    <xdr:clientData/>
  </xdr:twoCellAnchor>
  <xdr:twoCellAnchor editAs="oneCell">
    <xdr:from>
      <xdr:col>4</xdr:col>
      <xdr:colOff>71121</xdr:colOff>
      <xdr:row>70</xdr:row>
      <xdr:rowOff>685801</xdr:rowOff>
    </xdr:from>
    <xdr:to>
      <xdr:col>5</xdr:col>
      <xdr:colOff>1588</xdr:colOff>
      <xdr:row>72</xdr:row>
      <xdr:rowOff>48803</xdr:rowOff>
    </xdr:to>
    <xdr:pic>
      <xdr:nvPicPr>
        <xdr:cNvPr id="72" name="Imagen 71">
          <a:extLst>
            <a:ext uri="{FF2B5EF4-FFF2-40B4-BE49-F238E27FC236}">
              <a16:creationId xmlns:a16="http://schemas.microsoft.com/office/drawing/2014/main" id="{F7D0BBB6-399D-4A69-9898-F4C84A6809B4}"/>
            </a:ext>
          </a:extLst>
        </xdr:cNvPr>
        <xdr:cNvPicPr>
          <a:picLocks noChangeAspect="1"/>
        </xdr:cNvPicPr>
      </xdr:nvPicPr>
      <xdr:blipFill>
        <a:blip xmlns:r="http://schemas.openxmlformats.org/officeDocument/2006/relationships" r:embed="rId62"/>
        <a:stretch>
          <a:fillRect/>
        </a:stretch>
      </xdr:blipFill>
      <xdr:spPr>
        <a:xfrm>
          <a:off x="9005571" y="74218801"/>
          <a:ext cx="2149792" cy="1439452"/>
        </a:xfrm>
        <a:prstGeom prst="rect">
          <a:avLst/>
        </a:prstGeom>
      </xdr:spPr>
    </xdr:pic>
    <xdr:clientData/>
  </xdr:twoCellAnchor>
  <xdr:twoCellAnchor editAs="oneCell">
    <xdr:from>
      <xdr:col>4</xdr:col>
      <xdr:colOff>52706</xdr:colOff>
      <xdr:row>58</xdr:row>
      <xdr:rowOff>164465</xdr:rowOff>
    </xdr:from>
    <xdr:to>
      <xdr:col>5</xdr:col>
      <xdr:colOff>1589</xdr:colOff>
      <xdr:row>61</xdr:row>
      <xdr:rowOff>887878</xdr:rowOff>
    </xdr:to>
    <xdr:pic>
      <xdr:nvPicPr>
        <xdr:cNvPr id="73" name="Imagen 72">
          <a:extLst>
            <a:ext uri="{FF2B5EF4-FFF2-40B4-BE49-F238E27FC236}">
              <a16:creationId xmlns:a16="http://schemas.microsoft.com/office/drawing/2014/main" id="{03A4D382-B1E2-475E-AFCF-B16D221EE19D}"/>
            </a:ext>
          </a:extLst>
        </xdr:cNvPr>
        <xdr:cNvPicPr>
          <a:picLocks noChangeAspect="1"/>
        </xdr:cNvPicPr>
      </xdr:nvPicPr>
      <xdr:blipFill>
        <a:blip xmlns:r="http://schemas.openxmlformats.org/officeDocument/2006/relationships" r:embed="rId63"/>
        <a:stretch>
          <a:fillRect/>
        </a:stretch>
      </xdr:blipFill>
      <xdr:spPr>
        <a:xfrm>
          <a:off x="8987156" y="60552965"/>
          <a:ext cx="2168208" cy="3838088"/>
        </a:xfrm>
        <a:prstGeom prst="rect">
          <a:avLst/>
        </a:prstGeom>
      </xdr:spPr>
    </xdr:pic>
    <xdr:clientData/>
  </xdr:twoCellAnchor>
  <xdr:twoCellAnchor editAs="oneCell">
    <xdr:from>
      <xdr:col>4</xdr:col>
      <xdr:colOff>142240</xdr:colOff>
      <xdr:row>62</xdr:row>
      <xdr:rowOff>182880</xdr:rowOff>
    </xdr:from>
    <xdr:to>
      <xdr:col>4</xdr:col>
      <xdr:colOff>2206625</xdr:colOff>
      <xdr:row>62</xdr:row>
      <xdr:rowOff>886821</xdr:rowOff>
    </xdr:to>
    <xdr:pic>
      <xdr:nvPicPr>
        <xdr:cNvPr id="74" name="Imagen 73">
          <a:extLst>
            <a:ext uri="{FF2B5EF4-FFF2-40B4-BE49-F238E27FC236}">
              <a16:creationId xmlns:a16="http://schemas.microsoft.com/office/drawing/2014/main" id="{E56700DC-759F-42F3-BD16-D919686B837A}"/>
            </a:ext>
          </a:extLst>
        </xdr:cNvPr>
        <xdr:cNvPicPr>
          <a:picLocks noChangeAspect="1"/>
        </xdr:cNvPicPr>
      </xdr:nvPicPr>
      <xdr:blipFill>
        <a:blip xmlns:r="http://schemas.openxmlformats.org/officeDocument/2006/relationships" r:embed="rId64"/>
        <a:stretch>
          <a:fillRect/>
        </a:stretch>
      </xdr:blipFill>
      <xdr:spPr>
        <a:xfrm>
          <a:off x="9076690" y="64724280"/>
          <a:ext cx="2064385" cy="703941"/>
        </a:xfrm>
        <a:prstGeom prst="rect">
          <a:avLst/>
        </a:prstGeom>
      </xdr:spPr>
    </xdr:pic>
    <xdr:clientData/>
  </xdr:twoCellAnchor>
  <xdr:twoCellAnchor editAs="oneCell">
    <xdr:from>
      <xdr:col>4</xdr:col>
      <xdr:colOff>103505</xdr:colOff>
      <xdr:row>73</xdr:row>
      <xdr:rowOff>124460</xdr:rowOff>
    </xdr:from>
    <xdr:to>
      <xdr:col>4</xdr:col>
      <xdr:colOff>2209800</xdr:colOff>
      <xdr:row>73</xdr:row>
      <xdr:rowOff>983977</xdr:rowOff>
    </xdr:to>
    <xdr:pic>
      <xdr:nvPicPr>
        <xdr:cNvPr id="75" name="Imagen 74">
          <a:extLst>
            <a:ext uri="{FF2B5EF4-FFF2-40B4-BE49-F238E27FC236}">
              <a16:creationId xmlns:a16="http://schemas.microsoft.com/office/drawing/2014/main" id="{A9D48898-3B6F-4E18-BF5C-87985E10010A}"/>
            </a:ext>
          </a:extLst>
        </xdr:cNvPr>
        <xdr:cNvPicPr>
          <a:picLocks noChangeAspect="1"/>
        </xdr:cNvPicPr>
      </xdr:nvPicPr>
      <xdr:blipFill>
        <a:blip xmlns:r="http://schemas.openxmlformats.org/officeDocument/2006/relationships" r:embed="rId65"/>
        <a:stretch>
          <a:fillRect/>
        </a:stretch>
      </xdr:blipFill>
      <xdr:spPr>
        <a:xfrm>
          <a:off x="9037955" y="76772135"/>
          <a:ext cx="2106295" cy="859517"/>
        </a:xfrm>
        <a:prstGeom prst="rect">
          <a:avLst/>
        </a:prstGeom>
      </xdr:spPr>
    </xdr:pic>
    <xdr:clientData/>
  </xdr:twoCellAnchor>
  <xdr:twoCellAnchor editAs="oneCell">
    <xdr:from>
      <xdr:col>4</xdr:col>
      <xdr:colOff>153036</xdr:colOff>
      <xdr:row>64</xdr:row>
      <xdr:rowOff>646430</xdr:rowOff>
    </xdr:from>
    <xdr:to>
      <xdr:col>4</xdr:col>
      <xdr:colOff>2209800</xdr:colOff>
      <xdr:row>67</xdr:row>
      <xdr:rowOff>336277</xdr:rowOff>
    </xdr:to>
    <xdr:pic>
      <xdr:nvPicPr>
        <xdr:cNvPr id="76" name="Imagen 75">
          <a:extLst>
            <a:ext uri="{FF2B5EF4-FFF2-40B4-BE49-F238E27FC236}">
              <a16:creationId xmlns:a16="http://schemas.microsoft.com/office/drawing/2014/main" id="{C61D400B-E46B-4C9E-92BC-099B4DECD5E4}"/>
            </a:ext>
          </a:extLst>
        </xdr:cNvPr>
        <xdr:cNvPicPr>
          <a:picLocks noChangeAspect="1"/>
        </xdr:cNvPicPr>
      </xdr:nvPicPr>
      <xdr:blipFill>
        <a:blip xmlns:r="http://schemas.openxmlformats.org/officeDocument/2006/relationships" r:embed="rId66"/>
        <a:stretch>
          <a:fillRect/>
        </a:stretch>
      </xdr:blipFill>
      <xdr:spPr>
        <a:xfrm>
          <a:off x="9087486" y="67950080"/>
          <a:ext cx="2056764" cy="2804522"/>
        </a:xfrm>
        <a:prstGeom prst="rect">
          <a:avLst/>
        </a:prstGeom>
      </xdr:spPr>
    </xdr:pic>
    <xdr:clientData/>
  </xdr:twoCellAnchor>
  <xdr:oneCellAnchor>
    <xdr:from>
      <xdr:col>4</xdr:col>
      <xdr:colOff>142240</xdr:colOff>
      <xdr:row>63</xdr:row>
      <xdr:rowOff>182880</xdr:rowOff>
    </xdr:from>
    <xdr:ext cx="2064385" cy="703941"/>
    <xdr:pic>
      <xdr:nvPicPr>
        <xdr:cNvPr id="77" name="Imagen 76">
          <a:extLst>
            <a:ext uri="{FF2B5EF4-FFF2-40B4-BE49-F238E27FC236}">
              <a16:creationId xmlns:a16="http://schemas.microsoft.com/office/drawing/2014/main" id="{F99E65D3-0172-4482-AC8C-CA9056D99E01}"/>
            </a:ext>
          </a:extLst>
        </xdr:cNvPr>
        <xdr:cNvPicPr>
          <a:picLocks noChangeAspect="1"/>
        </xdr:cNvPicPr>
      </xdr:nvPicPr>
      <xdr:blipFill>
        <a:blip xmlns:r="http://schemas.openxmlformats.org/officeDocument/2006/relationships" r:embed="rId64"/>
        <a:stretch>
          <a:fillRect/>
        </a:stretch>
      </xdr:blipFill>
      <xdr:spPr>
        <a:xfrm>
          <a:off x="9076690" y="66105405"/>
          <a:ext cx="2064385" cy="703941"/>
        </a:xfrm>
        <a:prstGeom prst="rect">
          <a:avLst/>
        </a:prstGeom>
      </xdr:spPr>
    </xdr:pic>
    <xdr:clientData/>
  </xdr:oneCellAnchor>
  <xdr:oneCellAnchor>
    <xdr:from>
      <xdr:col>4</xdr:col>
      <xdr:colOff>125367</xdr:colOff>
      <xdr:row>5</xdr:row>
      <xdr:rowOff>109854</xdr:rowOff>
    </xdr:from>
    <xdr:ext cx="2081258" cy="859944"/>
    <xdr:pic>
      <xdr:nvPicPr>
        <xdr:cNvPr id="78" name="Imagen 77">
          <a:extLst>
            <a:ext uri="{FF2B5EF4-FFF2-40B4-BE49-F238E27FC236}">
              <a16:creationId xmlns:a16="http://schemas.microsoft.com/office/drawing/2014/main" id="{7121C904-1C2C-44CE-A31D-76AA13EA1B17}"/>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9059817" y="5005704"/>
          <a:ext cx="2081258" cy="85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468085</xdr:colOff>
      <xdr:row>57</xdr:row>
      <xdr:rowOff>119743</xdr:rowOff>
    </xdr:from>
    <xdr:to>
      <xdr:col>4</xdr:col>
      <xdr:colOff>1774370</xdr:colOff>
      <xdr:row>57</xdr:row>
      <xdr:rowOff>973358</xdr:rowOff>
    </xdr:to>
    <xdr:pic>
      <xdr:nvPicPr>
        <xdr:cNvPr id="79" name="Imagen 1" descr="Clustering Jerárquico con Python | JacobSoft">
          <a:extLst>
            <a:ext uri="{FF2B5EF4-FFF2-40B4-BE49-F238E27FC236}">
              <a16:creationId xmlns:a16="http://schemas.microsoft.com/office/drawing/2014/main" id="{155D7972-F953-4B58-9A95-4411D7C7038E}"/>
            </a:ext>
          </a:extLst>
        </xdr:cNvPr>
        <xdr:cNvPicPr>
          <a:picLocks noChangeAspect="1" noChangeArrowheads="1"/>
        </xdr:cNvPicPr>
      </xdr:nvPicPr>
      <xdr:blipFill>
        <a:blip xmlns:r="http://schemas.openxmlformats.org/officeDocument/2006/relationships" r:embed="rId67" cstate="print">
          <a:extLst>
            <a:ext uri="{28A0092B-C50C-407E-A947-70E740481C1C}">
              <a14:useLocalDpi xmlns:a14="http://schemas.microsoft.com/office/drawing/2010/main" val="0"/>
            </a:ext>
          </a:extLst>
        </a:blip>
        <a:srcRect/>
        <a:stretch>
          <a:fillRect/>
        </a:stretch>
      </xdr:blipFill>
      <xdr:spPr bwMode="auto">
        <a:xfrm>
          <a:off x="9402535" y="59470018"/>
          <a:ext cx="1306285" cy="8536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400050</xdr:colOff>
          <xdr:row>143</xdr:row>
          <xdr:rowOff>171450</xdr:rowOff>
        </xdr:from>
        <xdr:to>
          <xdr:col>4</xdr:col>
          <xdr:colOff>1562100</xdr:colOff>
          <xdr:row>145</xdr:row>
          <xdr:rowOff>0</xdr:rowOff>
        </xdr:to>
        <xdr:sp macro="" textlink="">
          <xdr:nvSpPr>
            <xdr:cNvPr id="39958" name="Button 22" hidden="1">
              <a:extLst>
                <a:ext uri="{63B3BB69-23CF-44E3-9099-C40C66FF867C}">
                  <a14:compatExt spid="_x0000_s39958"/>
                </a:ext>
                <a:ext uri="{FF2B5EF4-FFF2-40B4-BE49-F238E27FC236}">
                  <a16:creationId xmlns:a16="http://schemas.microsoft.com/office/drawing/2014/main" id="{00000000-0008-0000-0600-0000169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CO" sz="1100" b="0" i="0" u="none" strike="noStrike" baseline="0">
                  <a:solidFill>
                    <a:srgbClr val="000000"/>
                  </a:solidFill>
                  <a:latin typeface="Calibri"/>
                  <a:ea typeface="Calibri"/>
                  <a:cs typeface="Calibri"/>
                </a:rPr>
                <a:t>Cal. Meta OP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145</xdr:row>
          <xdr:rowOff>47625</xdr:rowOff>
        </xdr:from>
        <xdr:to>
          <xdr:col>4</xdr:col>
          <xdr:colOff>1552575</xdr:colOff>
          <xdr:row>146</xdr:row>
          <xdr:rowOff>85725</xdr:rowOff>
        </xdr:to>
        <xdr:sp macro="" textlink="">
          <xdr:nvSpPr>
            <xdr:cNvPr id="39959" name="Button 23" hidden="1">
              <a:extLst>
                <a:ext uri="{63B3BB69-23CF-44E3-9099-C40C66FF867C}">
                  <a14:compatExt spid="_x0000_s39959"/>
                </a:ext>
                <a:ext uri="{FF2B5EF4-FFF2-40B4-BE49-F238E27FC236}">
                  <a16:creationId xmlns:a16="http://schemas.microsoft.com/office/drawing/2014/main" id="{00000000-0008-0000-0600-0000179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CO" sz="1100" b="0" i="0" u="none" strike="noStrike" baseline="0">
                  <a:solidFill>
                    <a:srgbClr val="000000"/>
                  </a:solidFill>
                  <a:latin typeface="Calibri"/>
                  <a:ea typeface="Calibri"/>
                  <a:cs typeface="Calibri"/>
                </a:rPr>
                <a:t>Cal. Meta GM</a:t>
              </a:r>
            </a:p>
          </xdr:txBody>
        </xdr:sp>
        <xdr:clientData fPrintsWithSheet="0"/>
      </xdr:twoCellAnchor>
    </mc:Choice>
    <mc:Fallback/>
  </mc:AlternateContent>
  <xdr:twoCellAnchor editAs="oneCell">
    <xdr:from>
      <xdr:col>10</xdr:col>
      <xdr:colOff>212911</xdr:colOff>
      <xdr:row>68</xdr:row>
      <xdr:rowOff>78441</xdr:rowOff>
    </xdr:from>
    <xdr:to>
      <xdr:col>14</xdr:col>
      <xdr:colOff>88198</xdr:colOff>
      <xdr:row>70</xdr:row>
      <xdr:rowOff>134494</xdr:rowOff>
    </xdr:to>
    <xdr:pic>
      <xdr:nvPicPr>
        <xdr:cNvPr id="2" name="Imagen 1">
          <a:extLst>
            <a:ext uri="{FF2B5EF4-FFF2-40B4-BE49-F238E27FC236}">
              <a16:creationId xmlns:a16="http://schemas.microsoft.com/office/drawing/2014/main" id="{FFA0511B-110A-82B2-9D3F-78AB2AE9FAF6}"/>
            </a:ext>
          </a:extLst>
        </xdr:cNvPr>
        <xdr:cNvPicPr>
          <a:picLocks noChangeAspect="1"/>
        </xdr:cNvPicPr>
      </xdr:nvPicPr>
      <xdr:blipFill>
        <a:blip xmlns:r="http://schemas.openxmlformats.org/officeDocument/2006/relationships" r:embed="rId1"/>
        <a:stretch>
          <a:fillRect/>
        </a:stretch>
      </xdr:blipFill>
      <xdr:spPr>
        <a:xfrm>
          <a:off x="17021735" y="15251206"/>
          <a:ext cx="4343259" cy="459465"/>
        </a:xfrm>
        <a:prstGeom prst="rect">
          <a:avLst/>
        </a:prstGeom>
      </xdr:spPr>
    </xdr:pic>
    <xdr:clientData/>
  </xdr:twoCellAnchor>
  <xdr:twoCellAnchor editAs="oneCell">
    <xdr:from>
      <xdr:col>10</xdr:col>
      <xdr:colOff>810557</xdr:colOff>
      <xdr:row>51</xdr:row>
      <xdr:rowOff>108322</xdr:rowOff>
    </xdr:from>
    <xdr:to>
      <xdr:col>12</xdr:col>
      <xdr:colOff>1077962</xdr:colOff>
      <xdr:row>62</xdr:row>
      <xdr:rowOff>74066</xdr:rowOff>
    </xdr:to>
    <xdr:pic>
      <xdr:nvPicPr>
        <xdr:cNvPr id="5" name="Imagen 4">
          <a:extLst>
            <a:ext uri="{FF2B5EF4-FFF2-40B4-BE49-F238E27FC236}">
              <a16:creationId xmlns:a16="http://schemas.microsoft.com/office/drawing/2014/main" id="{D027A2F6-E392-679A-82F6-98C2F6F2C9EA}"/>
            </a:ext>
          </a:extLst>
        </xdr:cNvPr>
        <xdr:cNvPicPr>
          <a:picLocks noChangeAspect="1"/>
        </xdr:cNvPicPr>
      </xdr:nvPicPr>
      <xdr:blipFill>
        <a:blip xmlns:r="http://schemas.openxmlformats.org/officeDocument/2006/relationships" r:embed="rId2"/>
        <a:stretch>
          <a:fillRect/>
        </a:stretch>
      </xdr:blipFill>
      <xdr:spPr>
        <a:xfrm>
          <a:off x="17697822" y="12378763"/>
          <a:ext cx="2684700" cy="21845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939800</xdr:colOff>
      <xdr:row>170</xdr:row>
      <xdr:rowOff>76200</xdr:rowOff>
    </xdr:from>
    <xdr:to>
      <xdr:col>10</xdr:col>
      <xdr:colOff>918391</xdr:colOff>
      <xdr:row>185</xdr:row>
      <xdr:rowOff>179023</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8159750" y="26889075"/>
          <a:ext cx="4936075" cy="29603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939800</xdr:colOff>
      <xdr:row>167</xdr:row>
      <xdr:rowOff>76200</xdr:rowOff>
    </xdr:from>
    <xdr:to>
      <xdr:col>10</xdr:col>
      <xdr:colOff>402921</xdr:colOff>
      <xdr:row>182</xdr:row>
      <xdr:rowOff>179023</xdr:rowOff>
    </xdr:to>
    <xdr:pic>
      <xdr:nvPicPr>
        <xdr:cNvPr id="2" name="Imagen 1">
          <a:extLst>
            <a:ext uri="{FF2B5EF4-FFF2-40B4-BE49-F238E27FC236}">
              <a16:creationId xmlns:a16="http://schemas.microsoft.com/office/drawing/2014/main" id="{B5CB03F7-AC2D-4882-8781-EC1DF653AD28}"/>
            </a:ext>
          </a:extLst>
        </xdr:cNvPr>
        <xdr:cNvPicPr>
          <a:picLocks noChangeAspect="1"/>
        </xdr:cNvPicPr>
      </xdr:nvPicPr>
      <xdr:blipFill>
        <a:blip xmlns:r="http://schemas.openxmlformats.org/officeDocument/2006/relationships" r:embed="rId1"/>
        <a:stretch>
          <a:fillRect/>
        </a:stretch>
      </xdr:blipFill>
      <xdr:spPr>
        <a:xfrm>
          <a:off x="12014200" y="42716450"/>
          <a:ext cx="5197171" cy="2865073"/>
        </a:xfrm>
        <a:prstGeom prst="rect">
          <a:avLst/>
        </a:prstGeom>
      </xdr:spPr>
    </xdr:pic>
    <xdr:clientData/>
  </xdr:twoCellAnchor>
  <xdr:twoCellAnchor editAs="oneCell">
    <xdr:from>
      <xdr:col>8</xdr:col>
      <xdr:colOff>526676</xdr:colOff>
      <xdr:row>57</xdr:row>
      <xdr:rowOff>89647</xdr:rowOff>
    </xdr:from>
    <xdr:to>
      <xdr:col>14</xdr:col>
      <xdr:colOff>245807</xdr:colOff>
      <xdr:row>65</xdr:row>
      <xdr:rowOff>516420</xdr:rowOff>
    </xdr:to>
    <xdr:pic>
      <xdr:nvPicPr>
        <xdr:cNvPr id="3" name="Imagen 2">
          <a:extLst>
            <a:ext uri="{FF2B5EF4-FFF2-40B4-BE49-F238E27FC236}">
              <a16:creationId xmlns:a16="http://schemas.microsoft.com/office/drawing/2014/main" id="{615E2184-6FC1-47FA-981E-061F1CF9D5E3}"/>
            </a:ext>
          </a:extLst>
        </xdr:cNvPr>
        <xdr:cNvPicPr>
          <a:picLocks noChangeAspect="1"/>
        </xdr:cNvPicPr>
      </xdr:nvPicPr>
      <xdr:blipFill>
        <a:blip xmlns:r="http://schemas.openxmlformats.org/officeDocument/2006/relationships" r:embed="rId2"/>
        <a:stretch>
          <a:fillRect/>
        </a:stretch>
      </xdr:blipFill>
      <xdr:spPr>
        <a:xfrm>
          <a:off x="13570323" y="13189323"/>
          <a:ext cx="6868484" cy="27912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16</xdr:row>
      <xdr:rowOff>85725</xdr:rowOff>
    </xdr:from>
    <xdr:to>
      <xdr:col>3</xdr:col>
      <xdr:colOff>0</xdr:colOff>
      <xdr:row>16</xdr:row>
      <xdr:rowOff>1323975</xdr:rowOff>
    </xdr:to>
    <xdr:pic>
      <xdr:nvPicPr>
        <xdr:cNvPr id="2" name="Picture 1" descr="Moderna BC1">
          <a:extLst>
            <a:ext uri="{FF2B5EF4-FFF2-40B4-BE49-F238E27FC236}">
              <a16:creationId xmlns:a16="http://schemas.microsoft.com/office/drawing/2014/main" id="{D1B60F30-7566-4DB9-A317-C5854786CD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91375" y="9715500"/>
          <a:ext cx="0" cy="1238250"/>
        </a:xfrm>
        <a:prstGeom prst="rect">
          <a:avLst/>
        </a:prstGeom>
        <a:noFill/>
        <a:ln w="9525">
          <a:noFill/>
          <a:miter lim="800000"/>
          <a:headEnd/>
          <a:tailEnd/>
        </a:ln>
      </xdr:spPr>
    </xdr:pic>
    <xdr:clientData/>
  </xdr:twoCellAnchor>
  <xdr:twoCellAnchor>
    <xdr:from>
      <xdr:col>6</xdr:col>
      <xdr:colOff>0</xdr:colOff>
      <xdr:row>16</xdr:row>
      <xdr:rowOff>38100</xdr:rowOff>
    </xdr:from>
    <xdr:to>
      <xdr:col>6</xdr:col>
      <xdr:colOff>0</xdr:colOff>
      <xdr:row>16</xdr:row>
      <xdr:rowOff>1238250</xdr:rowOff>
    </xdr:to>
    <xdr:pic>
      <xdr:nvPicPr>
        <xdr:cNvPr id="3" name="Picture 2" descr="DSCN0007 (1)">
          <a:extLst>
            <a:ext uri="{FF2B5EF4-FFF2-40B4-BE49-F238E27FC236}">
              <a16:creationId xmlns:a16="http://schemas.microsoft.com/office/drawing/2014/main" id="{521F3447-06E9-4798-91DD-C15B980DB7AB}"/>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7459325" y="9667875"/>
          <a:ext cx="0" cy="1200150"/>
        </a:xfrm>
        <a:prstGeom prst="rect">
          <a:avLst/>
        </a:prstGeom>
        <a:noFill/>
        <a:ln w="9525">
          <a:noFill/>
          <a:miter lim="800000"/>
          <a:headEnd/>
          <a:tailEnd/>
        </a:ln>
      </xdr:spPr>
    </xdr:pic>
    <xdr:clientData/>
  </xdr:twoCellAnchor>
  <xdr:twoCellAnchor editAs="oneCell">
    <xdr:from>
      <xdr:col>0</xdr:col>
      <xdr:colOff>66675</xdr:colOff>
      <xdr:row>11</xdr:row>
      <xdr:rowOff>0</xdr:rowOff>
    </xdr:from>
    <xdr:to>
      <xdr:col>1</xdr:col>
      <xdr:colOff>38100</xdr:colOff>
      <xdr:row>11</xdr:row>
      <xdr:rowOff>219075</xdr:rowOff>
    </xdr:to>
    <xdr:sp macro="" textlink="">
      <xdr:nvSpPr>
        <xdr:cNvPr id="6" name="Text Box 5">
          <a:extLst>
            <a:ext uri="{FF2B5EF4-FFF2-40B4-BE49-F238E27FC236}">
              <a16:creationId xmlns:a16="http://schemas.microsoft.com/office/drawing/2014/main" id="{7698B3B6-3F6B-4E50-872A-BF34EF64DF16}"/>
            </a:ext>
          </a:extLst>
        </xdr:cNvPr>
        <xdr:cNvSpPr txBox="1">
          <a:spLocks noChangeArrowheads="1"/>
        </xdr:cNvSpPr>
      </xdr:nvSpPr>
      <xdr:spPr bwMode="auto">
        <a:xfrm>
          <a:off x="66675" y="5410200"/>
          <a:ext cx="114300" cy="219075"/>
        </a:xfrm>
        <a:prstGeom prst="rect">
          <a:avLst/>
        </a:prstGeom>
        <a:noFill/>
        <a:ln w="9525">
          <a:noFill/>
          <a:miter lim="800000"/>
          <a:headEnd/>
          <a:tailEnd/>
        </a:ln>
      </xdr:spPr>
    </xdr:sp>
    <xdr:clientData/>
  </xdr:twoCellAnchor>
  <xdr:twoCellAnchor>
    <xdr:from>
      <xdr:col>6</xdr:col>
      <xdr:colOff>0</xdr:colOff>
      <xdr:row>16</xdr:row>
      <xdr:rowOff>85725</xdr:rowOff>
    </xdr:from>
    <xdr:to>
      <xdr:col>6</xdr:col>
      <xdr:colOff>0</xdr:colOff>
      <xdr:row>16</xdr:row>
      <xdr:rowOff>1323975</xdr:rowOff>
    </xdr:to>
    <xdr:pic>
      <xdr:nvPicPr>
        <xdr:cNvPr id="7" name="Picture 6" descr="Moderna BC1">
          <a:extLst>
            <a:ext uri="{FF2B5EF4-FFF2-40B4-BE49-F238E27FC236}">
              <a16:creationId xmlns:a16="http://schemas.microsoft.com/office/drawing/2014/main" id="{F0F93ED2-4442-4765-A8B3-F42C7FDC1B2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459325" y="9715500"/>
          <a:ext cx="0" cy="1238250"/>
        </a:xfrm>
        <a:prstGeom prst="rect">
          <a:avLst/>
        </a:prstGeom>
        <a:noFill/>
        <a:ln w="9525">
          <a:noFill/>
          <a:miter lim="800000"/>
          <a:headEnd/>
          <a:tailEnd/>
        </a:ln>
      </xdr:spPr>
    </xdr:pic>
    <xdr:clientData/>
  </xdr:twoCellAnchor>
  <xdr:twoCellAnchor>
    <xdr:from>
      <xdr:col>6</xdr:col>
      <xdr:colOff>0</xdr:colOff>
      <xdr:row>16</xdr:row>
      <xdr:rowOff>38100</xdr:rowOff>
    </xdr:from>
    <xdr:to>
      <xdr:col>6</xdr:col>
      <xdr:colOff>0</xdr:colOff>
      <xdr:row>16</xdr:row>
      <xdr:rowOff>1238250</xdr:rowOff>
    </xdr:to>
    <xdr:pic>
      <xdr:nvPicPr>
        <xdr:cNvPr id="8" name="Picture 7" descr="DSCN0007 (1)">
          <a:extLst>
            <a:ext uri="{FF2B5EF4-FFF2-40B4-BE49-F238E27FC236}">
              <a16:creationId xmlns:a16="http://schemas.microsoft.com/office/drawing/2014/main" id="{F7AAB3E8-BC2E-4B8C-87C2-54F6F4341C88}"/>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7459325" y="9667875"/>
          <a:ext cx="0" cy="1200150"/>
        </a:xfrm>
        <a:prstGeom prst="rect">
          <a:avLst/>
        </a:prstGeom>
        <a:noFill/>
        <a:ln w="9525">
          <a:noFill/>
          <a:miter lim="800000"/>
          <a:headEnd/>
          <a:tailEnd/>
        </a:ln>
      </xdr:spPr>
    </xdr:pic>
    <xdr:clientData/>
  </xdr:twoCellAnchor>
  <xdr:twoCellAnchor>
    <xdr:from>
      <xdr:col>6</xdr:col>
      <xdr:colOff>0</xdr:colOff>
      <xdr:row>16</xdr:row>
      <xdr:rowOff>104775</xdr:rowOff>
    </xdr:from>
    <xdr:to>
      <xdr:col>6</xdr:col>
      <xdr:colOff>0</xdr:colOff>
      <xdr:row>16</xdr:row>
      <xdr:rowOff>1323975</xdr:rowOff>
    </xdr:to>
    <xdr:pic>
      <xdr:nvPicPr>
        <xdr:cNvPr id="11" name="Picture 10">
          <a:extLst>
            <a:ext uri="{FF2B5EF4-FFF2-40B4-BE49-F238E27FC236}">
              <a16:creationId xmlns:a16="http://schemas.microsoft.com/office/drawing/2014/main" id="{579D9417-0CC1-4F72-A0BB-C2F1F37A0831}"/>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7459325" y="9734550"/>
          <a:ext cx="0" cy="1219200"/>
        </a:xfrm>
        <a:prstGeom prst="rect">
          <a:avLst/>
        </a:prstGeom>
        <a:noFill/>
        <a:ln w="9525">
          <a:noFill/>
          <a:miter lim="800000"/>
          <a:headEnd/>
          <a:tailEnd/>
        </a:ln>
      </xdr:spPr>
    </xdr:pic>
    <xdr:clientData/>
  </xdr:twoCellAnchor>
  <xdr:twoCellAnchor editAs="oneCell">
    <xdr:from>
      <xdr:col>6</xdr:col>
      <xdr:colOff>0</xdr:colOff>
      <xdr:row>11</xdr:row>
      <xdr:rowOff>0</xdr:rowOff>
    </xdr:from>
    <xdr:to>
      <xdr:col>6</xdr:col>
      <xdr:colOff>104775</xdr:colOff>
      <xdr:row>11</xdr:row>
      <xdr:rowOff>219075</xdr:rowOff>
    </xdr:to>
    <xdr:sp macro="" textlink="">
      <xdr:nvSpPr>
        <xdr:cNvPr id="12" name="Text Box 11">
          <a:extLst>
            <a:ext uri="{FF2B5EF4-FFF2-40B4-BE49-F238E27FC236}">
              <a16:creationId xmlns:a16="http://schemas.microsoft.com/office/drawing/2014/main" id="{2B7DD171-1EDD-4D2A-9B0F-3EEE200CA1F1}"/>
            </a:ext>
          </a:extLst>
        </xdr:cNvPr>
        <xdr:cNvSpPr txBox="1">
          <a:spLocks noChangeArrowheads="1"/>
        </xdr:cNvSpPr>
      </xdr:nvSpPr>
      <xdr:spPr bwMode="auto">
        <a:xfrm>
          <a:off x="17459325" y="5410200"/>
          <a:ext cx="104775" cy="219075"/>
        </a:xfrm>
        <a:prstGeom prst="rect">
          <a:avLst/>
        </a:prstGeom>
        <a:noFill/>
        <a:ln w="9525">
          <a:noFill/>
          <a:miter lim="800000"/>
          <a:headEnd/>
          <a:tailEnd/>
        </a:ln>
      </xdr:spPr>
    </xdr:sp>
    <xdr:clientData/>
  </xdr:twoCellAnchor>
  <xdr:twoCellAnchor>
    <xdr:from>
      <xdr:col>6</xdr:col>
      <xdr:colOff>0</xdr:colOff>
      <xdr:row>7</xdr:row>
      <xdr:rowOff>0</xdr:rowOff>
    </xdr:from>
    <xdr:to>
      <xdr:col>6</xdr:col>
      <xdr:colOff>0</xdr:colOff>
      <xdr:row>7</xdr:row>
      <xdr:rowOff>66675</xdr:rowOff>
    </xdr:to>
    <xdr:pic>
      <xdr:nvPicPr>
        <xdr:cNvPr id="13" name="Picture 12" descr="Gabriel Garcia Ardon">
          <a:extLst>
            <a:ext uri="{FF2B5EF4-FFF2-40B4-BE49-F238E27FC236}">
              <a16:creationId xmlns:a16="http://schemas.microsoft.com/office/drawing/2014/main" id="{78017B59-A2B5-4FE7-96C5-D9574A9EF143}"/>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7459325" y="2409825"/>
          <a:ext cx="0" cy="1409700"/>
        </a:xfrm>
        <a:prstGeom prst="rect">
          <a:avLst/>
        </a:prstGeom>
        <a:noFill/>
        <a:ln w="9525">
          <a:noFill/>
          <a:miter lim="800000"/>
          <a:headEnd/>
          <a:tailEnd/>
        </a:ln>
      </xdr:spPr>
    </xdr:pic>
    <xdr:clientData/>
  </xdr:twoCellAnchor>
  <xdr:twoCellAnchor editAs="oneCell">
    <xdr:from>
      <xdr:col>5</xdr:col>
      <xdr:colOff>161925</xdr:colOff>
      <xdr:row>16</xdr:row>
      <xdr:rowOff>28575</xdr:rowOff>
    </xdr:from>
    <xdr:to>
      <xdr:col>5</xdr:col>
      <xdr:colOff>1381125</xdr:colOff>
      <xdr:row>16</xdr:row>
      <xdr:rowOff>1285875</xdr:rowOff>
    </xdr:to>
    <xdr:pic>
      <xdr:nvPicPr>
        <xdr:cNvPr id="14" name="Picture 13">
          <a:extLst>
            <a:ext uri="{FF2B5EF4-FFF2-40B4-BE49-F238E27FC236}">
              <a16:creationId xmlns:a16="http://schemas.microsoft.com/office/drawing/2014/main" id="{342FD6EA-6AF6-4963-924F-DC6AA1A0D8CC}"/>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4516100" y="9658350"/>
          <a:ext cx="1219200" cy="1257300"/>
        </a:xfrm>
        <a:prstGeom prst="rect">
          <a:avLst/>
        </a:prstGeom>
        <a:noFill/>
        <a:ln w="1">
          <a:noFill/>
          <a:miter lim="800000"/>
          <a:headEnd/>
          <a:tailEnd/>
        </a:ln>
      </xdr:spPr>
    </xdr:pic>
    <xdr:clientData/>
  </xdr:twoCellAnchor>
  <xdr:twoCellAnchor editAs="oneCell">
    <xdr:from>
      <xdr:col>3</xdr:col>
      <xdr:colOff>190500</xdr:colOff>
      <xdr:row>16</xdr:row>
      <xdr:rowOff>180975</xdr:rowOff>
    </xdr:from>
    <xdr:to>
      <xdr:col>3</xdr:col>
      <xdr:colOff>1581150</xdr:colOff>
      <xdr:row>16</xdr:row>
      <xdr:rowOff>1228725</xdr:rowOff>
    </xdr:to>
    <xdr:pic>
      <xdr:nvPicPr>
        <xdr:cNvPr id="15" name="Picture 14">
          <a:extLst>
            <a:ext uri="{FF2B5EF4-FFF2-40B4-BE49-F238E27FC236}">
              <a16:creationId xmlns:a16="http://schemas.microsoft.com/office/drawing/2014/main" id="{C9F58FEB-F272-49DC-8A5B-E769D3F4BB61}"/>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381875" y="9810750"/>
          <a:ext cx="1390650" cy="1047750"/>
        </a:xfrm>
        <a:prstGeom prst="rect">
          <a:avLst/>
        </a:prstGeom>
        <a:noFill/>
        <a:ln w="1">
          <a:noFill/>
          <a:miter lim="800000"/>
          <a:headEnd/>
          <a:tailEnd/>
        </a:ln>
      </xdr:spPr>
    </xdr:pic>
    <xdr:clientData/>
  </xdr:twoCellAnchor>
  <xdr:twoCellAnchor editAs="oneCell">
    <xdr:from>
      <xdr:col>4</xdr:col>
      <xdr:colOff>161925</xdr:colOff>
      <xdr:row>16</xdr:row>
      <xdr:rowOff>152400</xdr:rowOff>
    </xdr:from>
    <xdr:to>
      <xdr:col>4</xdr:col>
      <xdr:colOff>1552575</xdr:colOff>
      <xdr:row>16</xdr:row>
      <xdr:rowOff>1200150</xdr:rowOff>
    </xdr:to>
    <xdr:pic>
      <xdr:nvPicPr>
        <xdr:cNvPr id="16" name="Picture 15">
          <a:extLst>
            <a:ext uri="{FF2B5EF4-FFF2-40B4-BE49-F238E27FC236}">
              <a16:creationId xmlns:a16="http://schemas.microsoft.com/office/drawing/2014/main" id="{134B2E9F-65BD-4767-BCDF-EDDCE6FE1D08}"/>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0915650" y="9782175"/>
          <a:ext cx="1390650" cy="1047750"/>
        </a:xfrm>
        <a:prstGeom prst="rect">
          <a:avLst/>
        </a:prstGeom>
        <a:noFill/>
        <a:ln w="1">
          <a:noFill/>
          <a:miter lim="800000"/>
          <a:headEnd/>
          <a:tailEnd/>
        </a:ln>
      </xdr:spPr>
    </xdr:pic>
    <xdr:clientData/>
  </xdr:twoCellAnchor>
  <xdr:twoCellAnchor editAs="oneCell">
    <xdr:from>
      <xdr:col>3</xdr:col>
      <xdr:colOff>1771650</xdr:colOff>
      <xdr:row>16</xdr:row>
      <xdr:rowOff>161925</xdr:rowOff>
    </xdr:from>
    <xdr:to>
      <xdr:col>3</xdr:col>
      <xdr:colOff>3295650</xdr:colOff>
      <xdr:row>16</xdr:row>
      <xdr:rowOff>1304925</xdr:rowOff>
    </xdr:to>
    <xdr:pic>
      <xdr:nvPicPr>
        <xdr:cNvPr id="17" name="Picture 16">
          <a:extLst>
            <a:ext uri="{FF2B5EF4-FFF2-40B4-BE49-F238E27FC236}">
              <a16:creationId xmlns:a16="http://schemas.microsoft.com/office/drawing/2014/main" id="{AFF55BD7-A10D-482F-9F6B-870DB4CC74D3}"/>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8963025" y="9791700"/>
          <a:ext cx="1524000" cy="1143000"/>
        </a:xfrm>
        <a:prstGeom prst="rect">
          <a:avLst/>
        </a:prstGeom>
        <a:noFill/>
        <a:ln w="1">
          <a:noFill/>
          <a:miter lim="800000"/>
          <a:headEnd/>
          <a:tailEnd/>
        </a:ln>
      </xdr:spPr>
    </xdr:pic>
    <xdr:clientData/>
  </xdr:twoCellAnchor>
  <xdr:twoCellAnchor editAs="oneCell">
    <xdr:from>
      <xdr:col>4</xdr:col>
      <xdr:colOff>1819275</xdr:colOff>
      <xdr:row>16</xdr:row>
      <xdr:rowOff>123825</xdr:rowOff>
    </xdr:from>
    <xdr:to>
      <xdr:col>4</xdr:col>
      <xdr:colOff>3248025</xdr:colOff>
      <xdr:row>16</xdr:row>
      <xdr:rowOff>1209675</xdr:rowOff>
    </xdr:to>
    <xdr:pic>
      <xdr:nvPicPr>
        <xdr:cNvPr id="18" name="Picture 17" descr="Ver imagen en tamaño completo">
          <a:extLst>
            <a:ext uri="{FF2B5EF4-FFF2-40B4-BE49-F238E27FC236}">
              <a16:creationId xmlns:a16="http://schemas.microsoft.com/office/drawing/2014/main" id="{9BFAA9DD-329A-42F8-AC7A-F999D964D80B}"/>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2573000" y="9753600"/>
          <a:ext cx="1428750" cy="1085850"/>
        </a:xfrm>
        <a:prstGeom prst="rect">
          <a:avLst/>
        </a:prstGeom>
        <a:noFill/>
        <a:ln w="9525">
          <a:noFill/>
          <a:miter lim="800000"/>
          <a:headEnd/>
          <a:tailEnd/>
        </a:ln>
      </xdr:spPr>
    </xdr:pic>
    <xdr:clientData/>
  </xdr:twoCellAnchor>
  <xdr:twoCellAnchor editAs="oneCell">
    <xdr:from>
      <xdr:col>2</xdr:col>
      <xdr:colOff>352425</xdr:colOff>
      <xdr:row>16</xdr:row>
      <xdr:rowOff>133350</xdr:rowOff>
    </xdr:from>
    <xdr:to>
      <xdr:col>2</xdr:col>
      <xdr:colOff>1695450</xdr:colOff>
      <xdr:row>16</xdr:row>
      <xdr:rowOff>1352550</xdr:rowOff>
    </xdr:to>
    <xdr:pic>
      <xdr:nvPicPr>
        <xdr:cNvPr id="23" name="Picture 22" descr="Tarbaca%2BSan%2BJose">
          <a:extLst>
            <a:ext uri="{FF2B5EF4-FFF2-40B4-BE49-F238E27FC236}">
              <a16:creationId xmlns:a16="http://schemas.microsoft.com/office/drawing/2014/main" id="{AD75C5AE-B8C9-4B10-8D78-9160E29EA52F}"/>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3019425" y="9763125"/>
          <a:ext cx="1343025" cy="1219200"/>
        </a:xfrm>
        <a:prstGeom prst="rect">
          <a:avLst/>
        </a:prstGeom>
        <a:noFill/>
        <a:ln w="9525">
          <a:noFill/>
          <a:miter lim="800000"/>
          <a:headEnd/>
          <a:tailEnd/>
        </a:ln>
      </xdr:spPr>
    </xdr:pic>
    <xdr:clientData/>
  </xdr:twoCellAnchor>
  <xdr:twoCellAnchor editAs="oneCell">
    <xdr:from>
      <xdr:col>2</xdr:col>
      <xdr:colOff>2085975</xdr:colOff>
      <xdr:row>16</xdr:row>
      <xdr:rowOff>314325</xdr:rowOff>
    </xdr:from>
    <xdr:to>
      <xdr:col>2</xdr:col>
      <xdr:colOff>3505200</xdr:colOff>
      <xdr:row>16</xdr:row>
      <xdr:rowOff>1371600</xdr:rowOff>
    </xdr:to>
    <xdr:pic>
      <xdr:nvPicPr>
        <xdr:cNvPr id="24" name="Picture 23" descr="Casa%2BLa%2BBritanica">
          <a:extLst>
            <a:ext uri="{FF2B5EF4-FFF2-40B4-BE49-F238E27FC236}">
              <a16:creationId xmlns:a16="http://schemas.microsoft.com/office/drawing/2014/main" id="{A199B3DE-FC24-418B-88D4-3AE6547CB4F6}"/>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752975" y="9944100"/>
          <a:ext cx="1419225" cy="1057275"/>
        </a:xfrm>
        <a:prstGeom prst="rect">
          <a:avLst/>
        </a:prstGeom>
        <a:noFill/>
        <a:ln w="9525">
          <a:noFill/>
          <a:miter lim="800000"/>
          <a:headEnd/>
          <a:tailEnd/>
        </a:ln>
      </xdr:spPr>
    </xdr:pic>
    <xdr:clientData/>
  </xdr:twoCellAnchor>
  <xdr:twoCellAnchor editAs="oneCell">
    <xdr:from>
      <xdr:col>5</xdr:col>
      <xdr:colOff>1609725</xdr:colOff>
      <xdr:row>16</xdr:row>
      <xdr:rowOff>152400</xdr:rowOff>
    </xdr:from>
    <xdr:to>
      <xdr:col>6</xdr:col>
      <xdr:colOff>19050</xdr:colOff>
      <xdr:row>16</xdr:row>
      <xdr:rowOff>1285875</xdr:rowOff>
    </xdr:to>
    <xdr:pic>
      <xdr:nvPicPr>
        <xdr:cNvPr id="25" name="Picture 24">
          <a:extLst>
            <a:ext uri="{FF2B5EF4-FFF2-40B4-BE49-F238E27FC236}">
              <a16:creationId xmlns:a16="http://schemas.microsoft.com/office/drawing/2014/main" id="{8E6744E7-29A6-449C-98FC-12B4BA97557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15963900" y="9782175"/>
          <a:ext cx="1514475" cy="1133475"/>
        </a:xfrm>
        <a:prstGeom prst="rect">
          <a:avLst/>
        </a:prstGeom>
        <a:noFill/>
        <a:ln w="1">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15</xdr:row>
      <xdr:rowOff>85725</xdr:rowOff>
    </xdr:from>
    <xdr:to>
      <xdr:col>3</xdr:col>
      <xdr:colOff>0</xdr:colOff>
      <xdr:row>15</xdr:row>
      <xdr:rowOff>1323975</xdr:rowOff>
    </xdr:to>
    <xdr:pic>
      <xdr:nvPicPr>
        <xdr:cNvPr id="2" name="Picture 1" descr="Moderna BC1">
          <a:extLst>
            <a:ext uri="{FF2B5EF4-FFF2-40B4-BE49-F238E27FC236}">
              <a16:creationId xmlns:a16="http://schemas.microsoft.com/office/drawing/2014/main" id="{5D5F96FC-5E38-4D95-AFE0-5A209BDB2F2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828800" y="2838450"/>
          <a:ext cx="0" cy="76200"/>
        </a:xfrm>
        <a:prstGeom prst="rect">
          <a:avLst/>
        </a:prstGeom>
        <a:noFill/>
        <a:ln w="9525">
          <a:noFill/>
          <a:miter lim="800000"/>
          <a:headEnd/>
          <a:tailEnd/>
        </a:ln>
      </xdr:spPr>
    </xdr:pic>
    <xdr:clientData/>
  </xdr:twoCellAnchor>
  <xdr:oneCellAnchor>
    <xdr:from>
      <xdr:col>0</xdr:col>
      <xdr:colOff>66675</xdr:colOff>
      <xdr:row>10</xdr:row>
      <xdr:rowOff>0</xdr:rowOff>
    </xdr:from>
    <xdr:ext cx="76200" cy="200025"/>
    <xdr:sp macro="" textlink="">
      <xdr:nvSpPr>
        <xdr:cNvPr id="4" name="Text Box 3">
          <a:extLst>
            <a:ext uri="{FF2B5EF4-FFF2-40B4-BE49-F238E27FC236}">
              <a16:creationId xmlns:a16="http://schemas.microsoft.com/office/drawing/2014/main" id="{CAE792A3-3E31-4C76-AA39-6994DF7B3F41}"/>
            </a:ext>
          </a:extLst>
        </xdr:cNvPr>
        <xdr:cNvSpPr txBox="1">
          <a:spLocks noChangeArrowheads="1"/>
        </xdr:cNvSpPr>
      </xdr:nvSpPr>
      <xdr:spPr bwMode="auto">
        <a:xfrm>
          <a:off x="66675" y="1943100"/>
          <a:ext cx="76200" cy="200025"/>
        </a:xfrm>
        <a:prstGeom prst="rect">
          <a:avLst/>
        </a:prstGeom>
        <a:noFill/>
        <a:ln w="9525">
          <a:noFill/>
          <a:miter lim="800000"/>
          <a:headEnd/>
          <a:tailEnd/>
        </a:ln>
      </xdr:spPr>
    </xdr:sp>
    <xdr:clientData/>
  </xdr:oneCellAnchor>
  <xdr:oneCellAnchor>
    <xdr:from>
      <xdr:col>3</xdr:col>
      <xdr:colOff>161925</xdr:colOff>
      <xdr:row>15</xdr:row>
      <xdr:rowOff>66675</xdr:rowOff>
    </xdr:from>
    <xdr:ext cx="1638300" cy="1228725"/>
    <xdr:pic>
      <xdr:nvPicPr>
        <xdr:cNvPr id="9" name="Picture 9" descr="Katie-Sergio002">
          <a:extLst>
            <a:ext uri="{FF2B5EF4-FFF2-40B4-BE49-F238E27FC236}">
              <a16:creationId xmlns:a16="http://schemas.microsoft.com/office/drawing/2014/main" id="{F834660A-2D2B-4BE6-ADF5-ACF9923DCA0F}"/>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90725" y="2819400"/>
          <a:ext cx="1638300" cy="1228725"/>
        </a:xfrm>
        <a:prstGeom prst="rect">
          <a:avLst/>
        </a:prstGeom>
        <a:noFill/>
        <a:ln w="9525">
          <a:noFill/>
          <a:miter lim="800000"/>
          <a:headEnd/>
          <a:tailEnd/>
        </a:ln>
      </xdr:spPr>
    </xdr:pic>
    <xdr:clientData/>
  </xdr:oneCellAnchor>
  <xdr:oneCellAnchor>
    <xdr:from>
      <xdr:col>2</xdr:col>
      <xdr:colOff>104775</xdr:colOff>
      <xdr:row>15</xdr:row>
      <xdr:rowOff>95250</xdr:rowOff>
    </xdr:from>
    <xdr:ext cx="1704975" cy="1133475"/>
    <xdr:pic>
      <xdr:nvPicPr>
        <xdr:cNvPr id="10" name="Picture 10" descr="11705163811">
          <a:extLst>
            <a:ext uri="{FF2B5EF4-FFF2-40B4-BE49-F238E27FC236}">
              <a16:creationId xmlns:a16="http://schemas.microsoft.com/office/drawing/2014/main" id="{43ACF6D3-A41B-46C8-BCF2-0594C4D84BA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23975" y="2847975"/>
          <a:ext cx="1704975" cy="1133475"/>
        </a:xfrm>
        <a:prstGeom prst="rect">
          <a:avLst/>
        </a:prstGeom>
        <a:noFill/>
        <a:ln w="9525">
          <a:noFill/>
          <a:miter lim="800000"/>
          <a:headEnd/>
          <a:tailEnd/>
        </a:ln>
      </xdr:spPr>
    </xdr:pic>
    <xdr:clientData/>
  </xdr:oneCellAnchor>
  <xdr:oneCellAnchor>
    <xdr:from>
      <xdr:col>4</xdr:col>
      <xdr:colOff>133350</xdr:colOff>
      <xdr:row>15</xdr:row>
      <xdr:rowOff>85725</xdr:rowOff>
    </xdr:from>
    <xdr:ext cx="1571625" cy="1181100"/>
    <xdr:pic>
      <xdr:nvPicPr>
        <xdr:cNvPr id="11" name="Picture 11" descr="Casa-en-Condominio-en-Guatemala-en-Venta-2009042105062726">
          <a:extLst>
            <a:ext uri="{FF2B5EF4-FFF2-40B4-BE49-F238E27FC236}">
              <a16:creationId xmlns:a16="http://schemas.microsoft.com/office/drawing/2014/main" id="{A1A5F83D-AEA6-44F6-9449-168FA72E2FB8}"/>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571750" y="2838450"/>
          <a:ext cx="1571625" cy="1181100"/>
        </a:xfrm>
        <a:prstGeom prst="rect">
          <a:avLst/>
        </a:prstGeom>
        <a:noFill/>
        <a:ln w="9525">
          <a:noFill/>
          <a:miter lim="800000"/>
          <a:headEnd/>
          <a:tailEnd/>
        </a:ln>
      </xdr:spPr>
    </xdr:pic>
    <xdr:clientData/>
  </xdr:oneCellAnchor>
  <xdr:oneCellAnchor>
    <xdr:from>
      <xdr:col>6</xdr:col>
      <xdr:colOff>47625</xdr:colOff>
      <xdr:row>15</xdr:row>
      <xdr:rowOff>57150</xdr:rowOff>
    </xdr:from>
    <xdr:ext cx="1743075" cy="1266825"/>
    <xdr:pic>
      <xdr:nvPicPr>
        <xdr:cNvPr id="12" name="Picture 12" descr="1682027718_c2b6afd345">
          <a:extLst>
            <a:ext uri="{FF2B5EF4-FFF2-40B4-BE49-F238E27FC236}">
              <a16:creationId xmlns:a16="http://schemas.microsoft.com/office/drawing/2014/main" id="{7B96BF61-7B18-4F23-B76A-DC8B00A689FC}"/>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705225" y="2809875"/>
          <a:ext cx="1743075" cy="1266825"/>
        </a:xfrm>
        <a:prstGeom prst="rect">
          <a:avLst/>
        </a:prstGeom>
        <a:noFill/>
        <a:ln w="9525">
          <a:noFill/>
          <a:miter lim="800000"/>
          <a:headEnd/>
          <a:tailEnd/>
        </a:ln>
      </xdr:spPr>
    </xdr:pic>
    <xdr:clientData/>
  </xdr:oneCellAnchor>
  <xdr:oneCellAnchor>
    <xdr:from>
      <xdr:col>5</xdr:col>
      <xdr:colOff>57150</xdr:colOff>
      <xdr:row>15</xdr:row>
      <xdr:rowOff>85725</xdr:rowOff>
    </xdr:from>
    <xdr:ext cx="1752600" cy="1228725"/>
    <xdr:pic>
      <xdr:nvPicPr>
        <xdr:cNvPr id="13" name="Picture 13" descr="6">
          <a:extLst>
            <a:ext uri="{FF2B5EF4-FFF2-40B4-BE49-F238E27FC236}">
              <a16:creationId xmlns:a16="http://schemas.microsoft.com/office/drawing/2014/main" id="{076676BE-CC5A-4357-B06E-16881F42ADCB}"/>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105150" y="2838450"/>
          <a:ext cx="1752600" cy="1228725"/>
        </a:xfrm>
        <a:prstGeom prst="rect">
          <a:avLst/>
        </a:prstGeom>
        <a:noFill/>
        <a:ln w="9525">
          <a:noFill/>
          <a:miter lim="800000"/>
          <a:headEnd/>
          <a:tailEnd/>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104775</xdr:colOff>
      <xdr:row>12</xdr:row>
      <xdr:rowOff>171450</xdr:rowOff>
    </xdr:to>
    <xdr:sp macro="" textlink="">
      <xdr:nvSpPr>
        <xdr:cNvPr id="3" name="Text Box 8">
          <a:extLst>
            <a:ext uri="{FF2B5EF4-FFF2-40B4-BE49-F238E27FC236}">
              <a16:creationId xmlns:a16="http://schemas.microsoft.com/office/drawing/2014/main" id="{AB9A0C09-C526-4A52-BA8A-F5B9E380321E}"/>
            </a:ext>
          </a:extLst>
        </xdr:cNvPr>
        <xdr:cNvSpPr txBox="1">
          <a:spLocks noChangeArrowheads="1"/>
        </xdr:cNvSpPr>
      </xdr:nvSpPr>
      <xdr:spPr bwMode="auto">
        <a:xfrm>
          <a:off x="0" y="4552950"/>
          <a:ext cx="104775" cy="171450"/>
        </a:xfrm>
        <a:prstGeom prst="rect">
          <a:avLst/>
        </a:prstGeom>
        <a:noFill/>
        <a:ln w="9525">
          <a:noFill/>
          <a:miter lim="800000"/>
          <a:headEnd/>
          <a:tailEnd/>
        </a:ln>
      </xdr:spPr>
    </xdr:sp>
    <xdr:clientData/>
  </xdr:twoCellAnchor>
  <xdr:twoCellAnchor editAs="oneCell">
    <xdr:from>
      <xdr:col>2</xdr:col>
      <xdr:colOff>0</xdr:colOff>
      <xdr:row>99</xdr:row>
      <xdr:rowOff>0</xdr:rowOff>
    </xdr:from>
    <xdr:to>
      <xdr:col>3</xdr:col>
      <xdr:colOff>266700</xdr:colOff>
      <xdr:row>102</xdr:row>
      <xdr:rowOff>295275</xdr:rowOff>
    </xdr:to>
    <xdr:pic>
      <xdr:nvPicPr>
        <xdr:cNvPr id="6" name="Picture 22" descr="el pedregal">
          <a:extLst>
            <a:ext uri="{FF2B5EF4-FFF2-40B4-BE49-F238E27FC236}">
              <a16:creationId xmlns:a16="http://schemas.microsoft.com/office/drawing/2014/main" id="{FB99815E-62AA-46C5-8A46-7AE8101426C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676775" y="65189100"/>
          <a:ext cx="3048000" cy="2295525"/>
        </a:xfrm>
        <a:prstGeom prst="rect">
          <a:avLst/>
        </a:prstGeom>
        <a:noFill/>
        <a:ln w="9525">
          <a:noFill/>
          <a:miter lim="800000"/>
          <a:headEnd/>
          <a:tailEnd/>
        </a:ln>
      </xdr:spPr>
    </xdr:pic>
    <xdr:clientData/>
  </xdr:twoCellAnchor>
  <xdr:twoCellAnchor editAs="oneCell">
    <xdr:from>
      <xdr:col>2</xdr:col>
      <xdr:colOff>0</xdr:colOff>
      <xdr:row>99</xdr:row>
      <xdr:rowOff>0</xdr:rowOff>
    </xdr:from>
    <xdr:to>
      <xdr:col>3</xdr:col>
      <xdr:colOff>266700</xdr:colOff>
      <xdr:row>102</xdr:row>
      <xdr:rowOff>295275</xdr:rowOff>
    </xdr:to>
    <xdr:pic>
      <xdr:nvPicPr>
        <xdr:cNvPr id="7" name="Picture 23" descr="el pedregal">
          <a:extLst>
            <a:ext uri="{FF2B5EF4-FFF2-40B4-BE49-F238E27FC236}">
              <a16:creationId xmlns:a16="http://schemas.microsoft.com/office/drawing/2014/main" id="{15506AEE-FD74-4F13-9CCE-0EDCD91571F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676775" y="65189100"/>
          <a:ext cx="3048000" cy="2295525"/>
        </a:xfrm>
        <a:prstGeom prst="rect">
          <a:avLst/>
        </a:prstGeom>
        <a:noFill/>
        <a:ln w="9525">
          <a:noFill/>
          <a:miter lim="800000"/>
          <a:headEnd/>
          <a:tailEnd/>
        </a:ln>
      </xdr:spPr>
    </xdr:pic>
    <xdr:clientData/>
  </xdr:twoCellAnchor>
  <xdr:twoCellAnchor editAs="oneCell">
    <xdr:from>
      <xdr:col>1</xdr:col>
      <xdr:colOff>104775</xdr:colOff>
      <xdr:row>17</xdr:row>
      <xdr:rowOff>28575</xdr:rowOff>
    </xdr:from>
    <xdr:to>
      <xdr:col>1</xdr:col>
      <xdr:colOff>2505075</xdr:colOff>
      <xdr:row>17</xdr:row>
      <xdr:rowOff>1838325</xdr:rowOff>
    </xdr:to>
    <xdr:pic>
      <xdr:nvPicPr>
        <xdr:cNvPr id="15" name="Picture 50" descr="a76628da54f19650ad81b9378e993b4c">
          <a:extLst>
            <a:ext uri="{FF2B5EF4-FFF2-40B4-BE49-F238E27FC236}">
              <a16:creationId xmlns:a16="http://schemas.microsoft.com/office/drawing/2014/main" id="{6F5544AA-1231-4EF6-A859-D42CD1760ACB}"/>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71675" y="8801100"/>
          <a:ext cx="2400300" cy="1809750"/>
        </a:xfrm>
        <a:prstGeom prst="rect">
          <a:avLst/>
        </a:prstGeom>
        <a:noFill/>
        <a:ln w="9525">
          <a:noFill/>
          <a:miter lim="800000"/>
          <a:headEnd/>
          <a:tailEnd/>
        </a:ln>
      </xdr:spPr>
    </xdr:pic>
    <xdr:clientData/>
  </xdr:twoCellAnchor>
  <xdr:twoCellAnchor editAs="oneCell">
    <xdr:from>
      <xdr:col>3</xdr:col>
      <xdr:colOff>381000</xdr:colOff>
      <xdr:row>17</xdr:row>
      <xdr:rowOff>161925</xdr:rowOff>
    </xdr:from>
    <xdr:to>
      <xdr:col>3</xdr:col>
      <xdr:colOff>2695575</xdr:colOff>
      <xdr:row>17</xdr:row>
      <xdr:rowOff>1876425</xdr:rowOff>
    </xdr:to>
    <xdr:pic>
      <xdr:nvPicPr>
        <xdr:cNvPr id="16" name="Picture 51" descr="45348744_3">
          <a:extLst>
            <a:ext uri="{FF2B5EF4-FFF2-40B4-BE49-F238E27FC236}">
              <a16:creationId xmlns:a16="http://schemas.microsoft.com/office/drawing/2014/main" id="{0CC29467-9453-4AAC-9FEC-7AA9A9E7A145}"/>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839075" y="8934450"/>
          <a:ext cx="2314575" cy="1714500"/>
        </a:xfrm>
        <a:prstGeom prst="rect">
          <a:avLst/>
        </a:prstGeom>
        <a:noFill/>
        <a:ln w="9525">
          <a:noFill/>
          <a:miter lim="800000"/>
          <a:headEnd/>
          <a:tailEnd/>
        </a:ln>
      </xdr:spPr>
    </xdr:pic>
    <xdr:clientData/>
  </xdr:twoCellAnchor>
  <xdr:twoCellAnchor editAs="oneCell">
    <xdr:from>
      <xdr:col>2</xdr:col>
      <xdr:colOff>276225</xdr:colOff>
      <xdr:row>17</xdr:row>
      <xdr:rowOff>104775</xdr:rowOff>
    </xdr:from>
    <xdr:to>
      <xdr:col>2</xdr:col>
      <xdr:colOff>2562225</xdr:colOff>
      <xdr:row>17</xdr:row>
      <xdr:rowOff>1819275</xdr:rowOff>
    </xdr:to>
    <xdr:pic>
      <xdr:nvPicPr>
        <xdr:cNvPr id="17" name="Picture 52" descr="368702">
          <a:extLst>
            <a:ext uri="{FF2B5EF4-FFF2-40B4-BE49-F238E27FC236}">
              <a16:creationId xmlns:a16="http://schemas.microsoft.com/office/drawing/2014/main" id="{9E4D98B4-F285-4B0A-AA04-0585E0872889}"/>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953000" y="8877300"/>
          <a:ext cx="2286000" cy="1714500"/>
        </a:xfrm>
        <a:prstGeom prst="rect">
          <a:avLst/>
        </a:prstGeom>
        <a:noFill/>
        <a:ln w="9525">
          <a:noFill/>
          <a:miter lim="800000"/>
          <a:headEnd/>
          <a:tailEnd/>
        </a:ln>
      </xdr:spPr>
    </xdr:pic>
    <xdr:clientData/>
  </xdr:twoCellAnchor>
  <xdr:twoCellAnchor editAs="oneCell">
    <xdr:from>
      <xdr:col>5</xdr:col>
      <xdr:colOff>600075</xdr:colOff>
      <xdr:row>17</xdr:row>
      <xdr:rowOff>85725</xdr:rowOff>
    </xdr:from>
    <xdr:to>
      <xdr:col>5</xdr:col>
      <xdr:colOff>2324100</xdr:colOff>
      <xdr:row>17</xdr:row>
      <xdr:rowOff>1943100</xdr:rowOff>
    </xdr:to>
    <xdr:pic>
      <xdr:nvPicPr>
        <xdr:cNvPr id="18" name="Picture 53" descr="pobrezacasa">
          <a:extLst>
            <a:ext uri="{FF2B5EF4-FFF2-40B4-BE49-F238E27FC236}">
              <a16:creationId xmlns:a16="http://schemas.microsoft.com/office/drawing/2014/main" id="{60B0DB97-1443-470E-99AE-4673AFE2EB32}"/>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4611350" y="8858250"/>
          <a:ext cx="1724025" cy="1857375"/>
        </a:xfrm>
        <a:prstGeom prst="rect">
          <a:avLst/>
        </a:prstGeom>
        <a:noFill/>
        <a:ln w="9525">
          <a:noFill/>
          <a:miter lim="800000"/>
          <a:headEnd/>
          <a:tailEnd/>
        </a:ln>
      </xdr:spPr>
    </xdr:pic>
    <xdr:clientData/>
  </xdr:twoCellAnchor>
  <xdr:twoCellAnchor editAs="oneCell">
    <xdr:from>
      <xdr:col>4</xdr:col>
      <xdr:colOff>428625</xdr:colOff>
      <xdr:row>17</xdr:row>
      <xdr:rowOff>133350</xdr:rowOff>
    </xdr:from>
    <xdr:to>
      <xdr:col>4</xdr:col>
      <xdr:colOff>2981325</xdr:colOff>
      <xdr:row>17</xdr:row>
      <xdr:rowOff>1838325</xdr:rowOff>
    </xdr:to>
    <xdr:pic>
      <xdr:nvPicPr>
        <xdr:cNvPr id="19" name="Picture 20" descr="petro71.jpg">
          <a:extLst>
            <a:ext uri="{FF2B5EF4-FFF2-40B4-BE49-F238E27FC236}">
              <a16:creationId xmlns:a16="http://schemas.microsoft.com/office/drawing/2014/main" id="{F6704520-5147-44EB-9F59-5F110775E291}"/>
            </a:ext>
          </a:extLst>
        </xdr:cNvPr>
        <xdr:cNvPicPr>
          <a:picLocks noChangeAspect="1"/>
        </xdr:cNvPicPr>
      </xdr:nvPicPr>
      <xdr:blipFill>
        <a:blip xmlns:r="http://schemas.openxmlformats.org/officeDocument/2006/relationships" r:embed="rId6" cstate="print"/>
        <a:srcRect/>
        <a:stretch>
          <a:fillRect/>
        </a:stretch>
      </xdr:blipFill>
      <xdr:spPr bwMode="auto">
        <a:xfrm>
          <a:off x="11029950" y="8905875"/>
          <a:ext cx="2552700" cy="170497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12</xdr:row>
      <xdr:rowOff>0</xdr:rowOff>
    </xdr:from>
    <xdr:to>
      <xdr:col>0</xdr:col>
      <xdr:colOff>104775</xdr:colOff>
      <xdr:row>12</xdr:row>
      <xdr:rowOff>200025</xdr:rowOff>
    </xdr:to>
    <xdr:sp macro="" textlink="">
      <xdr:nvSpPr>
        <xdr:cNvPr id="3" name="Text Box 8">
          <a:extLst>
            <a:ext uri="{FF2B5EF4-FFF2-40B4-BE49-F238E27FC236}">
              <a16:creationId xmlns:a16="http://schemas.microsoft.com/office/drawing/2014/main" id="{4C449D48-2AAB-440B-B668-D61022A1E59B}"/>
            </a:ext>
          </a:extLst>
        </xdr:cNvPr>
        <xdr:cNvSpPr txBox="1">
          <a:spLocks noChangeArrowheads="1"/>
        </xdr:cNvSpPr>
      </xdr:nvSpPr>
      <xdr:spPr bwMode="auto">
        <a:xfrm>
          <a:off x="0" y="4343400"/>
          <a:ext cx="104775" cy="200025"/>
        </a:xfrm>
        <a:prstGeom prst="rect">
          <a:avLst/>
        </a:prstGeom>
        <a:noFill/>
        <a:ln w="9525">
          <a:noFill/>
          <a:miter lim="800000"/>
          <a:headEnd/>
          <a:tailEnd/>
        </a:ln>
      </xdr:spPr>
    </xdr:sp>
    <xdr:clientData/>
  </xdr:twoCellAnchor>
  <xdr:twoCellAnchor editAs="oneCell">
    <xdr:from>
      <xdr:col>2</xdr:col>
      <xdr:colOff>0</xdr:colOff>
      <xdr:row>97</xdr:row>
      <xdr:rowOff>0</xdr:rowOff>
    </xdr:from>
    <xdr:to>
      <xdr:col>3</xdr:col>
      <xdr:colOff>266700</xdr:colOff>
      <xdr:row>100</xdr:row>
      <xdr:rowOff>295275</xdr:rowOff>
    </xdr:to>
    <xdr:pic>
      <xdr:nvPicPr>
        <xdr:cNvPr id="5" name="Picture 22" descr="el pedregal">
          <a:extLst>
            <a:ext uri="{FF2B5EF4-FFF2-40B4-BE49-F238E27FC236}">
              <a16:creationId xmlns:a16="http://schemas.microsoft.com/office/drawing/2014/main" id="{86B32A05-9AD3-473A-8F61-1D7B933975D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610100" y="62941200"/>
          <a:ext cx="3048000" cy="2295525"/>
        </a:xfrm>
        <a:prstGeom prst="rect">
          <a:avLst/>
        </a:prstGeom>
        <a:noFill/>
        <a:ln w="9525">
          <a:noFill/>
          <a:miter lim="800000"/>
          <a:headEnd/>
          <a:tailEnd/>
        </a:ln>
      </xdr:spPr>
    </xdr:pic>
    <xdr:clientData/>
  </xdr:twoCellAnchor>
  <xdr:twoCellAnchor editAs="oneCell">
    <xdr:from>
      <xdr:col>2</xdr:col>
      <xdr:colOff>0</xdr:colOff>
      <xdr:row>97</xdr:row>
      <xdr:rowOff>0</xdr:rowOff>
    </xdr:from>
    <xdr:to>
      <xdr:col>3</xdr:col>
      <xdr:colOff>266700</xdr:colOff>
      <xdr:row>100</xdr:row>
      <xdr:rowOff>295275</xdr:rowOff>
    </xdr:to>
    <xdr:pic>
      <xdr:nvPicPr>
        <xdr:cNvPr id="6" name="Picture 23" descr="el pedregal">
          <a:extLst>
            <a:ext uri="{FF2B5EF4-FFF2-40B4-BE49-F238E27FC236}">
              <a16:creationId xmlns:a16="http://schemas.microsoft.com/office/drawing/2014/main" id="{C02D1952-5DB5-460A-974B-C9F7ED1801B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610100" y="62941200"/>
          <a:ext cx="3048000" cy="2295525"/>
        </a:xfrm>
        <a:prstGeom prst="rect">
          <a:avLst/>
        </a:prstGeom>
        <a:noFill/>
        <a:ln w="9525">
          <a:noFill/>
          <a:miter lim="800000"/>
          <a:headEnd/>
          <a:tailEnd/>
        </a:ln>
      </xdr:spPr>
    </xdr:pic>
    <xdr:clientData/>
  </xdr:twoCellAnchor>
  <xdr:twoCellAnchor editAs="oneCell">
    <xdr:from>
      <xdr:col>2</xdr:col>
      <xdr:colOff>600075</xdr:colOff>
      <xdr:row>17</xdr:row>
      <xdr:rowOff>104775</xdr:rowOff>
    </xdr:from>
    <xdr:to>
      <xdr:col>2</xdr:col>
      <xdr:colOff>2209800</xdr:colOff>
      <xdr:row>17</xdr:row>
      <xdr:rowOff>1314450</xdr:rowOff>
    </xdr:to>
    <xdr:pic>
      <xdr:nvPicPr>
        <xdr:cNvPr id="14" name="Picture 176">
          <a:extLst>
            <a:ext uri="{FF2B5EF4-FFF2-40B4-BE49-F238E27FC236}">
              <a16:creationId xmlns:a16="http://schemas.microsoft.com/office/drawing/2014/main" id="{E300510A-8DFF-405D-AFF5-3271BCC759DA}"/>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10175" y="8696325"/>
          <a:ext cx="1609725" cy="1209675"/>
        </a:xfrm>
        <a:prstGeom prst="rect">
          <a:avLst/>
        </a:prstGeom>
        <a:noFill/>
        <a:ln w="1">
          <a:noFill/>
          <a:miter lim="800000"/>
          <a:headEnd/>
          <a:tailEnd/>
        </a:ln>
      </xdr:spPr>
    </xdr:pic>
    <xdr:clientData/>
  </xdr:twoCellAnchor>
  <xdr:twoCellAnchor editAs="oneCell">
    <xdr:from>
      <xdr:col>3</xdr:col>
      <xdr:colOff>95250</xdr:colOff>
      <xdr:row>17</xdr:row>
      <xdr:rowOff>219075</xdr:rowOff>
    </xdr:from>
    <xdr:to>
      <xdr:col>3</xdr:col>
      <xdr:colOff>1571625</xdr:colOff>
      <xdr:row>17</xdr:row>
      <xdr:rowOff>1323975</xdr:rowOff>
    </xdr:to>
    <xdr:pic>
      <xdr:nvPicPr>
        <xdr:cNvPr id="15" name="Picture 177">
          <a:extLst>
            <a:ext uri="{FF2B5EF4-FFF2-40B4-BE49-F238E27FC236}">
              <a16:creationId xmlns:a16="http://schemas.microsoft.com/office/drawing/2014/main" id="{0CEDCDCA-E986-44D1-B7F0-108CA34272E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486650" y="8810625"/>
          <a:ext cx="1476375" cy="1104900"/>
        </a:xfrm>
        <a:prstGeom prst="rect">
          <a:avLst/>
        </a:prstGeom>
        <a:noFill/>
        <a:ln w="1">
          <a:noFill/>
          <a:miter lim="800000"/>
          <a:headEnd/>
          <a:tailEnd/>
        </a:ln>
      </xdr:spPr>
    </xdr:pic>
    <xdr:clientData/>
  </xdr:twoCellAnchor>
  <xdr:twoCellAnchor editAs="oneCell">
    <xdr:from>
      <xdr:col>3</xdr:col>
      <xdr:colOff>1619250</xdr:colOff>
      <xdr:row>17</xdr:row>
      <xdr:rowOff>219075</xdr:rowOff>
    </xdr:from>
    <xdr:to>
      <xdr:col>3</xdr:col>
      <xdr:colOff>2990850</xdr:colOff>
      <xdr:row>17</xdr:row>
      <xdr:rowOff>1247775</xdr:rowOff>
    </xdr:to>
    <xdr:pic>
      <xdr:nvPicPr>
        <xdr:cNvPr id="16" name="Picture 178">
          <a:extLst>
            <a:ext uri="{FF2B5EF4-FFF2-40B4-BE49-F238E27FC236}">
              <a16:creationId xmlns:a16="http://schemas.microsoft.com/office/drawing/2014/main" id="{D1B37F90-8A48-49B9-843B-25DA2DEAB8EF}"/>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010650" y="8810625"/>
          <a:ext cx="1371600" cy="1028700"/>
        </a:xfrm>
        <a:prstGeom prst="rect">
          <a:avLst/>
        </a:prstGeom>
        <a:noFill/>
        <a:ln w="1">
          <a:noFill/>
          <a:miter lim="800000"/>
          <a:headEnd/>
          <a:tailEnd/>
        </a:ln>
      </xdr:spPr>
    </xdr:pic>
    <xdr:clientData/>
  </xdr:twoCellAnchor>
  <xdr:twoCellAnchor editAs="oneCell">
    <xdr:from>
      <xdr:col>1</xdr:col>
      <xdr:colOff>314325</xdr:colOff>
      <xdr:row>17</xdr:row>
      <xdr:rowOff>47625</xdr:rowOff>
    </xdr:from>
    <xdr:to>
      <xdr:col>1</xdr:col>
      <xdr:colOff>2381250</xdr:colOff>
      <xdr:row>17</xdr:row>
      <xdr:rowOff>1419225</xdr:rowOff>
    </xdr:to>
    <xdr:pic>
      <xdr:nvPicPr>
        <xdr:cNvPr id="17" name="Picture 179">
          <a:extLst>
            <a:ext uri="{FF2B5EF4-FFF2-40B4-BE49-F238E27FC236}">
              <a16:creationId xmlns:a16="http://schemas.microsoft.com/office/drawing/2014/main" id="{5B11B14B-844E-4BCA-9E85-3823720F8BA9}"/>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2181225" y="8639175"/>
          <a:ext cx="2066925" cy="1371600"/>
        </a:xfrm>
        <a:prstGeom prst="rect">
          <a:avLst/>
        </a:prstGeom>
        <a:noFill/>
        <a:ln w="1">
          <a:noFill/>
          <a:miter lim="800000"/>
          <a:headEnd/>
          <a:tailEnd/>
        </a:ln>
      </xdr:spPr>
    </xdr:pic>
    <xdr:clientData/>
  </xdr:twoCellAnchor>
  <xdr:twoCellAnchor editAs="oneCell">
    <xdr:from>
      <xdr:col>4</xdr:col>
      <xdr:colOff>1209675</xdr:colOff>
      <xdr:row>17</xdr:row>
      <xdr:rowOff>133350</xdr:rowOff>
    </xdr:from>
    <xdr:to>
      <xdr:col>4</xdr:col>
      <xdr:colOff>2428875</xdr:colOff>
      <xdr:row>17</xdr:row>
      <xdr:rowOff>1352550</xdr:rowOff>
    </xdr:to>
    <xdr:pic>
      <xdr:nvPicPr>
        <xdr:cNvPr id="18" name="Picture 181">
          <a:extLst>
            <a:ext uri="{FF2B5EF4-FFF2-40B4-BE49-F238E27FC236}">
              <a16:creationId xmlns:a16="http://schemas.microsoft.com/office/drawing/2014/main" id="{3756C022-4A70-40EA-8598-D2930E6F3FF9}"/>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1744325" y="8724900"/>
          <a:ext cx="1219200" cy="1219200"/>
        </a:xfrm>
        <a:prstGeom prst="rect">
          <a:avLst/>
        </a:prstGeom>
        <a:noFill/>
        <a:ln w="1">
          <a:noFill/>
          <a:miter lim="800000"/>
          <a:headEnd/>
          <a:tailEnd/>
        </a:ln>
      </xdr:spPr>
    </xdr:pic>
    <xdr:clientData/>
  </xdr:twoCellAnchor>
  <xdr:twoCellAnchor editAs="oneCell">
    <xdr:from>
      <xdr:col>5</xdr:col>
      <xdr:colOff>409575</xdr:colOff>
      <xdr:row>17</xdr:row>
      <xdr:rowOff>104775</xdr:rowOff>
    </xdr:from>
    <xdr:to>
      <xdr:col>5</xdr:col>
      <xdr:colOff>2114550</xdr:colOff>
      <xdr:row>17</xdr:row>
      <xdr:rowOff>1381125</xdr:rowOff>
    </xdr:to>
    <xdr:pic>
      <xdr:nvPicPr>
        <xdr:cNvPr id="19" name="Picture 183">
          <a:extLst>
            <a:ext uri="{FF2B5EF4-FFF2-40B4-BE49-F238E27FC236}">
              <a16:creationId xmlns:a16="http://schemas.microsoft.com/office/drawing/2014/main" id="{58DAE5AB-54FF-4719-B87C-308F3E6E6B08}"/>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4354175" y="8696325"/>
          <a:ext cx="1704975" cy="1276350"/>
        </a:xfrm>
        <a:prstGeom prst="rect">
          <a:avLst/>
        </a:prstGeom>
        <a:noFill/>
        <a:ln w="1">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16</xdr:row>
      <xdr:rowOff>85725</xdr:rowOff>
    </xdr:from>
    <xdr:to>
      <xdr:col>3</xdr:col>
      <xdr:colOff>0</xdr:colOff>
      <xdr:row>16</xdr:row>
      <xdr:rowOff>1323975</xdr:rowOff>
    </xdr:to>
    <xdr:pic>
      <xdr:nvPicPr>
        <xdr:cNvPr id="2" name="Picture 1" descr="Moderna BC1">
          <a:extLst>
            <a:ext uri="{FF2B5EF4-FFF2-40B4-BE49-F238E27FC236}">
              <a16:creationId xmlns:a16="http://schemas.microsoft.com/office/drawing/2014/main" id="{3F1C68D9-6A8F-42BE-B69F-A223DC6A71A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57600" y="9039225"/>
          <a:ext cx="0" cy="1238250"/>
        </a:xfrm>
        <a:prstGeom prst="rect">
          <a:avLst/>
        </a:prstGeom>
        <a:noFill/>
        <a:ln w="9525">
          <a:noFill/>
          <a:miter lim="800000"/>
          <a:headEnd/>
          <a:tailEnd/>
        </a:ln>
      </xdr:spPr>
    </xdr:pic>
    <xdr:clientData/>
  </xdr:twoCellAnchor>
  <xdr:twoCellAnchor editAs="oneCell">
    <xdr:from>
      <xdr:col>0</xdr:col>
      <xdr:colOff>66675</xdr:colOff>
      <xdr:row>11</xdr:row>
      <xdr:rowOff>0</xdr:rowOff>
    </xdr:from>
    <xdr:to>
      <xdr:col>1</xdr:col>
      <xdr:colOff>76200</xdr:colOff>
      <xdr:row>11</xdr:row>
      <xdr:rowOff>200025</xdr:rowOff>
    </xdr:to>
    <xdr:sp macro="" textlink="">
      <xdr:nvSpPr>
        <xdr:cNvPr id="4" name="Text Box 3">
          <a:extLst>
            <a:ext uri="{FF2B5EF4-FFF2-40B4-BE49-F238E27FC236}">
              <a16:creationId xmlns:a16="http://schemas.microsoft.com/office/drawing/2014/main" id="{F930FD25-975B-4F35-8EF5-4D65FB0FF06A}"/>
            </a:ext>
          </a:extLst>
        </xdr:cNvPr>
        <xdr:cNvSpPr txBox="1">
          <a:spLocks noChangeArrowheads="1"/>
        </xdr:cNvSpPr>
      </xdr:nvSpPr>
      <xdr:spPr bwMode="auto">
        <a:xfrm>
          <a:off x="66675" y="5067300"/>
          <a:ext cx="76200" cy="200025"/>
        </a:xfrm>
        <a:prstGeom prst="rect">
          <a:avLst/>
        </a:prstGeom>
        <a:noFill/>
        <a:ln w="9525">
          <a:noFill/>
          <a:miter lim="800000"/>
          <a:headEnd/>
          <a:tailEnd/>
        </a:ln>
      </xdr:spPr>
    </xdr:sp>
    <xdr:clientData/>
  </xdr:twoCellAnchor>
  <xdr:twoCellAnchor editAs="oneCell">
    <xdr:from>
      <xdr:col>6</xdr:col>
      <xdr:colOff>342900</xdr:colOff>
      <xdr:row>16</xdr:row>
      <xdr:rowOff>85725</xdr:rowOff>
    </xdr:from>
    <xdr:to>
      <xdr:col>6</xdr:col>
      <xdr:colOff>1428750</xdr:colOff>
      <xdr:row>16</xdr:row>
      <xdr:rowOff>1209675</xdr:rowOff>
    </xdr:to>
    <xdr:pic>
      <xdr:nvPicPr>
        <xdr:cNvPr id="7" name="Picture 7" descr="09">
          <a:extLst>
            <a:ext uri="{FF2B5EF4-FFF2-40B4-BE49-F238E27FC236}">
              <a16:creationId xmlns:a16="http://schemas.microsoft.com/office/drawing/2014/main" id="{A2116A4A-0196-4CB1-8EF9-FC36419CCB3E}"/>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934700" y="9039225"/>
          <a:ext cx="1085850" cy="1123950"/>
        </a:xfrm>
        <a:prstGeom prst="rect">
          <a:avLst/>
        </a:prstGeom>
        <a:noFill/>
        <a:ln w="9525">
          <a:noFill/>
          <a:miter lim="800000"/>
          <a:headEnd/>
          <a:tailEnd/>
        </a:ln>
      </xdr:spPr>
    </xdr:pic>
    <xdr:clientData/>
  </xdr:twoCellAnchor>
  <xdr:twoCellAnchor editAs="oneCell">
    <xdr:from>
      <xdr:col>5</xdr:col>
      <xdr:colOff>314325</xdr:colOff>
      <xdr:row>16</xdr:row>
      <xdr:rowOff>114300</xdr:rowOff>
    </xdr:from>
    <xdr:to>
      <xdr:col>5</xdr:col>
      <xdr:colOff>1695450</xdr:colOff>
      <xdr:row>16</xdr:row>
      <xdr:rowOff>1152525</xdr:rowOff>
    </xdr:to>
    <xdr:pic>
      <xdr:nvPicPr>
        <xdr:cNvPr id="8" name="Picture 8" descr="Viviendas_sociales_en_Panam_">
          <a:extLst>
            <a:ext uri="{FF2B5EF4-FFF2-40B4-BE49-F238E27FC236}">
              <a16:creationId xmlns:a16="http://schemas.microsoft.com/office/drawing/2014/main" id="{3CED5982-2FED-4DE6-8A23-1792AAD0934F}"/>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982075" y="9067800"/>
          <a:ext cx="1381125" cy="1038225"/>
        </a:xfrm>
        <a:prstGeom prst="rect">
          <a:avLst/>
        </a:prstGeom>
        <a:noFill/>
        <a:ln w="9525">
          <a:noFill/>
          <a:miter lim="800000"/>
          <a:headEnd/>
          <a:tailEnd/>
        </a:ln>
      </xdr:spPr>
    </xdr:pic>
    <xdr:clientData/>
  </xdr:twoCellAnchor>
  <xdr:twoCellAnchor editAs="oneCell">
    <xdr:from>
      <xdr:col>3</xdr:col>
      <xdr:colOff>733425</xdr:colOff>
      <xdr:row>16</xdr:row>
      <xdr:rowOff>161925</xdr:rowOff>
    </xdr:from>
    <xdr:to>
      <xdr:col>3</xdr:col>
      <xdr:colOff>1914525</xdr:colOff>
      <xdr:row>16</xdr:row>
      <xdr:rowOff>1047750</xdr:rowOff>
    </xdr:to>
    <xdr:pic>
      <xdr:nvPicPr>
        <xdr:cNvPr id="11" name="Picture 11" descr="3_11_4069">
          <a:extLst>
            <a:ext uri="{FF2B5EF4-FFF2-40B4-BE49-F238E27FC236}">
              <a16:creationId xmlns:a16="http://schemas.microsoft.com/office/drawing/2014/main" id="{A5FACD8D-681F-4B8F-BB9B-9CD76A4C59B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391025" y="9115425"/>
          <a:ext cx="1181100" cy="885825"/>
        </a:xfrm>
        <a:prstGeom prst="rect">
          <a:avLst/>
        </a:prstGeom>
        <a:noFill/>
        <a:ln w="9525">
          <a:noFill/>
          <a:miter lim="800000"/>
          <a:headEnd/>
          <a:tailEnd/>
        </a:ln>
      </xdr:spPr>
    </xdr:pic>
    <xdr:clientData/>
  </xdr:twoCellAnchor>
  <xdr:twoCellAnchor editAs="oneCell">
    <xdr:from>
      <xdr:col>4</xdr:col>
      <xdr:colOff>333375</xdr:colOff>
      <xdr:row>16</xdr:row>
      <xdr:rowOff>57150</xdr:rowOff>
    </xdr:from>
    <xdr:to>
      <xdr:col>4</xdr:col>
      <xdr:colOff>1866900</xdr:colOff>
      <xdr:row>16</xdr:row>
      <xdr:rowOff>1209675</xdr:rowOff>
    </xdr:to>
    <xdr:pic>
      <xdr:nvPicPr>
        <xdr:cNvPr id="12" name="Picture 12" descr="brisas%20del%20golf">
          <a:extLst>
            <a:ext uri="{FF2B5EF4-FFF2-40B4-BE49-F238E27FC236}">
              <a16:creationId xmlns:a16="http://schemas.microsoft.com/office/drawing/2014/main" id="{13707552-63B2-4CD2-A757-39A10B72E9EF}"/>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724650" y="9010650"/>
          <a:ext cx="1533525" cy="1152525"/>
        </a:xfrm>
        <a:prstGeom prst="rect">
          <a:avLst/>
        </a:prstGeom>
        <a:noFill/>
        <a:ln w="9525">
          <a:noFill/>
          <a:miter lim="800000"/>
          <a:headEnd/>
          <a:tailEnd/>
        </a:ln>
      </xdr:spPr>
    </xdr:pic>
    <xdr:clientData/>
  </xdr:twoCellAnchor>
  <xdr:twoCellAnchor editAs="oneCell">
    <xdr:from>
      <xdr:col>2</xdr:col>
      <xdr:colOff>409575</xdr:colOff>
      <xdr:row>16</xdr:row>
      <xdr:rowOff>104775</xdr:rowOff>
    </xdr:from>
    <xdr:to>
      <xdr:col>2</xdr:col>
      <xdr:colOff>1695450</xdr:colOff>
      <xdr:row>16</xdr:row>
      <xdr:rowOff>1066800</xdr:rowOff>
    </xdr:to>
    <xdr:pic>
      <xdr:nvPicPr>
        <xdr:cNvPr id="15" name="mi" descr="OCASION x VIAJE Embassy Gardens - ALQUILER CASA DE LUJO ">
          <a:extLst>
            <a:ext uri="{FF2B5EF4-FFF2-40B4-BE49-F238E27FC236}">
              <a16:creationId xmlns:a16="http://schemas.microsoft.com/office/drawing/2014/main" id="{6B43AD5E-6D16-4488-8320-CE27F249C83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143125" y="9058275"/>
          <a:ext cx="1285875" cy="962025"/>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15</xdr:row>
      <xdr:rowOff>85725</xdr:rowOff>
    </xdr:from>
    <xdr:to>
      <xdr:col>3</xdr:col>
      <xdr:colOff>0</xdr:colOff>
      <xdr:row>15</xdr:row>
      <xdr:rowOff>1323975</xdr:rowOff>
    </xdr:to>
    <xdr:pic>
      <xdr:nvPicPr>
        <xdr:cNvPr id="2" name="Picture 1" descr="Moderna BC1">
          <a:extLst>
            <a:ext uri="{FF2B5EF4-FFF2-40B4-BE49-F238E27FC236}">
              <a16:creationId xmlns:a16="http://schemas.microsoft.com/office/drawing/2014/main" id="{9AB3F3FD-D841-4C31-883C-EE28829031B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33850" y="9077325"/>
          <a:ext cx="0" cy="1238250"/>
        </a:xfrm>
        <a:prstGeom prst="rect">
          <a:avLst/>
        </a:prstGeom>
        <a:noFill/>
        <a:ln w="9525">
          <a:noFill/>
          <a:miter lim="800000"/>
          <a:headEnd/>
          <a:tailEnd/>
        </a:ln>
      </xdr:spPr>
    </xdr:pic>
    <xdr:clientData/>
  </xdr:twoCellAnchor>
  <xdr:twoCellAnchor editAs="oneCell">
    <xdr:from>
      <xdr:col>0</xdr:col>
      <xdr:colOff>66675</xdr:colOff>
      <xdr:row>10</xdr:row>
      <xdr:rowOff>0</xdr:rowOff>
    </xdr:from>
    <xdr:to>
      <xdr:col>0</xdr:col>
      <xdr:colOff>142875</xdr:colOff>
      <xdr:row>10</xdr:row>
      <xdr:rowOff>200025</xdr:rowOff>
    </xdr:to>
    <xdr:sp macro="" textlink="">
      <xdr:nvSpPr>
        <xdr:cNvPr id="4" name="Text Box 5">
          <a:extLst>
            <a:ext uri="{FF2B5EF4-FFF2-40B4-BE49-F238E27FC236}">
              <a16:creationId xmlns:a16="http://schemas.microsoft.com/office/drawing/2014/main" id="{6FD670DC-C429-4617-AD8F-682A61C5FF28}"/>
            </a:ext>
          </a:extLst>
        </xdr:cNvPr>
        <xdr:cNvSpPr txBox="1">
          <a:spLocks noChangeArrowheads="1"/>
        </xdr:cNvSpPr>
      </xdr:nvSpPr>
      <xdr:spPr bwMode="auto">
        <a:xfrm>
          <a:off x="66675" y="5267325"/>
          <a:ext cx="76200" cy="200025"/>
        </a:xfrm>
        <a:prstGeom prst="rect">
          <a:avLst/>
        </a:prstGeom>
        <a:noFill/>
        <a:ln w="9525">
          <a:noFill/>
          <a:miter lim="800000"/>
          <a:headEnd/>
          <a:tailEnd/>
        </a:ln>
      </xdr:spPr>
    </xdr:sp>
    <xdr:clientData/>
  </xdr:twoCellAnchor>
  <xdr:twoCellAnchor editAs="oneCell">
    <xdr:from>
      <xdr:col>4</xdr:col>
      <xdr:colOff>352425</xdr:colOff>
      <xdr:row>15</xdr:row>
      <xdr:rowOff>228600</xdr:rowOff>
    </xdr:from>
    <xdr:to>
      <xdr:col>4</xdr:col>
      <xdr:colOff>1581150</xdr:colOff>
      <xdr:row>15</xdr:row>
      <xdr:rowOff>1152525</xdr:rowOff>
    </xdr:to>
    <xdr:pic>
      <xdr:nvPicPr>
        <xdr:cNvPr id="11" name="Picture 20" descr="Casa-en-San-Salvador-Capital-en-Alquiler-Larga-Temporada-2008123110385457">
          <a:extLst>
            <a:ext uri="{FF2B5EF4-FFF2-40B4-BE49-F238E27FC236}">
              <a16:creationId xmlns:a16="http://schemas.microsoft.com/office/drawing/2014/main" id="{73850B49-2DEE-4E6F-9EC9-0A0DCAEF0C63}"/>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410325" y="9220200"/>
          <a:ext cx="1228725" cy="923925"/>
        </a:xfrm>
        <a:prstGeom prst="rect">
          <a:avLst/>
        </a:prstGeom>
        <a:noFill/>
        <a:ln w="9525">
          <a:noFill/>
          <a:miter lim="800000"/>
          <a:headEnd/>
          <a:tailEnd/>
        </a:ln>
      </xdr:spPr>
    </xdr:pic>
    <xdr:clientData/>
  </xdr:twoCellAnchor>
  <xdr:twoCellAnchor editAs="oneCell">
    <xdr:from>
      <xdr:col>5</xdr:col>
      <xdr:colOff>381000</xdr:colOff>
      <xdr:row>15</xdr:row>
      <xdr:rowOff>304800</xdr:rowOff>
    </xdr:from>
    <xdr:to>
      <xdr:col>5</xdr:col>
      <xdr:colOff>1562100</xdr:colOff>
      <xdr:row>15</xdr:row>
      <xdr:rowOff>1190625</xdr:rowOff>
    </xdr:to>
    <xdr:pic>
      <xdr:nvPicPr>
        <xdr:cNvPr id="12" name="Picture 21" descr="casa_esperanza833">
          <a:extLst>
            <a:ext uri="{FF2B5EF4-FFF2-40B4-BE49-F238E27FC236}">
              <a16:creationId xmlns:a16="http://schemas.microsoft.com/office/drawing/2014/main" id="{CAEF07CF-C50C-4AE4-AC82-F9D2ED46B53B}"/>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362950" y="9296400"/>
          <a:ext cx="1181100" cy="885825"/>
        </a:xfrm>
        <a:prstGeom prst="rect">
          <a:avLst/>
        </a:prstGeom>
        <a:noFill/>
        <a:ln w="9525">
          <a:noFill/>
          <a:miter lim="800000"/>
          <a:headEnd/>
          <a:tailEnd/>
        </a:ln>
      </xdr:spPr>
    </xdr:pic>
    <xdr:clientData/>
  </xdr:twoCellAnchor>
  <xdr:twoCellAnchor editAs="oneCell">
    <xdr:from>
      <xdr:col>2</xdr:col>
      <xdr:colOff>457200</xdr:colOff>
      <xdr:row>15</xdr:row>
      <xdr:rowOff>247650</xdr:rowOff>
    </xdr:from>
    <xdr:to>
      <xdr:col>2</xdr:col>
      <xdr:colOff>1685925</xdr:colOff>
      <xdr:row>15</xdr:row>
      <xdr:rowOff>1171575</xdr:rowOff>
    </xdr:to>
    <xdr:pic>
      <xdr:nvPicPr>
        <xdr:cNvPr id="13" name="Picture 22" descr="Casa-en-San-Salvador-Capital-en-Venta-2008032702345182">
          <a:extLst>
            <a:ext uri="{FF2B5EF4-FFF2-40B4-BE49-F238E27FC236}">
              <a16:creationId xmlns:a16="http://schemas.microsoft.com/office/drawing/2014/main" id="{69C06975-07DA-43C8-AB91-98471F8E7873}"/>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343150" y="9239250"/>
          <a:ext cx="1228725" cy="923925"/>
        </a:xfrm>
        <a:prstGeom prst="rect">
          <a:avLst/>
        </a:prstGeom>
        <a:noFill/>
        <a:ln w="9525">
          <a:noFill/>
          <a:miter lim="800000"/>
          <a:headEnd/>
          <a:tailEnd/>
        </a:ln>
      </xdr:spPr>
    </xdr:pic>
    <xdr:clientData/>
  </xdr:twoCellAnchor>
  <xdr:twoCellAnchor editAs="oneCell">
    <xdr:from>
      <xdr:col>3</xdr:col>
      <xdr:colOff>342900</xdr:colOff>
      <xdr:row>15</xdr:row>
      <xdr:rowOff>190500</xdr:rowOff>
    </xdr:from>
    <xdr:to>
      <xdr:col>3</xdr:col>
      <xdr:colOff>1571625</xdr:colOff>
      <xdr:row>15</xdr:row>
      <xdr:rowOff>1162050</xdr:rowOff>
    </xdr:to>
    <xdr:pic>
      <xdr:nvPicPr>
        <xdr:cNvPr id="14" name="Picture 23" descr="Casa-en-San-Salvador-Capital-en-Alquiler-Larga-Temporada-2009051605025888">
          <a:extLst>
            <a:ext uri="{FF2B5EF4-FFF2-40B4-BE49-F238E27FC236}">
              <a16:creationId xmlns:a16="http://schemas.microsoft.com/office/drawing/2014/main" id="{BD5BD483-F659-4F4D-8C8E-123B1049A2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476750" y="9182100"/>
          <a:ext cx="1228725" cy="971550"/>
        </a:xfrm>
        <a:prstGeom prst="rect">
          <a:avLst/>
        </a:prstGeom>
        <a:noFill/>
        <a:ln w="9525">
          <a:noFill/>
          <a:miter lim="800000"/>
          <a:headEnd/>
          <a:tailEnd/>
        </a:ln>
      </xdr:spPr>
    </xdr:pic>
    <xdr:clientData/>
  </xdr:twoCellAnchor>
  <xdr:twoCellAnchor editAs="oneCell">
    <xdr:from>
      <xdr:col>6</xdr:col>
      <xdr:colOff>676275</xdr:colOff>
      <xdr:row>15</xdr:row>
      <xdr:rowOff>133350</xdr:rowOff>
    </xdr:from>
    <xdr:to>
      <xdr:col>6</xdr:col>
      <xdr:colOff>1762125</xdr:colOff>
      <xdr:row>15</xdr:row>
      <xdr:rowOff>1209675</xdr:rowOff>
    </xdr:to>
    <xdr:pic>
      <xdr:nvPicPr>
        <xdr:cNvPr id="15" name="Picture 24" descr="barrio_marginal">
          <a:extLst>
            <a:ext uri="{FF2B5EF4-FFF2-40B4-BE49-F238E27FC236}">
              <a16:creationId xmlns:a16="http://schemas.microsoft.com/office/drawing/2014/main" id="{DAAC1FC6-400E-4A62-97E4-C27B258CBBD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0582275" y="9124950"/>
          <a:ext cx="1085850" cy="1076325"/>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638175</xdr:colOff>
      <xdr:row>15</xdr:row>
      <xdr:rowOff>85725</xdr:rowOff>
    </xdr:from>
    <xdr:to>
      <xdr:col>3</xdr:col>
      <xdr:colOff>3019425</xdr:colOff>
      <xdr:row>15</xdr:row>
      <xdr:rowOff>1400175</xdr:rowOff>
    </xdr:to>
    <xdr:pic>
      <xdr:nvPicPr>
        <xdr:cNvPr id="2" name="Picture 1" descr="Moderna BC1">
          <a:extLst>
            <a:ext uri="{FF2B5EF4-FFF2-40B4-BE49-F238E27FC236}">
              <a16:creationId xmlns:a16="http://schemas.microsoft.com/office/drawing/2014/main" id="{B33E8042-9FEC-4BBF-8A5D-FFF417DF7287}"/>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124575" y="8458200"/>
          <a:ext cx="2381250" cy="1314450"/>
        </a:xfrm>
        <a:prstGeom prst="rect">
          <a:avLst/>
        </a:prstGeom>
        <a:noFill/>
        <a:ln w="9525">
          <a:noFill/>
          <a:miter lim="800000"/>
          <a:headEnd/>
          <a:tailEnd/>
        </a:ln>
      </xdr:spPr>
    </xdr:pic>
    <xdr:clientData/>
  </xdr:twoCellAnchor>
  <xdr:twoCellAnchor>
    <xdr:from>
      <xdr:col>2</xdr:col>
      <xdr:colOff>571500</xdr:colOff>
      <xdr:row>15</xdr:row>
      <xdr:rowOff>28575</xdr:rowOff>
    </xdr:from>
    <xdr:to>
      <xdr:col>2</xdr:col>
      <xdr:colOff>2343150</xdr:colOff>
      <xdr:row>15</xdr:row>
      <xdr:rowOff>1352550</xdr:rowOff>
    </xdr:to>
    <xdr:pic>
      <xdr:nvPicPr>
        <xdr:cNvPr id="3" name="Picture 10" descr="palma_real2">
          <a:extLst>
            <a:ext uri="{FF2B5EF4-FFF2-40B4-BE49-F238E27FC236}">
              <a16:creationId xmlns:a16="http://schemas.microsoft.com/office/drawing/2014/main" id="{B74A9F96-1117-4E8B-932D-E07D807F50E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400300" y="8401050"/>
          <a:ext cx="1771650" cy="1323975"/>
        </a:xfrm>
        <a:prstGeom prst="rect">
          <a:avLst/>
        </a:prstGeom>
        <a:noFill/>
        <a:ln w="9525">
          <a:noFill/>
          <a:miter lim="800000"/>
          <a:headEnd/>
          <a:tailEnd/>
        </a:ln>
      </xdr:spPr>
    </xdr:pic>
    <xdr:clientData/>
  </xdr:twoCellAnchor>
  <xdr:twoCellAnchor>
    <xdr:from>
      <xdr:col>4</xdr:col>
      <xdr:colOff>342900</xdr:colOff>
      <xdr:row>15</xdr:row>
      <xdr:rowOff>152400</xdr:rowOff>
    </xdr:from>
    <xdr:to>
      <xdr:col>4</xdr:col>
      <xdr:colOff>2466975</xdr:colOff>
      <xdr:row>15</xdr:row>
      <xdr:rowOff>1409700</xdr:rowOff>
    </xdr:to>
    <xdr:pic>
      <xdr:nvPicPr>
        <xdr:cNvPr id="4" name="Picture 12" descr="foto">
          <a:extLst>
            <a:ext uri="{FF2B5EF4-FFF2-40B4-BE49-F238E27FC236}">
              <a16:creationId xmlns:a16="http://schemas.microsoft.com/office/drawing/2014/main" id="{B83B07C5-1502-4436-B844-5427902A9E81}"/>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258300" y="8524875"/>
          <a:ext cx="2124075" cy="1257300"/>
        </a:xfrm>
        <a:prstGeom prst="rect">
          <a:avLst/>
        </a:prstGeom>
        <a:noFill/>
        <a:ln w="9525">
          <a:noFill/>
          <a:miter lim="800000"/>
          <a:headEnd/>
          <a:tailEnd/>
        </a:ln>
      </xdr:spPr>
    </xdr:pic>
    <xdr:clientData/>
  </xdr:twoCellAnchor>
  <xdr:twoCellAnchor editAs="oneCell">
    <xdr:from>
      <xdr:col>0</xdr:col>
      <xdr:colOff>66675</xdr:colOff>
      <xdr:row>10</xdr:row>
      <xdr:rowOff>0</xdr:rowOff>
    </xdr:from>
    <xdr:to>
      <xdr:col>1</xdr:col>
      <xdr:colOff>38100</xdr:colOff>
      <xdr:row>10</xdr:row>
      <xdr:rowOff>219075</xdr:rowOff>
    </xdr:to>
    <xdr:sp macro="" textlink="">
      <xdr:nvSpPr>
        <xdr:cNvPr id="5" name="Text Box 13">
          <a:extLst>
            <a:ext uri="{FF2B5EF4-FFF2-40B4-BE49-F238E27FC236}">
              <a16:creationId xmlns:a16="http://schemas.microsoft.com/office/drawing/2014/main" id="{49A38872-B8F6-463D-A6FF-815D97EBE264}"/>
            </a:ext>
          </a:extLst>
        </xdr:cNvPr>
        <xdr:cNvSpPr txBox="1">
          <a:spLocks noChangeArrowheads="1"/>
        </xdr:cNvSpPr>
      </xdr:nvSpPr>
      <xdr:spPr bwMode="auto">
        <a:xfrm>
          <a:off x="66675" y="4267200"/>
          <a:ext cx="114300" cy="219075"/>
        </a:xfrm>
        <a:prstGeom prst="rect">
          <a:avLst/>
        </a:prstGeom>
        <a:noFill/>
        <a:ln w="9525">
          <a:noFill/>
          <a:miter lim="800000"/>
          <a:headEnd/>
          <a:tailEnd/>
        </a:ln>
      </xdr:spPr>
    </xdr:sp>
    <xdr:clientData/>
  </xdr:twoCellAnchor>
  <xdr:twoCellAnchor editAs="oneCell">
    <xdr:from>
      <xdr:col>6</xdr:col>
      <xdr:colOff>676275</xdr:colOff>
      <xdr:row>15</xdr:row>
      <xdr:rowOff>57150</xdr:rowOff>
    </xdr:from>
    <xdr:to>
      <xdr:col>6</xdr:col>
      <xdr:colOff>1895475</xdr:colOff>
      <xdr:row>15</xdr:row>
      <xdr:rowOff>1333500</xdr:rowOff>
    </xdr:to>
    <xdr:pic>
      <xdr:nvPicPr>
        <xdr:cNvPr id="9" name="Picture 11" descr="pobreza2">
          <a:extLst>
            <a:ext uri="{FF2B5EF4-FFF2-40B4-BE49-F238E27FC236}">
              <a16:creationId xmlns:a16="http://schemas.microsoft.com/office/drawing/2014/main" id="{B863CC4B-DF63-46D9-A6CD-1F111ED3FAA2}"/>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5011400" y="8429625"/>
          <a:ext cx="1219200" cy="1276350"/>
        </a:xfrm>
        <a:prstGeom prst="rect">
          <a:avLst/>
        </a:prstGeom>
        <a:noFill/>
        <a:ln w="9525">
          <a:noFill/>
          <a:miter lim="800000"/>
          <a:headEnd/>
          <a:tailEnd/>
        </a:ln>
      </xdr:spPr>
    </xdr:pic>
    <xdr:clientData/>
  </xdr:twoCellAnchor>
  <xdr:twoCellAnchor editAs="oneCell">
    <xdr:from>
      <xdr:col>5</xdr:col>
      <xdr:colOff>476250</xdr:colOff>
      <xdr:row>15</xdr:row>
      <xdr:rowOff>123825</xdr:rowOff>
    </xdr:from>
    <xdr:to>
      <xdr:col>5</xdr:col>
      <xdr:colOff>2124075</xdr:colOff>
      <xdr:row>15</xdr:row>
      <xdr:rowOff>1219200</xdr:rowOff>
    </xdr:to>
    <xdr:pic>
      <xdr:nvPicPr>
        <xdr:cNvPr id="11" name="Picture 13" descr="f4bm5">
          <a:extLst>
            <a:ext uri="{FF2B5EF4-FFF2-40B4-BE49-F238E27FC236}">
              <a16:creationId xmlns:a16="http://schemas.microsoft.com/office/drawing/2014/main" id="{2DAD1CF9-D253-4251-AF79-D2D9CAC12D32}"/>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2230100" y="8496300"/>
          <a:ext cx="1647825" cy="1095375"/>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457200</xdr:colOff>
      <xdr:row>17</xdr:row>
      <xdr:rowOff>95250</xdr:rowOff>
    </xdr:from>
    <xdr:to>
      <xdr:col>5</xdr:col>
      <xdr:colOff>2286000</xdr:colOff>
      <xdr:row>17</xdr:row>
      <xdr:rowOff>1295400</xdr:rowOff>
    </xdr:to>
    <xdr:pic>
      <xdr:nvPicPr>
        <xdr:cNvPr id="2" name="Picture 1" descr="DSCN0007 (1)">
          <a:extLst>
            <a:ext uri="{FF2B5EF4-FFF2-40B4-BE49-F238E27FC236}">
              <a16:creationId xmlns:a16="http://schemas.microsoft.com/office/drawing/2014/main" id="{EDF508FC-2E6D-4AC4-8FA6-88CB3567E3BB}"/>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4401800" y="8658225"/>
          <a:ext cx="1828800" cy="1200150"/>
        </a:xfrm>
        <a:prstGeom prst="rect">
          <a:avLst/>
        </a:prstGeom>
        <a:noFill/>
        <a:ln w="9525">
          <a:noFill/>
          <a:miter lim="800000"/>
          <a:headEnd/>
          <a:tailEnd/>
        </a:ln>
      </xdr:spPr>
    </xdr:pic>
    <xdr:clientData/>
  </xdr:twoCellAnchor>
  <xdr:twoCellAnchor>
    <xdr:from>
      <xdr:col>3</xdr:col>
      <xdr:colOff>114300</xdr:colOff>
      <xdr:row>17</xdr:row>
      <xdr:rowOff>152400</xdr:rowOff>
    </xdr:from>
    <xdr:to>
      <xdr:col>3</xdr:col>
      <xdr:colOff>1371600</xdr:colOff>
      <xdr:row>17</xdr:row>
      <xdr:rowOff>1457325</xdr:rowOff>
    </xdr:to>
    <xdr:pic>
      <xdr:nvPicPr>
        <xdr:cNvPr id="7" name="Picture 6">
          <a:extLst>
            <a:ext uri="{FF2B5EF4-FFF2-40B4-BE49-F238E27FC236}">
              <a16:creationId xmlns:a16="http://schemas.microsoft.com/office/drawing/2014/main" id="{D04B04A9-CD2E-4F2B-99E5-14FA61F452A7}"/>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505700" y="8715375"/>
          <a:ext cx="1257300" cy="1304925"/>
        </a:xfrm>
        <a:prstGeom prst="rect">
          <a:avLst/>
        </a:prstGeom>
        <a:noFill/>
        <a:ln w="9525">
          <a:noFill/>
          <a:miter lim="800000"/>
          <a:headEnd/>
          <a:tailEnd/>
        </a:ln>
      </xdr:spPr>
    </xdr:pic>
    <xdr:clientData/>
  </xdr:twoCellAnchor>
  <xdr:twoCellAnchor>
    <xdr:from>
      <xdr:col>4</xdr:col>
      <xdr:colOff>66675</xdr:colOff>
      <xdr:row>17</xdr:row>
      <xdr:rowOff>200025</xdr:rowOff>
    </xdr:from>
    <xdr:to>
      <xdr:col>4</xdr:col>
      <xdr:colOff>1647825</xdr:colOff>
      <xdr:row>17</xdr:row>
      <xdr:rowOff>1381125</xdr:rowOff>
    </xdr:to>
    <xdr:pic>
      <xdr:nvPicPr>
        <xdr:cNvPr id="8" name="Picture 7" descr="foto">
          <a:extLst>
            <a:ext uri="{FF2B5EF4-FFF2-40B4-BE49-F238E27FC236}">
              <a16:creationId xmlns:a16="http://schemas.microsoft.com/office/drawing/2014/main" id="{5314DB00-9D8F-48C5-A958-6A5E77097465}"/>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0601325" y="8763000"/>
          <a:ext cx="1581150" cy="1181100"/>
        </a:xfrm>
        <a:prstGeom prst="rect">
          <a:avLst/>
        </a:prstGeom>
        <a:noFill/>
        <a:ln w="9525">
          <a:noFill/>
          <a:miter lim="800000"/>
          <a:headEnd/>
          <a:tailEnd/>
        </a:ln>
      </xdr:spPr>
    </xdr:pic>
    <xdr:clientData/>
  </xdr:twoCellAnchor>
  <xdr:twoCellAnchor editAs="oneCell">
    <xdr:from>
      <xdr:col>0</xdr:col>
      <xdr:colOff>0</xdr:colOff>
      <xdr:row>12</xdr:row>
      <xdr:rowOff>0</xdr:rowOff>
    </xdr:from>
    <xdr:to>
      <xdr:col>0</xdr:col>
      <xdr:colOff>104775</xdr:colOff>
      <xdr:row>12</xdr:row>
      <xdr:rowOff>219075</xdr:rowOff>
    </xdr:to>
    <xdr:sp macro="" textlink="">
      <xdr:nvSpPr>
        <xdr:cNvPr id="9" name="Text Box 8">
          <a:extLst>
            <a:ext uri="{FF2B5EF4-FFF2-40B4-BE49-F238E27FC236}">
              <a16:creationId xmlns:a16="http://schemas.microsoft.com/office/drawing/2014/main" id="{C9492548-C93A-4E8B-85D9-1B39682C0C32}"/>
            </a:ext>
          </a:extLst>
        </xdr:cNvPr>
        <xdr:cNvSpPr txBox="1">
          <a:spLocks noChangeArrowheads="1"/>
        </xdr:cNvSpPr>
      </xdr:nvSpPr>
      <xdr:spPr bwMode="auto">
        <a:xfrm>
          <a:off x="0" y="4343400"/>
          <a:ext cx="104775" cy="219075"/>
        </a:xfrm>
        <a:prstGeom prst="rect">
          <a:avLst/>
        </a:prstGeom>
        <a:noFill/>
        <a:ln w="9525">
          <a:noFill/>
          <a:miter lim="800000"/>
          <a:headEnd/>
          <a:tailEnd/>
        </a:ln>
      </xdr:spPr>
    </xdr:sp>
    <xdr:clientData/>
  </xdr:twoCellAnchor>
  <xdr:twoCellAnchor editAs="oneCell">
    <xdr:from>
      <xdr:col>3</xdr:col>
      <xdr:colOff>1447800</xdr:colOff>
      <xdr:row>17</xdr:row>
      <xdr:rowOff>219075</xdr:rowOff>
    </xdr:from>
    <xdr:to>
      <xdr:col>3</xdr:col>
      <xdr:colOff>3048000</xdr:colOff>
      <xdr:row>17</xdr:row>
      <xdr:rowOff>1438275</xdr:rowOff>
    </xdr:to>
    <xdr:pic>
      <xdr:nvPicPr>
        <xdr:cNvPr id="15" name="Picture 15" descr="Ver imagen en tamaño completo">
          <a:extLst>
            <a:ext uri="{FF2B5EF4-FFF2-40B4-BE49-F238E27FC236}">
              <a16:creationId xmlns:a16="http://schemas.microsoft.com/office/drawing/2014/main" id="{0646258E-2FED-45CB-B0CC-6903D4F44111}"/>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839200" y="8782050"/>
          <a:ext cx="1600200" cy="1219200"/>
        </a:xfrm>
        <a:prstGeom prst="rect">
          <a:avLst/>
        </a:prstGeom>
        <a:noFill/>
        <a:ln w="9525">
          <a:noFill/>
          <a:miter lim="800000"/>
          <a:headEnd/>
          <a:tailEnd/>
        </a:ln>
      </xdr:spPr>
    </xdr:pic>
    <xdr:clientData/>
  </xdr:twoCellAnchor>
  <xdr:twoCellAnchor>
    <xdr:from>
      <xdr:col>4</xdr:col>
      <xdr:colOff>1895475</xdr:colOff>
      <xdr:row>17</xdr:row>
      <xdr:rowOff>266700</xdr:rowOff>
    </xdr:from>
    <xdr:to>
      <xdr:col>4</xdr:col>
      <xdr:colOff>3228975</xdr:colOff>
      <xdr:row>17</xdr:row>
      <xdr:rowOff>1266825</xdr:rowOff>
    </xdr:to>
    <xdr:pic>
      <xdr:nvPicPr>
        <xdr:cNvPr id="19" name="Picture 19" descr="f41">
          <a:extLst>
            <a:ext uri="{FF2B5EF4-FFF2-40B4-BE49-F238E27FC236}">
              <a16:creationId xmlns:a16="http://schemas.microsoft.com/office/drawing/2014/main" id="{D2700B90-8209-4A66-91BD-DD862368E698}"/>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2430125" y="8829675"/>
          <a:ext cx="1333500" cy="1000125"/>
        </a:xfrm>
        <a:prstGeom prst="rect">
          <a:avLst/>
        </a:prstGeom>
        <a:noFill/>
        <a:ln w="9525">
          <a:noFill/>
          <a:miter lim="800000"/>
          <a:headEnd/>
          <a:tailEnd/>
        </a:ln>
      </xdr:spPr>
    </xdr:pic>
    <xdr:clientData/>
  </xdr:twoCellAnchor>
  <xdr:twoCellAnchor editAs="oneCell">
    <xdr:from>
      <xdr:col>2</xdr:col>
      <xdr:colOff>561975</xdr:colOff>
      <xdr:row>17</xdr:row>
      <xdr:rowOff>200025</xdr:rowOff>
    </xdr:from>
    <xdr:to>
      <xdr:col>2</xdr:col>
      <xdr:colOff>2295525</xdr:colOff>
      <xdr:row>17</xdr:row>
      <xdr:rowOff>1362075</xdr:rowOff>
    </xdr:to>
    <xdr:pic>
      <xdr:nvPicPr>
        <xdr:cNvPr id="20" name="Picture 21" descr="jardines">
          <a:extLst>
            <a:ext uri="{FF2B5EF4-FFF2-40B4-BE49-F238E27FC236}">
              <a16:creationId xmlns:a16="http://schemas.microsoft.com/office/drawing/2014/main" id="{8E019141-BF47-4F3F-813E-5B20E30E70D5}"/>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172075" y="8763000"/>
          <a:ext cx="1733550" cy="1162050"/>
        </a:xfrm>
        <a:prstGeom prst="rect">
          <a:avLst/>
        </a:prstGeom>
        <a:noFill/>
        <a:ln w="9525">
          <a:noFill/>
          <a:miter lim="800000"/>
          <a:headEnd/>
          <a:tailEnd/>
        </a:ln>
      </xdr:spPr>
    </xdr:pic>
    <xdr:clientData/>
  </xdr:twoCellAnchor>
  <xdr:twoCellAnchor editAs="oneCell">
    <xdr:from>
      <xdr:col>2</xdr:col>
      <xdr:colOff>0</xdr:colOff>
      <xdr:row>98</xdr:row>
      <xdr:rowOff>0</xdr:rowOff>
    </xdr:from>
    <xdr:to>
      <xdr:col>3</xdr:col>
      <xdr:colOff>266700</xdr:colOff>
      <xdr:row>101</xdr:row>
      <xdr:rowOff>295275</xdr:rowOff>
    </xdr:to>
    <xdr:pic>
      <xdr:nvPicPr>
        <xdr:cNvPr id="21" name="Picture 22" descr="el pedregal">
          <a:extLst>
            <a:ext uri="{FF2B5EF4-FFF2-40B4-BE49-F238E27FC236}">
              <a16:creationId xmlns:a16="http://schemas.microsoft.com/office/drawing/2014/main" id="{675A2590-57FD-422D-8501-F22819FDBC8F}"/>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610100" y="63979425"/>
          <a:ext cx="3048000" cy="2295525"/>
        </a:xfrm>
        <a:prstGeom prst="rect">
          <a:avLst/>
        </a:prstGeom>
        <a:noFill/>
        <a:ln w="9525">
          <a:noFill/>
          <a:miter lim="800000"/>
          <a:headEnd/>
          <a:tailEnd/>
        </a:ln>
      </xdr:spPr>
    </xdr:pic>
    <xdr:clientData/>
  </xdr:twoCellAnchor>
  <xdr:twoCellAnchor editAs="oneCell">
    <xdr:from>
      <xdr:col>2</xdr:col>
      <xdr:colOff>0</xdr:colOff>
      <xdr:row>98</xdr:row>
      <xdr:rowOff>0</xdr:rowOff>
    </xdr:from>
    <xdr:to>
      <xdr:col>3</xdr:col>
      <xdr:colOff>266700</xdr:colOff>
      <xdr:row>101</xdr:row>
      <xdr:rowOff>295275</xdr:rowOff>
    </xdr:to>
    <xdr:pic>
      <xdr:nvPicPr>
        <xdr:cNvPr id="22" name="Picture 23" descr="el pedregal">
          <a:extLst>
            <a:ext uri="{FF2B5EF4-FFF2-40B4-BE49-F238E27FC236}">
              <a16:creationId xmlns:a16="http://schemas.microsoft.com/office/drawing/2014/main" id="{3A79FEF9-12B1-440C-8781-1865C5F99701}"/>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610100" y="63979425"/>
          <a:ext cx="3048000" cy="2295525"/>
        </a:xfrm>
        <a:prstGeom prst="rect">
          <a:avLst/>
        </a:prstGeom>
        <a:noFill/>
        <a:ln w="9525">
          <a:noFill/>
          <a:miter lim="800000"/>
          <a:headEnd/>
          <a:tailEnd/>
        </a:ln>
      </xdr:spPr>
    </xdr:pic>
    <xdr:clientData/>
  </xdr:twoCellAnchor>
  <xdr:twoCellAnchor>
    <xdr:from>
      <xdr:col>1</xdr:col>
      <xdr:colOff>952500</xdr:colOff>
      <xdr:row>17</xdr:row>
      <xdr:rowOff>114300</xdr:rowOff>
    </xdr:from>
    <xdr:to>
      <xdr:col>1</xdr:col>
      <xdr:colOff>2352675</xdr:colOff>
      <xdr:row>17</xdr:row>
      <xdr:rowOff>1428750</xdr:rowOff>
    </xdr:to>
    <xdr:pic>
      <xdr:nvPicPr>
        <xdr:cNvPr id="23" name="Picture 24" descr="Casa Elvin Santos">
          <a:extLst>
            <a:ext uri="{FF2B5EF4-FFF2-40B4-BE49-F238E27FC236}">
              <a16:creationId xmlns:a16="http://schemas.microsoft.com/office/drawing/2014/main" id="{9980AFB5-4197-47C5-9716-EAE029242511}"/>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819400" y="8677275"/>
          <a:ext cx="1400175" cy="1314450"/>
        </a:xfrm>
        <a:prstGeom prst="rect">
          <a:avLst/>
        </a:prstGeom>
        <a:noFill/>
        <a:ln w="9525">
          <a:noFill/>
          <a:miter lim="800000"/>
          <a:headEnd/>
          <a:tailEnd/>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561975</xdr:colOff>
      <xdr:row>0</xdr:row>
      <xdr:rowOff>447675</xdr:rowOff>
    </xdr:from>
    <xdr:to>
      <xdr:col>23</xdr:col>
      <xdr:colOff>809625</xdr:colOff>
      <xdr:row>0</xdr:row>
      <xdr:rowOff>676275</xdr:rowOff>
    </xdr:to>
    <xdr:sp macro="" textlink="">
      <xdr:nvSpPr>
        <xdr:cNvPr id="2" name="Flecha: hacia abajo 1">
          <a:extLst>
            <a:ext uri="{FF2B5EF4-FFF2-40B4-BE49-F238E27FC236}">
              <a16:creationId xmlns:a16="http://schemas.microsoft.com/office/drawing/2014/main" id="{00000000-0008-0000-0900-000002000000}"/>
            </a:ext>
          </a:extLst>
        </xdr:cNvPr>
        <xdr:cNvSpPr/>
      </xdr:nvSpPr>
      <xdr:spPr>
        <a:xfrm>
          <a:off x="16725900" y="447675"/>
          <a:ext cx="200025" cy="228600"/>
        </a:xfrm>
        <a:prstGeom prst="down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561975</xdr:colOff>
      <xdr:row>0</xdr:row>
      <xdr:rowOff>447675</xdr:rowOff>
    </xdr:from>
    <xdr:to>
      <xdr:col>4</xdr:col>
      <xdr:colOff>809625</xdr:colOff>
      <xdr:row>0</xdr:row>
      <xdr:rowOff>676275</xdr:rowOff>
    </xdr:to>
    <xdr:sp macro="" textlink="">
      <xdr:nvSpPr>
        <xdr:cNvPr id="2" name="Flecha: hacia abajo 1">
          <a:extLst>
            <a:ext uri="{FF2B5EF4-FFF2-40B4-BE49-F238E27FC236}">
              <a16:creationId xmlns:a16="http://schemas.microsoft.com/office/drawing/2014/main" id="{00000000-0008-0000-0D00-000002000000}"/>
            </a:ext>
          </a:extLst>
        </xdr:cNvPr>
        <xdr:cNvSpPr/>
      </xdr:nvSpPr>
      <xdr:spPr>
        <a:xfrm>
          <a:off x="8715375" y="447675"/>
          <a:ext cx="247650" cy="228600"/>
        </a:xfrm>
        <a:prstGeom prst="down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uisa.lozada/AppData/Local/Microsoft/Windows/INetCache/Content.Outlook/1QVHZCH5/H04032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psosgroup-my.sharepoint.com/Users/luisa.lozada/AppData/Local/Microsoft/Windows/INetCache/Content.Outlook/1QVHZCH5/H040321.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ipsosgroup-my.sharepoint.com/personal/fabiola_marin_ipsos_com/Documents/Desktop/Estimating/Finales/ratecards/Pilotos/Ipsos%20Ratecard%202024%20V3%20Familia%2025%20productos.xlsm" TargetMode="External"/><Relationship Id="rId1" Type="http://schemas.openxmlformats.org/officeDocument/2006/relationships/externalLinkPath" Target="https://ipsosgroup-my.sharepoint.com/personal/fabiola_marin_ipsos_com/Documents/Desktop/Estimating/Finales/Ratecards/Proyectos%20Internacionales/Lechera/Pilotos/Ipsos%20Ratecard%202024%20V3%20Familia%2025%20produc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Cost sheet"/>
      <sheetName val="Auxiliary Sheet"/>
      <sheetName val="Locations"/>
      <sheetName val="H040321"/>
    </sheetNames>
    <sheetDataSet>
      <sheetData sheetId="0"/>
      <sheetData sheetId="1"/>
      <sheetData sheetId="2">
        <row r="2">
          <cell r="AA2">
            <v>1</v>
          </cell>
        </row>
        <row r="3">
          <cell r="AA3">
            <v>2</v>
          </cell>
        </row>
        <row r="4">
          <cell r="AA4">
            <v>3</v>
          </cell>
        </row>
        <row r="5">
          <cell r="AA5">
            <v>4</v>
          </cell>
        </row>
        <row r="6">
          <cell r="AA6">
            <v>5</v>
          </cell>
        </row>
        <row r="7">
          <cell r="AA7">
            <v>6</v>
          </cell>
        </row>
        <row r="8">
          <cell r="AA8">
            <v>7</v>
          </cell>
        </row>
        <row r="9">
          <cell r="AA9">
            <v>8</v>
          </cell>
        </row>
        <row r="10">
          <cell r="AA10">
            <v>9</v>
          </cell>
        </row>
        <row r="11">
          <cell r="AA11">
            <v>10</v>
          </cell>
        </row>
      </sheetData>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Details"/>
      <sheetName val="Cost sheet"/>
      <sheetName val="Auxiliary Sheet"/>
      <sheetName val="Locations"/>
      <sheetName val="H040321"/>
    </sheetNames>
    <sheetDataSet>
      <sheetData sheetId="0"/>
      <sheetData sheetId="1"/>
      <sheetData sheetId="2">
        <row r="2">
          <cell r="AA2">
            <v>1</v>
          </cell>
        </row>
        <row r="3">
          <cell r="AA3">
            <v>2</v>
          </cell>
        </row>
        <row r="4">
          <cell r="AA4">
            <v>3</v>
          </cell>
        </row>
        <row r="5">
          <cell r="AA5">
            <v>4</v>
          </cell>
        </row>
        <row r="6">
          <cell r="AA6">
            <v>5</v>
          </cell>
        </row>
        <row r="7">
          <cell r="AA7">
            <v>6</v>
          </cell>
        </row>
        <row r="8">
          <cell r="AA8">
            <v>7</v>
          </cell>
        </row>
        <row r="9">
          <cell r="AA9">
            <v>8</v>
          </cell>
        </row>
        <row r="10">
          <cell r="AA10">
            <v>9</v>
          </cell>
        </row>
        <row r="11">
          <cell r="AA11">
            <v>10</v>
          </cell>
        </row>
      </sheetData>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ntradas"/>
      <sheetName val="Tarifario Estadistica"/>
      <sheetName val="Costos Directos discriminados"/>
      <sheetName val="Valores Insumos reclutamiento"/>
      <sheetName val="Parametros"/>
      <sheetName val="Horas"/>
      <sheetName val="Codificación"/>
      <sheetName val="Trasabilidad"/>
      <sheetName val="Estructura de costos - 2023"/>
      <sheetName val="Hoja1"/>
      <sheetName val="Valor Hora - Alternativas"/>
      <sheetName val="Hoja4"/>
      <sheetName val="Hoja2 (2)"/>
      <sheetName val="Valor por peso"/>
      <sheetName val="Hoja2"/>
    </sheetNames>
    <sheetDataSet>
      <sheetData sheetId="0"/>
      <sheetData sheetId="1"/>
      <sheetData sheetId="2"/>
      <sheetData sheetId="3"/>
      <sheetData sheetId="4">
        <row r="68">
          <cell r="B68" t="str">
            <v>Otros</v>
          </cell>
          <cell r="C68"/>
        </row>
        <row r="69">
          <cell r="B69" t="str">
            <v>Si</v>
          </cell>
          <cell r="C69">
            <v>1</v>
          </cell>
        </row>
        <row r="70">
          <cell r="B70" t="str">
            <v>No</v>
          </cell>
          <cell r="C70">
            <v>0</v>
          </cell>
        </row>
      </sheetData>
      <sheetData sheetId="5"/>
      <sheetData sheetId="6"/>
      <sheetData sheetId="7"/>
      <sheetData sheetId="8"/>
      <sheetData sheetId="9"/>
      <sheetData sheetId="10"/>
      <sheetData sheetId="11"/>
      <sheetData sheetId="12"/>
      <sheetData sheetId="13"/>
      <sheetData sheetId="14"/>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667B0523-5D81-4980-8A05-43646E32E0F1}"/>
</namedSheetViews>
</file>

<file path=xl/persons/person.xml><?xml version="1.0" encoding="utf-8"?>
<personList xmlns="http://schemas.microsoft.com/office/spreadsheetml/2018/threadedcomments" xmlns:x="http://schemas.openxmlformats.org/spreadsheetml/2006/main">
  <person displayName="Fabiola Marin" id="{99DA1520-0F29-40B3-B624-842A3ED70595}" userId="S::Fabiola.Marin@ipsos.com::5e18c067-6177-4bbb-842a-0a71d581a23e" providerId="AD"/>
</personList>
</file>

<file path=xl/theme/theme1.xml><?xml version="1.0" encoding="utf-8"?>
<a:theme xmlns:a="http://schemas.openxmlformats.org/drawingml/2006/main" name="Office 2013 - Tema de 2022">
  <a:themeElements>
    <a:clrScheme name="Ipsos 2024">
      <a:dk1>
        <a:srgbClr val="000000"/>
      </a:dk1>
      <a:lt1>
        <a:sysClr val="window" lastClr="FFFFFF"/>
      </a:lt1>
      <a:dk2>
        <a:srgbClr val="1DAFAD"/>
      </a:dk2>
      <a:lt2>
        <a:srgbClr val="103C50"/>
      </a:lt2>
      <a:accent1>
        <a:srgbClr val="121B5A"/>
      </a:accent1>
      <a:accent2>
        <a:srgbClr val="E2DA51"/>
      </a:accent2>
      <a:accent3>
        <a:srgbClr val="FF740F"/>
      </a:accent3>
      <a:accent4>
        <a:srgbClr val="452567"/>
      </a:accent4>
      <a:accent5>
        <a:srgbClr val="E50158"/>
      </a:accent5>
      <a:accent6>
        <a:srgbClr val="9FE5D8"/>
      </a:accent6>
      <a:hlink>
        <a:srgbClr val="2F469C"/>
      </a:hlink>
      <a:folHlink>
        <a:srgbClr val="84329B"/>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4" dT="2024-08-27T12:38:19.75" personId="{99DA1520-0F29-40B3-B624-842A3ED70595}" id="{4C7640E0-455B-4F8E-B963-E70DB26FB952}">
    <text>PROVEEDOR CON EL QUE REALIZA EL CAMPO</text>
  </threadedComment>
  <threadedComment ref="E15" dT="2024-08-27T12:38:19.75" personId="{99DA1520-0F29-40B3-B624-842A3ED70595}" id="{CD8E7AA3-7CDB-4256-84CB-34602499E165}">
    <text>PROVEEDOR CON EL QUE REALIZA EL CAMPO</text>
  </threadedComment>
  <threadedComment ref="C56" dT="2025-02-05T13:40:17.42" personId="{99DA1520-0F29-40B3-B624-842A3ED70595}" id="{226BB861-57D5-4CFB-8F8C-95396BA65857}">
    <text>Para Mystery y Shopper no se debe Marcarlo aquí</text>
  </threadedComment>
  <threadedComment ref="C57" dT="2025-02-05T13:40:25.50" personId="{99DA1520-0F29-40B3-B624-842A3ED70595}" id="{502ACB76-9DB8-4174-BF37-BE2651FBBB0F}">
    <text>Para Mystery y Shopper no se debe Marcarlo aquí</text>
  </threadedComment>
  <threadedComment ref="D79" dT="2025-02-28T13:35:47.84" personId="{99DA1520-0F29-40B3-B624-842A3ED70595}" id="{C9EC846B-F668-4DEB-933F-A1503F11B862}">
    <text>Se recomienda mínimo 4 horas</text>
  </threadedComment>
  <threadedComment ref="D80" dT="2025-02-28T13:36:24.32" personId="{99DA1520-0F29-40B3-B624-842A3ED70595}" id="{61622E54-0165-4485-88C0-A72BDED065CE}">
    <text>Mínimo 3 por cada 2 Mysterys</text>
  </threadedComment>
</ThreadedComments>
</file>

<file path=xl/threadedComments/threadedComment2.xml><?xml version="1.0" encoding="utf-8"?>
<ThreadedComments xmlns="http://schemas.microsoft.com/office/spreadsheetml/2018/threadedcomments" xmlns:x="http://schemas.openxmlformats.org/spreadsheetml/2006/main">
  <threadedComment ref="C79" dT="2024-05-07T16:31:21.16" personId="{99DA1520-0F29-40B3-B624-842A3ED70595}" id="{D428A22D-0B06-4B73-A443-85213C3BAB3C}">
    <text>3261 valor del transporte/5 encuestas</text>
  </threadedComment>
  <threadedComment ref="B85" dT="2024-05-07T16:49:44.29" personId="{99DA1520-0F29-40B3-B624-842A3ED70595}" id="{75877C52-18FF-4D4C-BA59-17F15E0418B1}">
    <text>2 días por cada estudio</text>
  </threadedComment>
  <threadedComment ref="B86" dT="2024-05-15T12:37:41.08" personId="{99DA1520-0F29-40B3-B624-842A3ED70595}" id="{FE22CC1A-6923-4CA8-91BA-6BD7F1F2D64C}">
    <text>Solo si no se recluta el 100%, se utiliza como apoyo para falla del reclutamiento, $81.000 por día</text>
  </threadedComment>
  <threadedComment ref="B87" dT="2024-05-15T12:39:08.51" personId="{99DA1520-0F29-40B3-B624-842A3ED70595}" id="{75259F7F-8167-455C-93E4-5052F2F15F58}">
    <text>Personas de apoyo para servir y pasar producto, $81.000 día, se sugiere mínimo 2 por estudio</text>
  </threadedComment>
  <threadedComment ref="C89" dT="2024-05-15T12:40:49.26" personId="{99DA1520-0F29-40B3-B624-842A3ED70595}" id="{E84C1B86-AD5E-472D-A152-078B589007D2}">
    <text>Valor por hoja</text>
  </threadedComment>
  <threadedComment ref="B92" dT="2024-05-07T16:48:13.96" personId="{99DA1520-0F29-40B3-B624-842A3ED70595}" id="{E9A0EE0E-3723-47C4-8A24-F2CE600A7AD3}">
    <text>3 Horas</text>
  </threadedComment>
  <threadedComment ref="B92" dT="2024-08-20T21:07:39.11" personId="{99DA1520-0F29-40B3-B624-842A3ED70595}" id="{11D52F2A-8DF9-4AFE-9C34-1DB29933972B}" parentId="{E9A0EE0E-3723-47C4-8A24-F2CE600A7AD3}">
    <text>Incluye parafiscales</text>
  </threadedComment>
  <threadedComment ref="B93" dT="2024-05-07T16:47:35.20" personId="{99DA1520-0F29-40B3-B624-842A3ED70595}" id="{D31EA2FD-2198-4405-86B0-8679E3CE440E}">
    <text>8 horas, 20% de encuestas</text>
  </threadedComment>
  <threadedComment ref="B94" dT="2024-05-07T16:41:37.92" personId="{99DA1520-0F29-40B3-B624-842A3ED70595}" id="{02B4E172-E108-4B8C-B607-2798F9F0EFB5}">
    <text>31 Horas</text>
  </threadedComment>
  <threadedComment ref="B95" dT="2024-05-07T16:50:18.33" personId="{99DA1520-0F29-40B3-B624-842A3ED70595}" id="{32817303-790C-48D8-A9BC-7E1A1E4BC93F}">
    <text>165 Minutos</text>
  </threadedComment>
  <threadedComment ref="D95" dT="2024-06-06T16:01:27.98" personId="{99DA1520-0F29-40B3-B624-842A3ED70595}" id="{4DB6728E-3942-4945-9D52-F76998D043C6}">
    <text>5 min por encuesta</text>
  </threadedComment>
  <threadedComment ref="B97" dT="2024-05-14T19:25:32.00" personId="{99DA1520-0F29-40B3-B624-842A3ED70595}" id="{A507CDC0-F237-45B9-8A0C-1C34D0691C50}">
    <text>100% de la muestra y realizan 300 encuestas en 4 horas</text>
  </threadedComment>
  <threadedComment ref="B119" dT="2024-05-15T12:19:40.21" personId="{99DA1520-0F29-40B3-B624-842A3ED70595}" id="{173C568E-5805-4B2A-B3B4-85C8ABBFE6BA}">
    <text>Valor Hora</text>
  </threadedComment>
  <threadedComment ref="B120" dT="2024-05-07T16:38:39.16" personId="{99DA1520-0F29-40B3-B624-842A3ED70595}" id="{F124ADE4-8789-4C4B-91B0-CFA8A2CF5B81}">
    <text xml:space="preserve">18 Horas
</text>
  </threadedComment>
  <threadedComment ref="B121" dT="2024-05-07T16:38:39.16" personId="{99DA1520-0F29-40B3-B624-842A3ED70595}" id="{CA41ED6B-5EB8-43AF-9071-940C8537F973}">
    <text xml:space="preserve">18 Horas
</text>
  </threadedComment>
  <threadedComment ref="B122" dT="2024-05-07T16:39:43.56" personId="{99DA1520-0F29-40B3-B624-842A3ED70595}" id="{E3C40D6D-4EA5-4AE4-9418-53D9AA939F74}">
    <text>41 Horas</text>
  </threadedComment>
  <threadedComment ref="B123" dT="2024-05-07T16:39:43.56" personId="{99DA1520-0F29-40B3-B624-842A3ED70595}" id="{4EF3C593-0880-473F-A036-98854FF96AF6}">
    <text>41 Horas</text>
  </threadedComment>
  <threadedComment ref="B124" dT="2024-05-07T16:37:38.14" personId="{99DA1520-0F29-40B3-B624-842A3ED70595}" id="{0974AE8B-871C-4711-8162-CB380B015589}">
    <text>18 Horas</text>
  </threadedComment>
  <threadedComment ref="B125" dT="2024-05-07T16:38:18.38" personId="{99DA1520-0F29-40B3-B624-842A3ED70595}" id="{9FDA844D-C769-4096-8DDE-6A5F8032909F}">
    <text xml:space="preserve">18 Horas
</text>
  </threadedComment>
  <threadedComment ref="B126" dT="2024-05-07T16:38:34.23" personId="{99DA1520-0F29-40B3-B624-842A3ED70595}" id="{F4C151E4-9055-4EB8-A3B1-8A996BC121E4}">
    <text xml:space="preserve">18 Horas
</text>
  </threadedComment>
</ThreadedComments>
</file>

<file path=xl/threadedComments/threadedComment3.xml><?xml version="1.0" encoding="utf-8"?>
<ThreadedComments xmlns="http://schemas.microsoft.com/office/spreadsheetml/2018/threadedcomments" xmlns:x="http://schemas.openxmlformats.org/spreadsheetml/2006/main">
  <threadedComment ref="B21" dT="2024-03-18T16:51:36.66" personId="{99DA1520-0F29-40B3-B624-842A3ED70595}" id="{8937AD7D-854F-4E87-99FD-A1216397A1A9}">
    <text xml:space="preserve">5 por ciudad </text>
  </threadedComment>
  <threadedComment ref="B22" dT="2024-03-18T16:52:14.49" personId="{99DA1520-0F29-40B3-B624-842A3ED70595}" id="{97500F29-C51E-4A1C-9BAB-5E8C7D439323}">
    <text>5 por ciudad</text>
  </threadedComment>
  <threadedComment ref="B23" dT="2024-03-18T16:51:53.59" personId="{99DA1520-0F29-40B3-B624-842A3ED70595}" id="{064ED248-A0B0-4A14-8066-643BD9D60573}">
    <text>4 por ciudad</text>
  </threadedComment>
  <threadedComment ref="B24" dT="2024-03-18T16:52:45.18" personId="{99DA1520-0F29-40B3-B624-842A3ED70595}" id="{B1FACB93-64E7-4F82-978B-E03543D5A627}">
    <text>8 por ciudad</text>
  </threadedComment>
  <threadedComment ref="B25" dT="2024-03-18T16:53:02.63" personId="{99DA1520-0F29-40B3-B624-842A3ED70595}" id="{6F96FE4C-8843-43C0-A3FC-200457C2C85B}">
    <text>1 paq. Por ciudad</text>
  </threadedComment>
  <threadedComment ref="D101" dT="2024-04-08T16:23:29.66" personId="{99DA1520-0F29-40B3-B624-842A3ED70595}" id="{6BC26A80-226B-4D3C-BB7E-9018A09F35A2}">
    <text>Adicional grms</text>
  </threadedComment>
</ThreadedComments>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microsoft.com/office/2017/10/relationships/threadedComment" Target="../threadedComments/threadedComment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3.vml"/><Relationship Id="rId1" Type="http://schemas.openxmlformats.org/officeDocument/2006/relationships/drawing" Target="../drawings/drawing4.xml"/><Relationship Id="rId6" Type="http://schemas.microsoft.com/office/2017/10/relationships/threadedComment" Target="../threadedComments/threadedComment2.xml"/><Relationship Id="rId5" Type="http://schemas.openxmlformats.org/officeDocument/2006/relationships/comments" Target="../comments3.xml"/><Relationship Id="rId4" Type="http://schemas.openxmlformats.org/officeDocument/2006/relationships/ctrlProp" Target="../ctrlProps/ctrlProp10.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8" Type="http://schemas.openxmlformats.org/officeDocument/2006/relationships/hyperlink" Target="mailto:adeleon@unimercentroamerica.com" TargetMode="External"/><Relationship Id="rId13" Type="http://schemas.openxmlformats.org/officeDocument/2006/relationships/hyperlink" Target="mailto:hopeusallc@aol.com" TargetMode="External"/><Relationship Id="rId18" Type="http://schemas.openxmlformats.org/officeDocument/2006/relationships/hyperlink" Target="mailto:hugo.mendietar@scm-ca.com" TargetMode="External"/><Relationship Id="rId3" Type="http://schemas.openxmlformats.org/officeDocument/2006/relationships/hyperlink" Target="mailto:erodriguez@romosacr.info" TargetMode="External"/><Relationship Id="rId21" Type="http://schemas.openxmlformats.org/officeDocument/2006/relationships/hyperlink" Target="mailto:Wilfredo.Chavez@ipsos.com" TargetMode="External"/><Relationship Id="rId7" Type="http://schemas.openxmlformats.org/officeDocument/2006/relationships/hyperlink" Target="mailto:adeleon@unimercentroamerica.com" TargetMode="External"/><Relationship Id="rId12" Type="http://schemas.openxmlformats.org/officeDocument/2006/relationships/hyperlink" Target="mailto:stacyann.thompson@cwjamaica.com" TargetMode="External"/><Relationship Id="rId17" Type="http://schemas.openxmlformats.org/officeDocument/2006/relationships/hyperlink" Target="mailto:sarah@horwath-rd.com.do" TargetMode="External"/><Relationship Id="rId2" Type="http://schemas.openxmlformats.org/officeDocument/2006/relationships/hyperlink" Target="mailto:alero2574@hotmail.com" TargetMode="External"/><Relationship Id="rId16" Type="http://schemas.openxmlformats.org/officeDocument/2006/relationships/hyperlink" Target="http://www.mfo2000.com/" TargetMode="External"/><Relationship Id="rId20" Type="http://schemas.openxmlformats.org/officeDocument/2006/relationships/hyperlink" Target="mailto:ewainer@idretail.com%20contacto%20en%20Uruguay" TargetMode="External"/><Relationship Id="rId1" Type="http://schemas.openxmlformats.org/officeDocument/2006/relationships/hyperlink" Target="mailto:gromeo@unimercentroamerica.com" TargetMode="External"/><Relationship Id="rId6" Type="http://schemas.openxmlformats.org/officeDocument/2006/relationships/hyperlink" Target="mailto:miriam.camey@mymcampo.com" TargetMode="External"/><Relationship Id="rId11" Type="http://schemas.openxmlformats.org/officeDocument/2006/relationships/hyperlink" Target="mailto:caribres@wow.net" TargetMode="External"/><Relationship Id="rId5" Type="http://schemas.openxmlformats.org/officeDocument/2006/relationships/hyperlink" Target="mailto:farguedas@fielddataservice.com" TargetMode="External"/><Relationship Id="rId15" Type="http://schemas.openxmlformats.org/officeDocument/2006/relationships/hyperlink" Target="http://www.emevenca.com/" TargetMode="External"/><Relationship Id="rId23" Type="http://schemas.openxmlformats.org/officeDocument/2006/relationships/drawing" Target="../drawings/drawing5.xml"/><Relationship Id="rId10" Type="http://schemas.openxmlformats.org/officeDocument/2006/relationships/hyperlink" Target="mailto:syperez@ska-pr.com" TargetMode="External"/><Relationship Id="rId19" Type="http://schemas.openxmlformats.org/officeDocument/2006/relationships/hyperlink" Target="mailto:carmen@visual.com.py%20Contacto%20de%20Paraguay" TargetMode="External"/><Relationship Id="rId4" Type="http://schemas.openxmlformats.org/officeDocument/2006/relationships/hyperlink" Target="mailto:hugo.mendietar@stcconsultores.com" TargetMode="External"/><Relationship Id="rId9" Type="http://schemas.openxmlformats.org/officeDocument/2006/relationships/hyperlink" Target="mailto:alex.guardia@gomobilenow.biz" TargetMode="External"/><Relationship Id="rId14" Type="http://schemas.openxmlformats.org/officeDocument/2006/relationships/hyperlink" Target="http://www.caribbeanmarketresearch.com/" TargetMode="External"/><Relationship Id="rId22"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inec.go.cr/Web/Home/GeneradorPagina.aspx"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censos2010.gob.pa/Publicaciones/03-06-05/Cuadro1.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5A13-CD77-4CF3-9975-60318DFF6247}">
  <sheetPr codeName="Hoja1"/>
  <dimension ref="A1:P188"/>
  <sheetViews>
    <sheetView showGridLines="0" topLeftCell="A16" zoomScale="70" zoomScaleNormal="70" workbookViewId="0">
      <selection activeCell="C61" sqref="C61"/>
    </sheetView>
  </sheetViews>
  <sheetFormatPr baseColWidth="10" defaultColWidth="5.7109375" defaultRowHeight="12.75" zeroHeight="1" outlineLevelRow="1"/>
  <cols>
    <col min="1" max="1" width="2.7109375" style="292" customWidth="1"/>
    <col min="2" max="2" width="5.7109375" style="292" customWidth="1"/>
    <col min="3" max="3" width="60" style="450" customWidth="1"/>
    <col min="4" max="4" width="31.7109375" style="293" customWidth="1"/>
    <col min="5" max="5" width="18.28515625" style="293" bestFit="1" customWidth="1"/>
    <col min="6" max="6" width="17.85546875" style="293" customWidth="1"/>
    <col min="7" max="7" width="17.42578125" style="293" bestFit="1" customWidth="1"/>
    <col min="8" max="9" width="14.7109375" style="293" customWidth="1"/>
    <col min="10" max="10" width="15.28515625" style="293" customWidth="1"/>
    <col min="11" max="11" width="17.42578125" style="291" customWidth="1"/>
    <col min="12" max="12" width="15" style="291" customWidth="1"/>
    <col min="13" max="13" width="14.42578125" style="291" customWidth="1"/>
    <col min="14" max="14" width="18.7109375" style="291" customWidth="1"/>
    <col min="15" max="16383" width="0" style="291" hidden="1" customWidth="1"/>
    <col min="16384" max="16384" width="0.42578125" style="291" customWidth="1"/>
  </cols>
  <sheetData>
    <row r="1" spans="1:16" ht="9.9499999999999993" customHeight="1">
      <c r="A1" s="286"/>
      <c r="B1" s="286"/>
      <c r="C1" s="285"/>
      <c r="D1" s="284"/>
      <c r="E1" s="284"/>
      <c r="F1" s="284"/>
      <c r="G1" s="284"/>
      <c r="H1" s="284"/>
      <c r="I1" s="284"/>
      <c r="J1" s="284"/>
      <c r="K1" s="287"/>
      <c r="L1" s="287"/>
      <c r="M1" s="287"/>
      <c r="N1" s="287"/>
    </row>
    <row r="2" spans="1:16" ht="20.100000000000001" customHeight="1">
      <c r="A2" s="286"/>
      <c r="B2" s="286"/>
      <c r="C2" s="1074"/>
      <c r="D2" s="1074"/>
      <c r="E2" s="1074"/>
      <c r="F2" s="1075"/>
      <c r="G2" s="284"/>
      <c r="H2" s="284"/>
      <c r="I2" s="284"/>
      <c r="J2" s="284"/>
      <c r="K2" s="287"/>
      <c r="L2" s="287"/>
      <c r="M2" s="287"/>
      <c r="N2" s="287"/>
    </row>
    <row r="3" spans="1:16" ht="20.100000000000001" customHeight="1">
      <c r="A3" s="286"/>
      <c r="B3" s="286"/>
      <c r="C3" s="1076"/>
      <c r="D3" s="1077"/>
      <c r="E3" s="1077"/>
      <c r="F3" s="284"/>
      <c r="G3" s="284"/>
      <c r="H3" s="284"/>
      <c r="I3" s="284"/>
      <c r="J3" s="284"/>
      <c r="K3" s="287"/>
      <c r="L3" s="287"/>
      <c r="M3" s="287"/>
      <c r="N3" s="287"/>
    </row>
    <row r="4" spans="1:16" ht="32.25" customHeight="1">
      <c r="A4" s="286"/>
      <c r="B4" s="286"/>
      <c r="C4" s="1078" t="s">
        <v>931</v>
      </c>
      <c r="D4" s="1276"/>
      <c r="E4" s="1277"/>
      <c r="F4" s="1280"/>
      <c r="G4" s="1280"/>
      <c r="H4" s="284"/>
      <c r="I4" s="284"/>
      <c r="J4" s="284"/>
      <c r="K4" s="287"/>
      <c r="L4" s="287"/>
      <c r="M4" s="287"/>
      <c r="N4" s="287"/>
    </row>
    <row r="5" spans="1:16" ht="57" customHeight="1">
      <c r="A5" s="286"/>
      <c r="B5" s="286"/>
      <c r="C5" s="1078" t="s">
        <v>1</v>
      </c>
      <c r="D5" s="1287"/>
      <c r="E5" s="1287"/>
      <c r="F5" s="284"/>
      <c r="G5" s="284"/>
      <c r="H5" s="284"/>
      <c r="I5" s="284"/>
      <c r="J5" s="284"/>
      <c r="K5" s="287"/>
      <c r="L5" s="287"/>
      <c r="M5" s="287"/>
      <c r="N5" s="287"/>
    </row>
    <row r="6" spans="1:16" ht="15" customHeight="1">
      <c r="A6" s="286"/>
      <c r="B6" s="286"/>
      <c r="C6" s="1078" t="s">
        <v>2</v>
      </c>
      <c r="D6" s="1276"/>
      <c r="E6" s="1276"/>
      <c r="F6" s="1280"/>
      <c r="G6" s="1280"/>
      <c r="H6" s="284"/>
      <c r="I6" s="284"/>
      <c r="J6" s="284"/>
      <c r="K6" s="287"/>
      <c r="L6" s="287"/>
      <c r="M6" s="287"/>
      <c r="N6" s="287"/>
    </row>
    <row r="7" spans="1:16" ht="15" customHeight="1">
      <c r="A7" s="286"/>
      <c r="B7" s="286"/>
      <c r="C7" s="1078" t="s">
        <v>925</v>
      </c>
      <c r="D7" s="1279"/>
      <c r="E7" s="1279"/>
      <c r="F7" s="284"/>
      <c r="G7" s="284"/>
      <c r="H7" s="284" t="s">
        <v>933</v>
      </c>
      <c r="I7" s="284"/>
      <c r="J7" s="284"/>
      <c r="K7" s="287"/>
      <c r="L7" s="287"/>
      <c r="M7" s="287"/>
      <c r="N7" s="287"/>
    </row>
    <row r="8" spans="1:16" ht="15" customHeight="1">
      <c r="A8" s="286"/>
      <c r="B8" s="286"/>
      <c r="C8" s="1078" t="s">
        <v>926</v>
      </c>
      <c r="D8" s="311"/>
      <c r="E8" s="311"/>
      <c r="F8" s="284"/>
      <c r="G8" s="284"/>
      <c r="H8" s="284"/>
      <c r="I8" s="284"/>
      <c r="J8" s="284"/>
      <c r="K8" s="287"/>
      <c r="L8" s="287"/>
      <c r="M8" s="287"/>
      <c r="N8" s="287"/>
    </row>
    <row r="9" spans="1:16" ht="15" customHeight="1">
      <c r="A9" s="286"/>
      <c r="B9" s="286"/>
      <c r="C9" s="1078" t="s">
        <v>927</v>
      </c>
      <c r="D9" s="311" t="s">
        <v>928</v>
      </c>
      <c r="E9" s="284"/>
      <c r="F9" s="284"/>
      <c r="G9" s="284"/>
      <c r="H9" s="284"/>
      <c r="I9" s="284"/>
      <c r="J9" s="284"/>
      <c r="K9" s="287"/>
      <c r="L9" s="287"/>
      <c r="M9" s="287"/>
      <c r="N9" s="287"/>
    </row>
    <row r="10" spans="1:16" ht="15" customHeight="1">
      <c r="A10" s="286"/>
      <c r="B10" s="286"/>
      <c r="C10" s="1078" t="s">
        <v>3</v>
      </c>
      <c r="D10" s="311" t="s">
        <v>174</v>
      </c>
      <c r="E10" s="284"/>
      <c r="F10" s="284"/>
      <c r="G10" s="284"/>
      <c r="H10" s="284"/>
      <c r="I10" s="284"/>
      <c r="J10" s="284"/>
      <c r="K10" s="287"/>
      <c r="L10" s="287"/>
      <c r="M10" s="287"/>
      <c r="N10" s="287"/>
    </row>
    <row r="11" spans="1:16" ht="31.5" customHeight="1">
      <c r="A11" s="286"/>
      <c r="B11" s="286"/>
      <c r="C11" s="1078" t="s">
        <v>916</v>
      </c>
      <c r="D11" s="312" t="s">
        <v>889</v>
      </c>
      <c r="E11" s="284"/>
      <c r="F11" s="284"/>
      <c r="G11" s="284"/>
      <c r="H11" s="284"/>
      <c r="I11" s="284"/>
      <c r="J11" s="284"/>
      <c r="K11" s="287"/>
      <c r="L11" s="287"/>
      <c r="M11" s="287"/>
      <c r="N11" s="287"/>
    </row>
    <row r="12" spans="1:16" ht="15" customHeight="1">
      <c r="A12" s="286"/>
      <c r="B12" s="286"/>
      <c r="C12" s="1078" t="s">
        <v>7</v>
      </c>
      <c r="D12" s="314" t="s">
        <v>8</v>
      </c>
      <c r="E12" s="284"/>
      <c r="F12" s="284"/>
      <c r="G12" s="284"/>
      <c r="H12" s="284"/>
      <c r="I12" s="284"/>
      <c r="J12" s="284"/>
      <c r="K12" s="287"/>
      <c r="L12" s="287"/>
      <c r="M12" s="287"/>
      <c r="N12" s="287"/>
    </row>
    <row r="13" spans="1:16" ht="26.45" customHeight="1" thickBot="1">
      <c r="A13" s="286"/>
      <c r="B13" s="286"/>
      <c r="C13" s="1078" t="s">
        <v>1367</v>
      </c>
      <c r="D13" s="313" t="s">
        <v>531</v>
      </c>
      <c r="E13" s="286">
        <f>VLOOKUP(D13,Parametros!C243:D272,2,0)</f>
        <v>0</v>
      </c>
      <c r="F13" s="1278">
        <f>IF(E13&gt;17,"Revisar con el área de cotización, Sara Vergara o Sandra Guecha",IF(E13=2,"Agregar en la descripción del grupo objetivo la hora de inicio de labor en campo",0))</f>
        <v>0</v>
      </c>
      <c r="G13" s="1278"/>
      <c r="H13" s="1278"/>
      <c r="I13" s="1278"/>
      <c r="J13" s="473"/>
      <c r="K13" s="473"/>
      <c r="L13" s="287"/>
      <c r="M13" s="287"/>
      <c r="N13" s="287"/>
    </row>
    <row r="14" spans="1:16" ht="26.45" customHeight="1">
      <c r="A14" s="286"/>
      <c r="B14" s="286"/>
      <c r="C14" s="1079" t="s">
        <v>994</v>
      </c>
      <c r="D14" s="554"/>
      <c r="E14" s="1281"/>
      <c r="F14" s="1283"/>
      <c r="G14" s="856" t="s">
        <v>1393</v>
      </c>
      <c r="H14" s="855" t="s">
        <v>1397</v>
      </c>
      <c r="I14" s="473"/>
      <c r="J14" s="473"/>
      <c r="K14" s="287"/>
      <c r="L14" s="287"/>
      <c r="M14" s="287"/>
      <c r="N14" s="287"/>
    </row>
    <row r="15" spans="1:16" ht="26.45" customHeight="1" thickBot="1">
      <c r="A15" s="286"/>
      <c r="B15" s="286"/>
      <c r="C15" s="1079" t="s">
        <v>993</v>
      </c>
      <c r="D15" s="554"/>
      <c r="E15" s="1281"/>
      <c r="F15" s="1282"/>
      <c r="G15" s="857"/>
      <c r="H15" s="858"/>
      <c r="I15" s="473"/>
      <c r="J15" s="473"/>
      <c r="K15" s="287"/>
      <c r="L15" s="287"/>
      <c r="M15" s="287"/>
      <c r="N15" s="287"/>
    </row>
    <row r="16" spans="1:16" ht="26.45" customHeight="1" thickBot="1">
      <c r="A16" s="286"/>
      <c r="B16" s="286"/>
      <c r="C16" s="1078" t="s">
        <v>917</v>
      </c>
      <c r="D16" s="308" t="s">
        <v>414</v>
      </c>
      <c r="E16" s="446">
        <f>VLOOKUP(D16,Parametros!$B$230:$C$239,2,0)</f>
        <v>0</v>
      </c>
      <c r="F16" s="1085" t="s">
        <v>1443</v>
      </c>
      <c r="G16" s="1221" t="s">
        <v>1499</v>
      </c>
      <c r="H16" s="859"/>
      <c r="I16" s="1085" t="s">
        <v>1444</v>
      </c>
      <c r="J16" s="1221" t="s">
        <v>1565</v>
      </c>
      <c r="K16" s="859"/>
      <c r="L16" s="1086" t="s">
        <v>1561</v>
      </c>
      <c r="M16" s="1222" t="s">
        <v>1565</v>
      </c>
      <c r="N16" s="859"/>
      <c r="O16" s="287"/>
      <c r="P16" s="287"/>
    </row>
    <row r="17" spans="1:16" ht="26.45" customHeight="1">
      <c r="A17" s="286"/>
      <c r="B17" s="286"/>
      <c r="C17" s="1080" t="str">
        <f>HYPERLINK("#MuestraTec1!J20","Técnica de Recolección 1: Ir a diligenciar muestra")</f>
        <v>Técnica de Recolección 1: Ir a diligenciar muestra</v>
      </c>
      <c r="D17" s="474" t="s">
        <v>921</v>
      </c>
      <c r="E17" s="282">
        <f>VLOOKUP(D17,Parametros!$F$232:$G$242,2,0)</f>
        <v>1</v>
      </c>
      <c r="F17" s="287" t="s">
        <v>1443</v>
      </c>
      <c r="G17" s="287"/>
      <c r="H17" s="287"/>
      <c r="I17" s="287" t="s">
        <v>1444</v>
      </c>
      <c r="J17" s="287"/>
      <c r="K17" s="287"/>
      <c r="L17" s="287" t="s">
        <v>1561</v>
      </c>
      <c r="M17" s="287"/>
      <c r="N17" s="287"/>
      <c r="O17" s="287"/>
      <c r="P17" s="287"/>
    </row>
    <row r="18" spans="1:16" ht="26.45" customHeight="1">
      <c r="A18" s="286"/>
      <c r="B18" s="286"/>
      <c r="C18" s="1080" t="str">
        <f>HYPERLINK("#MuestraTec2!J20","Técnica de Recolección 2: Ir a diligenciar muestra")</f>
        <v>Técnica de Recolección 2: Ir a diligenciar muestra</v>
      </c>
      <c r="D18" s="474" t="s">
        <v>1404</v>
      </c>
      <c r="E18" s="282">
        <f>VLOOKUP(D18,Parametros!$F$232:$G$242,2,0)</f>
        <v>0</v>
      </c>
      <c r="F18" s="287"/>
      <c r="G18" s="287"/>
      <c r="H18" s="287"/>
      <c r="I18" s="287"/>
      <c r="J18" s="287"/>
      <c r="K18" s="287"/>
      <c r="L18" s="287"/>
      <c r="M18" s="287"/>
      <c r="N18" s="287"/>
    </row>
    <row r="19" spans="1:16" ht="26.45" customHeight="1">
      <c r="A19" s="286"/>
      <c r="B19" s="286"/>
      <c r="C19" s="1078" t="s">
        <v>934</v>
      </c>
      <c r="D19" s="474" t="s">
        <v>514</v>
      </c>
      <c r="E19" s="282">
        <f>VLOOKUP(D19,Parametros!E204:F206,2,0)</f>
        <v>0</v>
      </c>
      <c r="F19" s="554">
        <v>0</v>
      </c>
      <c r="G19" s="1278">
        <f>IF(E19=1,"Revisar con el área de cotización, Sara Vergara o Sandra Guecha",0)</f>
        <v>0</v>
      </c>
      <c r="H19" s="1278"/>
      <c r="I19" s="1278"/>
      <c r="J19" s="318"/>
      <c r="K19" s="318"/>
      <c r="L19" s="287"/>
      <c r="M19" s="287"/>
      <c r="N19" s="287"/>
    </row>
    <row r="20" spans="1:16" ht="15" customHeight="1">
      <c r="A20" s="286"/>
      <c r="B20" s="286"/>
      <c r="C20" s="1081" t="s">
        <v>932</v>
      </c>
      <c r="D20" s="451">
        <f>VLOOKUP(E20,Parametros!B24:C34,2,0)</f>
        <v>0.82</v>
      </c>
      <c r="E20" s="310" t="s">
        <v>357</v>
      </c>
      <c r="F20" s="1286" t="str">
        <f>IF(D20&gt;54%,"Recuerde siempre revisar la incidencia con el área de costos, Sara Vergara o Sandra Guecha",0)</f>
        <v>Recuerde siempre revisar la incidencia con el área de costos, Sara Vergara o Sandra Guecha</v>
      </c>
      <c r="G20" s="1278"/>
      <c r="H20" s="1278"/>
      <c r="I20" s="1278"/>
      <c r="J20" s="1278"/>
      <c r="K20" s="287"/>
      <c r="L20" s="287"/>
      <c r="M20" s="287"/>
      <c r="N20" s="287"/>
    </row>
    <row r="21" spans="1:16" ht="27.6" customHeight="1">
      <c r="A21" s="286"/>
      <c r="B21" s="286"/>
      <c r="C21" s="1081" t="s">
        <v>38</v>
      </c>
      <c r="D21" s="1087">
        <f>VLOOKUP(E21,Parametros!B15:C22,2,0)</f>
        <v>20</v>
      </c>
      <c r="E21" s="434" t="s">
        <v>535</v>
      </c>
      <c r="F21" s="1286">
        <f>IF(D21&gt;31,"Recuerde que un cuestionario más extenso genera costos y tiempos mayores, debe revisarse con el area de cotización",0)</f>
        <v>0</v>
      </c>
      <c r="G21" s="1278"/>
      <c r="H21" s="1278"/>
      <c r="I21" s="1278"/>
      <c r="J21" s="1278"/>
      <c r="K21" s="287"/>
      <c r="L21" s="287"/>
      <c r="M21" s="287"/>
      <c r="N21" s="287"/>
    </row>
    <row r="22" spans="1:16" ht="15" customHeight="1">
      <c r="A22" s="286"/>
      <c r="B22" s="286"/>
      <c r="C22" s="1082" t="s">
        <v>40</v>
      </c>
      <c r="D22" s="286"/>
      <c r="E22" s="652"/>
      <c r="F22" s="286"/>
      <c r="G22" s="286"/>
      <c r="H22" s="286"/>
      <c r="I22" s="286"/>
      <c r="J22" s="286"/>
      <c r="K22" s="287"/>
      <c r="L22" s="287"/>
      <c r="M22" s="287"/>
      <c r="N22" s="287"/>
    </row>
    <row r="23" spans="1:16" ht="15" customHeight="1">
      <c r="A23" s="286"/>
      <c r="B23" s="286"/>
      <c r="C23" s="1082" t="s">
        <v>41</v>
      </c>
      <c r="D23" s="286"/>
      <c r="E23" s="652"/>
      <c r="F23" s="286"/>
      <c r="G23" s="286"/>
      <c r="H23" s="286"/>
      <c r="I23" s="286"/>
      <c r="J23" s="286"/>
      <c r="K23" s="287"/>
      <c r="L23" s="287"/>
      <c r="M23" s="287"/>
      <c r="N23" s="287"/>
    </row>
    <row r="24" spans="1:16" ht="15" customHeight="1">
      <c r="A24" s="286"/>
      <c r="B24" s="286"/>
      <c r="C24" s="1082" t="s">
        <v>42</v>
      </c>
      <c r="D24" s="286"/>
      <c r="E24" s="652"/>
      <c r="F24" s="286"/>
      <c r="G24" s="286"/>
      <c r="H24" s="286"/>
      <c r="I24" s="286"/>
      <c r="J24" s="286"/>
      <c r="K24" s="287"/>
      <c r="L24" s="287"/>
      <c r="M24" s="287"/>
      <c r="N24" s="287"/>
    </row>
    <row r="25" spans="1:16" ht="15" customHeight="1">
      <c r="A25" s="286"/>
      <c r="B25" s="286"/>
      <c r="C25" s="1083" t="s">
        <v>43</v>
      </c>
      <c r="D25" s="435" t="s">
        <v>12</v>
      </c>
      <c r="E25" s="282" cm="1">
        <f t="array" ref="E25">VLOOKUP(D25,+Parametros!$B$218:$C$220,2,0)</f>
        <v>0</v>
      </c>
      <c r="F25" s="286"/>
      <c r="G25" s="286"/>
      <c r="H25" s="286"/>
      <c r="I25" s="286"/>
      <c r="J25" s="286"/>
      <c r="K25" s="287"/>
      <c r="L25" s="287"/>
      <c r="M25" s="287"/>
      <c r="N25" s="287"/>
    </row>
    <row r="26" spans="1:16" ht="15" customHeight="1">
      <c r="A26" s="286"/>
      <c r="B26" s="286"/>
      <c r="C26" s="1078" t="s">
        <v>44</v>
      </c>
      <c r="D26" s="1121" t="str">
        <f>VLOOKUP(D25,Parametros!$B$222:$C$223,2,FALSE)</f>
        <v>Total</v>
      </c>
      <c r="E26" s="282">
        <f>VLOOKUP($D$26,Parametros!$B$203:$C$205,2,0)</f>
        <v>1</v>
      </c>
      <c r="F26" s="286"/>
      <c r="G26" s="286"/>
      <c r="H26" s="286"/>
      <c r="I26" s="286"/>
      <c r="J26" s="286"/>
      <c r="K26" s="287"/>
      <c r="L26" s="287"/>
      <c r="M26" s="287"/>
      <c r="N26" s="287"/>
    </row>
    <row r="27" spans="1:16" ht="15" customHeight="1">
      <c r="A27" s="286"/>
      <c r="B27" s="286"/>
      <c r="C27" s="288" t="s">
        <v>45</v>
      </c>
      <c r="D27" s="309" t="s">
        <v>12</v>
      </c>
      <c r="E27" s="282" cm="1">
        <f t="array" ref="E27">VLOOKUP(D27,+Parametros!$B$218:$C$220,2,0)</f>
        <v>0</v>
      </c>
      <c r="F27" s="286"/>
      <c r="G27" s="286"/>
      <c r="H27" s="286"/>
      <c r="I27" s="286"/>
      <c r="J27" s="286"/>
      <c r="K27" s="287"/>
      <c r="L27" s="287"/>
      <c r="M27" s="287"/>
      <c r="N27" s="287"/>
    </row>
    <row r="28" spans="1:16" ht="15" customHeight="1">
      <c r="A28" s="286"/>
      <c r="B28" s="286"/>
      <c r="C28" s="1078" t="s">
        <v>34</v>
      </c>
      <c r="D28" s="306" t="s">
        <v>12</v>
      </c>
      <c r="E28" s="282" cm="1">
        <f t="array" ref="E28">VLOOKUP(D28,+Parametros!$B$218:$C$220,2,0)</f>
        <v>0</v>
      </c>
      <c r="F28" s="286"/>
      <c r="G28" s="286"/>
      <c r="H28" s="286"/>
      <c r="I28" s="286"/>
      <c r="J28" s="286"/>
      <c r="K28" s="287"/>
      <c r="L28" s="287"/>
      <c r="M28" s="287"/>
      <c r="N28" s="287"/>
    </row>
    <row r="29" spans="1:16" ht="15" customHeight="1">
      <c r="A29" s="286"/>
      <c r="B29" s="286"/>
      <c r="C29" s="288" t="s">
        <v>46</v>
      </c>
      <c r="D29" s="309" t="s">
        <v>35</v>
      </c>
      <c r="E29" s="446" cm="1">
        <f t="array" ref="E29">VLOOKUP(D29,+Parametros!$B$218:$C$220,2,0)</f>
        <v>1</v>
      </c>
      <c r="F29" s="1123" t="s">
        <v>854</v>
      </c>
      <c r="G29" s="286"/>
      <c r="H29" s="286"/>
      <c r="I29" s="286"/>
      <c r="J29" s="286"/>
      <c r="K29" s="287"/>
      <c r="L29" s="287"/>
      <c r="M29" s="287"/>
      <c r="N29" s="287"/>
    </row>
    <row r="30" spans="1:16" ht="15" customHeight="1">
      <c r="A30" s="286"/>
      <c r="B30" s="286"/>
      <c r="C30" s="288" t="s">
        <v>47</v>
      </c>
      <c r="D30" s="309" t="s">
        <v>12</v>
      </c>
      <c r="E30" s="282" cm="1">
        <f t="array" ref="E30">VLOOKUP(D30,+Parametros!$B$218:$C$220,2,0)</f>
        <v>0</v>
      </c>
      <c r="F30" s="286"/>
      <c r="G30" s="286"/>
      <c r="H30" s="286"/>
      <c r="I30" s="286"/>
      <c r="J30" s="286"/>
      <c r="K30" s="287"/>
      <c r="L30" s="287"/>
      <c r="M30" s="287"/>
      <c r="N30" s="287"/>
    </row>
    <row r="31" spans="1:16" ht="15" customHeight="1">
      <c r="A31" s="286"/>
      <c r="B31" s="286"/>
      <c r="C31" s="288" t="s">
        <v>48</v>
      </c>
      <c r="D31" s="309" t="s">
        <v>35</v>
      </c>
      <c r="E31" s="282">
        <f>VLOOKUP(D31,Parametros!$B$219:$C$220,2,0)</f>
        <v>1</v>
      </c>
      <c r="F31" s="286"/>
      <c r="G31" s="286"/>
      <c r="H31" s="286"/>
      <c r="I31" s="286"/>
      <c r="J31" s="286"/>
      <c r="K31" s="287"/>
      <c r="L31" s="287"/>
      <c r="M31" s="287"/>
      <c r="N31" s="287"/>
    </row>
    <row r="32" spans="1:16" ht="15" customHeight="1">
      <c r="A32" s="286"/>
      <c r="B32" s="286"/>
      <c r="C32" s="1084" t="s">
        <v>49</v>
      </c>
      <c r="D32" s="1122"/>
      <c r="E32" s="428">
        <v>1</v>
      </c>
      <c r="F32" s="286"/>
      <c r="G32" s="286"/>
      <c r="H32" s="286"/>
      <c r="I32" s="286"/>
      <c r="J32" s="286"/>
      <c r="K32" s="287"/>
      <c r="L32" s="287"/>
      <c r="M32" s="287"/>
      <c r="N32" s="287"/>
    </row>
    <row r="33" spans="1:16" ht="15" customHeight="1">
      <c r="A33" s="286"/>
      <c r="B33" s="286"/>
      <c r="C33" s="1084" t="s">
        <v>50</v>
      </c>
      <c r="D33" s="306" t="s">
        <v>12</v>
      </c>
      <c r="E33" s="282" cm="1">
        <f t="array" ref="E33">VLOOKUP(D33,+Parametros!$B$218:$C$220,2,0)</f>
        <v>0</v>
      </c>
      <c r="F33" s="1284">
        <f>IF(E33&gt;0,"Diligenciar pestaña Tarifario Estadistica",0)</f>
        <v>0</v>
      </c>
      <c r="G33" s="1285"/>
      <c r="H33" s="1285"/>
      <c r="I33" s="1285"/>
      <c r="J33" s="1285"/>
      <c r="K33" s="287"/>
      <c r="L33" s="287"/>
      <c r="M33" s="287"/>
      <c r="N33" s="287"/>
    </row>
    <row r="34" spans="1:16" ht="15" customHeight="1">
      <c r="A34" s="286"/>
      <c r="B34" s="286"/>
      <c r="C34" s="1084" t="s">
        <v>846</v>
      </c>
      <c r="D34" s="554">
        <v>0</v>
      </c>
      <c r="E34" s="451"/>
      <c r="F34" s="318"/>
      <c r="G34" s="318"/>
      <c r="H34" s="318"/>
      <c r="I34" s="318"/>
      <c r="J34" s="318"/>
      <c r="K34" s="287"/>
      <c r="L34" s="287"/>
      <c r="M34" s="287"/>
      <c r="N34" s="287"/>
    </row>
    <row r="35" spans="1:16" ht="15" hidden="1" customHeight="1">
      <c r="A35" s="286"/>
      <c r="B35" s="286"/>
      <c r="C35" s="1078" t="s">
        <v>51</v>
      </c>
      <c r="D35" s="296">
        <v>2</v>
      </c>
      <c r="E35" s="299">
        <v>4</v>
      </c>
      <c r="F35" s="286"/>
      <c r="G35" s="286"/>
      <c r="H35" s="286"/>
      <c r="I35" s="286"/>
      <c r="J35" s="286"/>
      <c r="K35" s="287"/>
      <c r="L35" s="287"/>
      <c r="M35" s="287"/>
      <c r="N35" s="287"/>
    </row>
    <row r="36" spans="1:16" ht="12.6" hidden="1" customHeight="1">
      <c r="A36" s="286"/>
      <c r="B36" s="286"/>
      <c r="C36" s="1078" t="s">
        <v>52</v>
      </c>
      <c r="D36" s="296">
        <v>10</v>
      </c>
      <c r="E36" s="299">
        <f>+'Costos Directos discriminados'!C57</f>
        <v>15</v>
      </c>
      <c r="F36" s="286"/>
      <c r="G36" s="286"/>
      <c r="H36" s="286"/>
      <c r="I36" s="286"/>
      <c r="J36" s="286"/>
      <c r="K36" s="287"/>
      <c r="L36" s="287"/>
      <c r="M36" s="287"/>
      <c r="N36" s="287"/>
    </row>
    <row r="37" spans="1:16" ht="12.6" customHeight="1">
      <c r="A37" s="286"/>
      <c r="B37" s="286"/>
      <c r="C37" s="288" t="s">
        <v>893</v>
      </c>
      <c r="D37" s="309" t="s">
        <v>12</v>
      </c>
      <c r="E37" s="282">
        <f>VLOOKUP(D37,Parametros!$B$219:$C$220,2,0)</f>
        <v>0</v>
      </c>
      <c r="F37" s="286"/>
      <c r="G37" s="286"/>
      <c r="H37" s="286"/>
      <c r="I37" s="286"/>
      <c r="J37" s="286"/>
      <c r="K37" s="287"/>
      <c r="L37" s="287"/>
      <c r="M37" s="287"/>
      <c r="N37" s="287"/>
    </row>
    <row r="38" spans="1:16" ht="12.6" customHeight="1">
      <c r="A38" s="286"/>
      <c r="B38" s="286"/>
      <c r="C38" s="288" t="s">
        <v>895</v>
      </c>
      <c r="D38" s="309" t="s">
        <v>12</v>
      </c>
      <c r="E38" s="282">
        <f>VLOOKUP(D38,Parametros!$B$219:$C$220,2,0)</f>
        <v>0</v>
      </c>
      <c r="F38" s="286"/>
      <c r="G38" s="286"/>
      <c r="H38" s="286"/>
      <c r="I38" s="286"/>
      <c r="J38" s="286"/>
      <c r="K38" s="287"/>
      <c r="L38" s="287"/>
      <c r="M38" s="287"/>
      <c r="N38" s="287"/>
    </row>
    <row r="39" spans="1:16" ht="15" customHeight="1">
      <c r="A39" s="286"/>
      <c r="B39" s="286"/>
      <c r="C39" s="1078" t="s">
        <v>882</v>
      </c>
      <c r="D39" s="554"/>
      <c r="E39" s="1088"/>
      <c r="F39" s="286"/>
      <c r="G39" s="286"/>
      <c r="H39" s="286"/>
      <c r="I39" s="286"/>
      <c r="J39" s="286"/>
      <c r="K39" s="287"/>
      <c r="L39" s="287"/>
      <c r="M39" s="287"/>
      <c r="N39" s="287"/>
    </row>
    <row r="40" spans="1:16" ht="15" customHeight="1">
      <c r="A40" s="286"/>
      <c r="B40" s="286"/>
      <c r="C40" s="283" t="s">
        <v>2244</v>
      </c>
      <c r="D40" s="554"/>
      <c r="E40" s="1088"/>
      <c r="F40" s="286"/>
      <c r="G40" s="286"/>
      <c r="H40" s="286"/>
      <c r="I40" s="286"/>
      <c r="J40" s="286"/>
      <c r="K40" s="287"/>
      <c r="L40" s="287"/>
      <c r="M40" s="287"/>
      <c r="N40" s="287"/>
    </row>
    <row r="41" spans="1:16" ht="15" customHeight="1">
      <c r="A41" s="286"/>
      <c r="B41" s="286"/>
      <c r="C41" s="283" t="s">
        <v>2236</v>
      </c>
      <c r="D41" s="554"/>
      <c r="E41" s="1088"/>
      <c r="F41" s="286"/>
      <c r="G41" s="286"/>
      <c r="H41" s="286"/>
      <c r="I41" s="286"/>
      <c r="J41" s="286"/>
      <c r="K41" s="287"/>
      <c r="L41" s="287"/>
      <c r="M41" s="287"/>
      <c r="N41" s="287"/>
    </row>
    <row r="42" spans="1:16" ht="15" customHeight="1">
      <c r="A42" s="286"/>
      <c r="B42" s="286"/>
      <c r="C42" s="1083" t="s">
        <v>53</v>
      </c>
      <c r="D42" s="451"/>
      <c r="E42" s="308"/>
      <c r="F42" s="286"/>
      <c r="G42" s="286"/>
      <c r="H42" s="286"/>
      <c r="I42" s="286"/>
      <c r="J42" s="286"/>
      <c r="K42" s="287"/>
      <c r="L42" s="287"/>
      <c r="M42" s="287"/>
      <c r="N42" s="287"/>
    </row>
    <row r="43" spans="1:16" ht="26.45" customHeight="1">
      <c r="A43" s="286"/>
      <c r="B43" s="286"/>
      <c r="C43" s="1078" t="s">
        <v>849</v>
      </c>
      <c r="D43" s="428">
        <v>1</v>
      </c>
      <c r="E43" s="1286">
        <f>IF(D43&gt;1,"Revisar con el área de cotización o Sara Vergara",0)</f>
        <v>0</v>
      </c>
      <c r="F43" s="1278"/>
      <c r="G43" s="1278"/>
      <c r="H43" s="318"/>
      <c r="I43" s="318"/>
      <c r="J43" s="318"/>
      <c r="K43" s="318"/>
      <c r="L43" s="287"/>
      <c r="M43" s="287"/>
      <c r="N43" s="287"/>
    </row>
    <row r="44" spans="1:16" ht="15" customHeight="1">
      <c r="A44" s="286"/>
      <c r="B44" s="286"/>
      <c r="C44" s="1078" t="s">
        <v>11</v>
      </c>
      <c r="D44" s="308" t="s">
        <v>12</v>
      </c>
      <c r="E44" s="1296">
        <v>18</v>
      </c>
      <c r="F44" s="1295"/>
      <c r="G44" s="286">
        <v>17</v>
      </c>
      <c r="H44" s="286">
        <v>16</v>
      </c>
      <c r="I44" s="1295">
        <v>15</v>
      </c>
      <c r="J44" s="1295"/>
      <c r="K44" s="287"/>
      <c r="L44" s="287"/>
      <c r="M44" s="287"/>
      <c r="N44" s="287"/>
    </row>
    <row r="45" spans="1:16" ht="15" customHeight="1">
      <c r="A45" s="286"/>
      <c r="B45" s="286"/>
      <c r="C45" s="1078" t="s">
        <v>533</v>
      </c>
      <c r="D45" s="308"/>
      <c r="E45" s="286"/>
      <c r="F45" s="286"/>
      <c r="G45" s="286"/>
      <c r="H45" s="286"/>
      <c r="I45" s="286"/>
      <c r="J45" s="286"/>
      <c r="K45" s="485"/>
      <c r="L45" s="485"/>
      <c r="M45" s="485"/>
      <c r="N45" s="287"/>
    </row>
    <row r="46" spans="1:16" ht="15" customHeight="1">
      <c r="A46" s="286"/>
      <c r="B46" s="286"/>
      <c r="C46" s="283" t="s">
        <v>2243</v>
      </c>
      <c r="D46" s="1242">
        <v>0</v>
      </c>
      <c r="E46" s="287"/>
      <c r="F46" s="287"/>
      <c r="G46" s="286"/>
      <c r="H46" s="286"/>
      <c r="I46" s="287"/>
      <c r="J46" s="287"/>
      <c r="K46" s="287"/>
      <c r="L46" s="287"/>
      <c r="M46" s="287"/>
      <c r="N46" s="287"/>
    </row>
    <row r="47" spans="1:16" ht="15" customHeight="1">
      <c r="A47" s="286"/>
      <c r="B47" s="1067"/>
      <c r="C47" s="1097" t="s">
        <v>13</v>
      </c>
      <c r="D47" s="1134">
        <f>COUNTIF(B49:B55,"VERDADERO")</f>
        <v>1</v>
      </c>
      <c r="E47" s="297">
        <f>SUM(E49:E55)</f>
        <v>30.946187125321657</v>
      </c>
      <c r="F47" s="297">
        <f>SUM(F49:F55)</f>
        <v>136.05272514142291</v>
      </c>
      <c r="G47" s="297">
        <f t="shared" ref="G47:J47" si="0">SUM(G49:G55)</f>
        <v>142.28695036909008</v>
      </c>
      <c r="H47" s="297">
        <f t="shared" ref="H47:I47" si="1">SUM(H49:H55)</f>
        <v>57.320198396913511</v>
      </c>
      <c r="I47" s="297">
        <f t="shared" si="1"/>
        <v>18.726260837730617</v>
      </c>
      <c r="J47" s="297">
        <f t="shared" si="0"/>
        <v>14.667678129521223</v>
      </c>
      <c r="K47" s="287" t="s">
        <v>881</v>
      </c>
      <c r="L47" s="287"/>
      <c r="M47" s="287"/>
      <c r="N47" s="287"/>
    </row>
    <row r="48" spans="1:16" ht="15" customHeight="1">
      <c r="A48" s="286"/>
      <c r="B48" s="1067"/>
      <c r="C48" s="1135" t="s">
        <v>14</v>
      </c>
      <c r="D48" s="1128">
        <f>SUM(D49:D55,K48)</f>
        <v>399.99999999999994</v>
      </c>
      <c r="E48" s="1129" t="s">
        <v>15</v>
      </c>
      <c r="F48" s="1129" t="s">
        <v>16</v>
      </c>
      <c r="G48" s="1129" t="s">
        <v>17</v>
      </c>
      <c r="H48" s="1129" t="s">
        <v>18</v>
      </c>
      <c r="I48" s="1129" t="s">
        <v>19</v>
      </c>
      <c r="J48" s="1129" t="s">
        <v>20</v>
      </c>
      <c r="K48" s="456"/>
      <c r="L48" s="456"/>
      <c r="M48" s="456"/>
      <c r="N48" s="456"/>
      <c r="O48" s="457"/>
      <c r="P48" s="457"/>
    </row>
    <row r="49" spans="1:16" ht="15" customHeight="1">
      <c r="A49" s="286"/>
      <c r="B49" s="286" t="b">
        <f>IF(D49&lt;&gt;0,TRUE,FALSE)</f>
        <v>1</v>
      </c>
      <c r="C49" s="312" t="s">
        <v>21</v>
      </c>
      <c r="D49" s="1130">
        <f t="shared" ref="D49:D55" si="2">SUM(E49:J49)</f>
        <v>399.99999999999994</v>
      </c>
      <c r="E49" s="1131">
        <f>+MuestraTec1!D23+MuestraTec2!D23</f>
        <v>30.946187125321657</v>
      </c>
      <c r="F49" s="1131">
        <f>+MuestraTec1!E23+MuestraTec2!E23</f>
        <v>136.05272514142291</v>
      </c>
      <c r="G49" s="1131">
        <f>+MuestraTec1!F23+MuestraTec2!F23</f>
        <v>142.28695036909008</v>
      </c>
      <c r="H49" s="1131">
        <f>+MuestraTec1!G23+MuestraTec2!G23</f>
        <v>57.320198396913511</v>
      </c>
      <c r="I49" s="1131">
        <f>+MuestraTec1!H23+MuestraTec2!H23</f>
        <v>18.726260837730617</v>
      </c>
      <c r="J49" s="1131">
        <f>+MuestraTec1!I23+MuestraTec2!I23</f>
        <v>14.667678129521223</v>
      </c>
      <c r="K49" s="456"/>
      <c r="L49" s="456"/>
      <c r="M49" s="456"/>
      <c r="N49" s="456"/>
      <c r="O49" s="457"/>
      <c r="P49" s="457"/>
    </row>
    <row r="50" spans="1:16" ht="15" customHeight="1">
      <c r="A50" s="286"/>
      <c r="B50" s="286" t="b">
        <f t="shared" ref="B50:B55" si="3">IF(D50&lt;&gt;0,TRUE,FALSE)</f>
        <v>0</v>
      </c>
      <c r="C50" s="312" t="s">
        <v>22</v>
      </c>
      <c r="D50" s="1130">
        <f t="shared" si="2"/>
        <v>0</v>
      </c>
      <c r="E50" s="1131">
        <f>+MuestraTec1!D24+MuestraTec2!D24</f>
        <v>0</v>
      </c>
      <c r="F50" s="1131">
        <f>+MuestraTec1!E24+MuestraTec2!E24</f>
        <v>0</v>
      </c>
      <c r="G50" s="1131">
        <f>+MuestraTec1!F24+MuestraTec2!F24</f>
        <v>0</v>
      </c>
      <c r="H50" s="1131">
        <f>+MuestraTec1!G24+MuestraTec2!G24</f>
        <v>0</v>
      </c>
      <c r="I50" s="1131">
        <f>+MuestraTec1!H24+MuestraTec2!H24</f>
        <v>0</v>
      </c>
      <c r="J50" s="1131">
        <f>+MuestraTec1!I24+MuestraTec2!I24</f>
        <v>0</v>
      </c>
      <c r="K50" s="456"/>
      <c r="L50" s="456"/>
      <c r="M50" s="456"/>
      <c r="N50" s="456"/>
      <c r="O50" s="457"/>
      <c r="P50" s="457"/>
    </row>
    <row r="51" spans="1:16" ht="15" customHeight="1">
      <c r="A51" s="286"/>
      <c r="B51" s="286" t="b">
        <f t="shared" si="3"/>
        <v>0</v>
      </c>
      <c r="C51" s="312" t="s">
        <v>23</v>
      </c>
      <c r="D51" s="1130">
        <f t="shared" si="2"/>
        <v>0</v>
      </c>
      <c r="E51" s="1131">
        <f>+MuestraTec1!D25+MuestraTec2!D25</f>
        <v>0</v>
      </c>
      <c r="F51" s="1131">
        <f>+MuestraTec1!E25+MuestraTec2!E25</f>
        <v>0</v>
      </c>
      <c r="G51" s="1131">
        <f>+MuestraTec1!F25+MuestraTec2!F25</f>
        <v>0</v>
      </c>
      <c r="H51" s="1131">
        <f>+MuestraTec1!G25+MuestraTec2!G25</f>
        <v>0</v>
      </c>
      <c r="I51" s="1131">
        <f>+MuestraTec1!H25+MuestraTec2!H25</f>
        <v>0</v>
      </c>
      <c r="J51" s="1131">
        <f>+MuestraTec1!I25+MuestraTec2!I25</f>
        <v>0</v>
      </c>
      <c r="K51" s="456"/>
      <c r="L51" s="456"/>
      <c r="M51" s="456"/>
      <c r="N51" s="456"/>
      <c r="O51" s="457"/>
      <c r="P51" s="457"/>
    </row>
    <row r="52" spans="1:16" ht="15" customHeight="1">
      <c r="A52" s="286"/>
      <c r="B52" s="286" t="b">
        <f t="shared" si="3"/>
        <v>0</v>
      </c>
      <c r="C52" s="312" t="s">
        <v>24</v>
      </c>
      <c r="D52" s="1130">
        <f t="shared" si="2"/>
        <v>0</v>
      </c>
      <c r="E52" s="1131">
        <f>+MuestraTec1!D26+MuestraTec2!D26</f>
        <v>0</v>
      </c>
      <c r="F52" s="1131">
        <f>+MuestraTec1!E26+MuestraTec2!E26</f>
        <v>0</v>
      </c>
      <c r="G52" s="1131">
        <f>+MuestraTec1!F26+MuestraTec2!F26</f>
        <v>0</v>
      </c>
      <c r="H52" s="1131">
        <f>+MuestraTec1!G26+MuestraTec2!G26</f>
        <v>0</v>
      </c>
      <c r="I52" s="1131">
        <f>+MuestraTec1!H26+MuestraTec2!H26</f>
        <v>0</v>
      </c>
      <c r="J52" s="1131">
        <f>+MuestraTec1!I26+MuestraTec2!I26</f>
        <v>0</v>
      </c>
      <c r="K52" s="456"/>
      <c r="L52" s="456"/>
      <c r="M52" s="456"/>
      <c r="N52" s="456"/>
      <c r="O52" s="457"/>
      <c r="P52" s="457"/>
    </row>
    <row r="53" spans="1:16" ht="15" customHeight="1">
      <c r="A53" s="286"/>
      <c r="B53" s="286" t="b">
        <f t="shared" si="3"/>
        <v>0</v>
      </c>
      <c r="C53" s="312" t="s">
        <v>25</v>
      </c>
      <c r="D53" s="1130">
        <f t="shared" si="2"/>
        <v>0</v>
      </c>
      <c r="E53" s="1131">
        <f>+MuestraTec1!D27+MuestraTec2!D27</f>
        <v>0</v>
      </c>
      <c r="F53" s="1131">
        <f>+MuestraTec1!E27+MuestraTec2!E27</f>
        <v>0</v>
      </c>
      <c r="G53" s="1131">
        <f>+MuestraTec1!F27+MuestraTec2!F27</f>
        <v>0</v>
      </c>
      <c r="H53" s="1131">
        <f>+MuestraTec1!G27+MuestraTec2!G27</f>
        <v>0</v>
      </c>
      <c r="I53" s="1131">
        <f>+MuestraTec1!H27+MuestraTec2!H27</f>
        <v>0</v>
      </c>
      <c r="J53" s="1131">
        <f>+MuestraTec1!I27+MuestraTec2!I27</f>
        <v>0</v>
      </c>
      <c r="K53" s="456"/>
      <c r="L53" s="456"/>
      <c r="M53" s="456"/>
      <c r="N53" s="456"/>
      <c r="O53" s="457"/>
      <c r="P53" s="457"/>
    </row>
    <row r="54" spans="1:16" ht="15" customHeight="1">
      <c r="A54" s="286"/>
      <c r="B54" s="286" t="b">
        <f t="shared" si="3"/>
        <v>0</v>
      </c>
      <c r="C54" s="312" t="s">
        <v>26</v>
      </c>
      <c r="D54" s="1130">
        <f t="shared" si="2"/>
        <v>0</v>
      </c>
      <c r="E54" s="1131">
        <f>+MuestraTec1!D28+MuestraTec2!D28</f>
        <v>0</v>
      </c>
      <c r="F54" s="1131">
        <f>+MuestraTec1!E28+MuestraTec2!E28</f>
        <v>0</v>
      </c>
      <c r="G54" s="1131">
        <f>+MuestraTec1!F28+MuestraTec2!F28</f>
        <v>0</v>
      </c>
      <c r="H54" s="1131">
        <f>+MuestraTec1!G28+MuestraTec2!G28</f>
        <v>0</v>
      </c>
      <c r="I54" s="1131">
        <f>+MuestraTec1!H28+MuestraTec2!H28</f>
        <v>0</v>
      </c>
      <c r="J54" s="1131">
        <f>+MuestraTec1!I28+MuestraTec2!I28</f>
        <v>0</v>
      </c>
      <c r="K54" s="456"/>
      <c r="L54" s="456"/>
      <c r="M54" s="456"/>
      <c r="N54" s="456"/>
      <c r="O54" s="457"/>
      <c r="P54" s="457"/>
    </row>
    <row r="55" spans="1:16" ht="30" customHeight="1">
      <c r="A55" s="286"/>
      <c r="B55" s="286" t="b">
        <f t="shared" si="3"/>
        <v>0</v>
      </c>
      <c r="C55" s="312" t="s">
        <v>27</v>
      </c>
      <c r="D55" s="1130">
        <f t="shared" si="2"/>
        <v>0</v>
      </c>
      <c r="E55" s="1131">
        <f>+MuestraTec1!D29+MuestraTec2!D29</f>
        <v>0</v>
      </c>
      <c r="F55" s="1131">
        <f>+MuestraTec1!E29+MuestraTec2!E29</f>
        <v>0</v>
      </c>
      <c r="G55" s="1131">
        <f>+MuestraTec1!F29+MuestraTec2!F29</f>
        <v>0</v>
      </c>
      <c r="H55" s="1131">
        <f>+MuestraTec1!G29+MuestraTec2!G29</f>
        <v>0</v>
      </c>
      <c r="I55" s="1131">
        <f>+MuestraTec1!H29+MuestraTec2!H29</f>
        <v>0</v>
      </c>
      <c r="J55" s="1131">
        <f>+MuestraTec1!I29+MuestraTec2!I29</f>
        <v>0</v>
      </c>
      <c r="K55" s="456"/>
      <c r="L55" s="1274">
        <f>IF(D55&gt;0,"Se debe dirigir al área de costos para contemplar las ciudades y sus costos reales",0)</f>
        <v>0</v>
      </c>
      <c r="M55" s="1275"/>
      <c r="N55" s="1275"/>
      <c r="O55" s="1275"/>
      <c r="P55" s="1275"/>
    </row>
    <row r="56" spans="1:16" ht="15" customHeight="1">
      <c r="A56" s="286"/>
      <c r="B56" s="286"/>
      <c r="C56" s="1090" t="s">
        <v>941</v>
      </c>
      <c r="D56" s="1124" t="s">
        <v>409</v>
      </c>
      <c r="E56" s="1291">
        <f>VLOOKUP(E44,Parametros!$A$42:$M$52,HLOOKUP($E$20,Parametros!$A$42:$M$52,2,0),0)</f>
        <v>20000</v>
      </c>
      <c r="F56" s="1292"/>
      <c r="G56" s="1132">
        <f>VLOOKUP(G44,Parametros!$A$42:$M$52,HLOOKUP($E$20,Parametros!$A$42:$M$52,2,0),0)</f>
        <v>20000</v>
      </c>
      <c r="H56" s="1132">
        <f>VLOOKUP(H44,Parametros!$A$42:$M$52,HLOOKUP($E$20,Parametros!$A$42:$M$52,2,0),0)</f>
        <v>25000</v>
      </c>
      <c r="I56" s="1291">
        <f>VLOOKUP(I44,Parametros!$A$42:$M$52,HLOOKUP($E$20,Parametros!$A$42:$M$52,2,0),0)</f>
        <v>30000</v>
      </c>
      <c r="J56" s="1292"/>
      <c r="K56" s="1066"/>
      <c r="L56" s="1066"/>
      <c r="M56" s="1066"/>
      <c r="N56" s="456"/>
      <c r="O56" s="457"/>
      <c r="P56" s="457"/>
    </row>
    <row r="57" spans="1:16" ht="15" customHeight="1">
      <c r="A57" s="286"/>
      <c r="B57" s="286"/>
      <c r="C57" s="1090" t="s">
        <v>940</v>
      </c>
      <c r="D57" s="436" t="s">
        <v>12</v>
      </c>
      <c r="E57" s="1293">
        <f>VLOOKUP(E58,Parametros!$A$42:$M$52,HLOOKUP($E$20,Parametros!$A$42:$M$52,2,0),0)</f>
        <v>25000</v>
      </c>
      <c r="F57" s="1294"/>
      <c r="G57" s="1133">
        <f>VLOOKUP(G58,Parametros!$A$42:$M$52,HLOOKUP($E$20,Parametros!$A$42:$M$52,2,0),0)</f>
        <v>25000</v>
      </c>
      <c r="H57" s="1133">
        <f>VLOOKUP(H58,Parametros!$A$42:$M$52,HLOOKUP($E$20,Parametros!$A$42:$M$52,2,0),0)</f>
        <v>30000</v>
      </c>
      <c r="I57" s="1293">
        <f>VLOOKUP(I58,Parametros!$A$42:$M$52,HLOOKUP($E$20,Parametros!$A$42:$M$52,2,0),0)</f>
        <v>30000</v>
      </c>
      <c r="J57" s="1294"/>
      <c r="K57" s="485"/>
      <c r="L57" s="485"/>
      <c r="M57" s="485"/>
      <c r="N57" s="287"/>
    </row>
    <row r="58" spans="1:16" s="457" customFormat="1" ht="15" customHeight="1">
      <c r="A58" s="452">
        <f>VLOOKUP(D58,Parametros!B219:C220,2,0)</f>
        <v>0</v>
      </c>
      <c r="B58" s="452"/>
      <c r="C58" s="1072" t="s">
        <v>842</v>
      </c>
      <c r="D58" s="1125" t="s">
        <v>12</v>
      </c>
      <c r="E58" s="1288">
        <v>22</v>
      </c>
      <c r="F58" s="1288"/>
      <c r="G58" s="452">
        <v>21</v>
      </c>
      <c r="H58" s="452">
        <v>20</v>
      </c>
      <c r="I58" s="1288">
        <v>19</v>
      </c>
      <c r="J58" s="1288"/>
      <c r="K58" s="1066"/>
      <c r="L58" s="1066"/>
      <c r="M58" s="1066"/>
      <c r="N58" s="456"/>
    </row>
    <row r="59" spans="1:16" s="1071" customFormat="1" ht="15" customHeight="1">
      <c r="A59" s="1067"/>
      <c r="B59" s="1067"/>
      <c r="C59" s="1090" t="s">
        <v>892</v>
      </c>
      <c r="D59" s="475" t="s">
        <v>12</v>
      </c>
      <c r="E59" s="1094">
        <f>VLOOKUP($D$59,Parametros!$B$219:$C$220,2,0)</f>
        <v>0</v>
      </c>
      <c r="F59" s="287"/>
      <c r="G59" s="1067"/>
      <c r="H59" s="1067"/>
      <c r="I59" s="1069"/>
      <c r="J59" s="1069"/>
      <c r="K59" s="1070"/>
      <c r="L59" s="1070"/>
      <c r="M59" s="1070"/>
      <c r="N59" s="1069"/>
    </row>
    <row r="60" spans="1:16" ht="26.45" customHeight="1" outlineLevel="1">
      <c r="A60" s="286"/>
      <c r="B60" s="286"/>
      <c r="C60" s="1078" t="s">
        <v>960</v>
      </c>
      <c r="D60" s="565" t="s">
        <v>958</v>
      </c>
      <c r="E60" s="1089">
        <f>VLOOKUP(D60,Parametros!E208:F210,2,0)</f>
        <v>2</v>
      </c>
      <c r="F60" s="318"/>
      <c r="G60" s="318"/>
      <c r="H60" s="318"/>
      <c r="I60" s="318"/>
      <c r="J60" s="473"/>
      <c r="K60" s="473"/>
      <c r="L60" s="287"/>
      <c r="M60" s="287"/>
      <c r="N60" s="287"/>
    </row>
    <row r="61" spans="1:16" ht="15" customHeight="1" outlineLevel="1">
      <c r="A61" s="286"/>
      <c r="B61" s="286"/>
      <c r="C61" s="1078" t="s">
        <v>953</v>
      </c>
      <c r="D61" s="475" t="s">
        <v>12</v>
      </c>
      <c r="E61" s="1089" cm="1">
        <f t="array" ref="E61">VLOOKUP(D61,+Parametros!$B$218:$C$220,2,0)</f>
        <v>0</v>
      </c>
      <c r="F61" s="287"/>
      <c r="G61" s="286"/>
      <c r="H61" s="286"/>
      <c r="I61" s="287"/>
      <c r="J61" s="287"/>
      <c r="K61" s="485"/>
      <c r="L61" s="485"/>
      <c r="M61" s="485"/>
      <c r="N61" s="287"/>
    </row>
    <row r="62" spans="1:16" ht="15" customHeight="1" outlineLevel="1">
      <c r="A62" s="286"/>
      <c r="B62" s="286"/>
      <c r="C62" s="1078" t="s">
        <v>532</v>
      </c>
      <c r="D62" s="555">
        <v>0</v>
      </c>
      <c r="E62" s="286"/>
      <c r="F62" s="286"/>
      <c r="G62" s="286"/>
      <c r="H62" s="286"/>
      <c r="I62" s="286"/>
      <c r="J62" s="286"/>
      <c r="K62" s="485"/>
      <c r="L62" s="485"/>
      <c r="M62" s="485"/>
      <c r="N62" s="287"/>
    </row>
    <row r="63" spans="1:16" ht="15" customHeight="1" outlineLevel="1">
      <c r="A63" s="286"/>
      <c r="B63" s="286"/>
      <c r="C63" s="288" t="s">
        <v>939</v>
      </c>
      <c r="D63" s="475" t="s">
        <v>413</v>
      </c>
      <c r="E63" s="286"/>
      <c r="F63" s="286"/>
      <c r="G63" s="286"/>
      <c r="H63" s="286"/>
      <c r="I63" s="286"/>
      <c r="J63" s="286"/>
      <c r="K63" s="485"/>
      <c r="L63" s="485"/>
      <c r="M63" s="485"/>
      <c r="N63" s="287"/>
    </row>
    <row r="64" spans="1:16" ht="15" customHeight="1" outlineLevel="1">
      <c r="A64" s="286"/>
      <c r="B64" s="286"/>
      <c r="C64" s="1078" t="s">
        <v>30</v>
      </c>
      <c r="D64" s="475" t="s">
        <v>12</v>
      </c>
      <c r="E64" s="286"/>
      <c r="F64" s="286"/>
      <c r="G64" s="286"/>
      <c r="H64" s="286"/>
      <c r="I64" s="286"/>
      <c r="J64" s="286"/>
      <c r="K64" s="485"/>
      <c r="L64" s="485"/>
      <c r="M64" s="485"/>
      <c r="N64" s="287"/>
    </row>
    <row r="65" spans="1:14" ht="15" customHeight="1" outlineLevel="1">
      <c r="A65" s="286"/>
      <c r="B65" s="286"/>
      <c r="C65" s="449" t="s">
        <v>31</v>
      </c>
      <c r="D65" s="306" t="s">
        <v>35</v>
      </c>
      <c r="E65" s="308">
        <v>2</v>
      </c>
      <c r="F65" s="286"/>
      <c r="G65" s="286"/>
      <c r="H65" s="286"/>
      <c r="I65" s="286"/>
      <c r="J65" s="286"/>
      <c r="K65" s="287"/>
      <c r="L65" s="287"/>
      <c r="M65" s="287"/>
      <c r="N65" s="287"/>
    </row>
    <row r="66" spans="1:14" ht="15" customHeight="1" outlineLevel="1">
      <c r="A66" s="286"/>
      <c r="B66" s="286"/>
      <c r="C66" s="449" t="s">
        <v>32</v>
      </c>
      <c r="D66" s="306" t="s">
        <v>35</v>
      </c>
      <c r="E66" s="308">
        <v>2</v>
      </c>
      <c r="F66" s="286"/>
      <c r="G66" s="286"/>
      <c r="H66" s="286"/>
      <c r="I66" s="286"/>
      <c r="J66" s="286"/>
      <c r="K66" s="287"/>
      <c r="L66" s="287"/>
      <c r="M66" s="287"/>
      <c r="N66" s="287"/>
    </row>
    <row r="67" spans="1:14" ht="15" customHeight="1" outlineLevel="1">
      <c r="A67" s="286"/>
      <c r="B67" s="286"/>
      <c r="C67" s="1091" t="s">
        <v>33</v>
      </c>
      <c r="D67" s="307" t="s">
        <v>35</v>
      </c>
      <c r="E67" s="298">
        <f>+'Costos Directos discriminados'!D49</f>
        <v>2</v>
      </c>
      <c r="F67" s="286"/>
      <c r="G67" s="286"/>
      <c r="H67" s="286"/>
      <c r="I67" s="286"/>
      <c r="J67" s="286"/>
      <c r="K67" s="287"/>
      <c r="L67" s="287"/>
      <c r="M67" s="287"/>
      <c r="N67" s="287"/>
    </row>
    <row r="68" spans="1:14" ht="26.45" customHeight="1" outlineLevel="1">
      <c r="A68" s="286"/>
      <c r="B68" s="286"/>
      <c r="C68" s="1078" t="s">
        <v>880</v>
      </c>
      <c r="D68" s="307" t="s">
        <v>12</v>
      </c>
      <c r="E68" s="298" cm="1">
        <f t="array" ref="E68">VLOOKUP(D68,+[3]Parametros!$B$68:$C$70,2,0)</f>
        <v>0</v>
      </c>
      <c r="F68" s="318"/>
      <c r="G68" s="318"/>
      <c r="H68" s="318"/>
      <c r="I68" s="286"/>
      <c r="J68" s="286"/>
      <c r="K68" s="287"/>
      <c r="L68" s="287"/>
      <c r="M68" s="287"/>
      <c r="N68" s="287"/>
    </row>
    <row r="69" spans="1:14" ht="15" customHeight="1" outlineLevel="1">
      <c r="A69" s="286"/>
      <c r="B69" s="286"/>
      <c r="C69" s="1078" t="s">
        <v>36</v>
      </c>
      <c r="D69" s="307" t="s">
        <v>409</v>
      </c>
      <c r="E69" s="298">
        <f>VLOOKUP($D$69,Parametros!$B$214:$C$217,2,0)</f>
        <v>0</v>
      </c>
      <c r="F69" s="286"/>
      <c r="G69" s="286"/>
      <c r="H69" s="286"/>
      <c r="I69" s="286"/>
      <c r="J69" s="286"/>
      <c r="K69" s="287"/>
      <c r="L69" s="287"/>
      <c r="M69" s="287"/>
      <c r="N69" s="287"/>
    </row>
    <row r="70" spans="1:14">
      <c r="A70" s="452"/>
      <c r="B70" s="452"/>
      <c r="C70" s="453"/>
      <c r="D70" s="454"/>
      <c r="E70" s="454"/>
      <c r="F70" s="454"/>
      <c r="G70" s="454"/>
      <c r="H70" s="454"/>
      <c r="I70" s="284"/>
      <c r="J70" s="284"/>
      <c r="K70" s="287"/>
      <c r="L70" s="287"/>
      <c r="M70" s="287"/>
      <c r="N70" s="287"/>
    </row>
    <row r="71" spans="1:14" s="457" customFormat="1" ht="27" customHeight="1" outlineLevel="1">
      <c r="A71" s="452"/>
      <c r="B71" s="452"/>
      <c r="C71" s="453"/>
      <c r="D71" s="860" t="s">
        <v>1579</v>
      </c>
      <c r="E71" s="860" t="s">
        <v>1580</v>
      </c>
      <c r="F71" s="860" t="s">
        <v>1581</v>
      </c>
      <c r="G71" s="454"/>
      <c r="H71" s="454"/>
      <c r="I71" s="454"/>
      <c r="J71" s="454"/>
      <c r="K71" s="456"/>
      <c r="L71" s="456"/>
      <c r="M71" s="456"/>
      <c r="N71" s="456"/>
    </row>
    <row r="72" spans="1:14" s="457" customFormat="1" ht="18" customHeight="1" outlineLevel="1">
      <c r="A72" s="452"/>
      <c r="B72" s="452"/>
      <c r="C72" s="861" t="s">
        <v>1441</v>
      </c>
      <c r="D72" s="1126">
        <v>1</v>
      </c>
      <c r="E72" s="1126">
        <v>1</v>
      </c>
      <c r="F72" s="1126">
        <v>1</v>
      </c>
      <c r="G72" s="454"/>
      <c r="H72" s="454"/>
      <c r="I72" s="454"/>
      <c r="J72" s="454"/>
      <c r="K72" s="456"/>
      <c r="L72" s="456"/>
      <c r="M72" s="456"/>
      <c r="N72" s="456"/>
    </row>
    <row r="73" spans="1:14" ht="15" customHeight="1" outlineLevel="1">
      <c r="A73" s="286"/>
      <c r="B73" s="286"/>
      <c r="C73" s="1078" t="s">
        <v>1419</v>
      </c>
      <c r="D73" s="1095">
        <v>0</v>
      </c>
      <c r="E73" s="1095"/>
      <c r="F73" s="1095"/>
      <c r="G73" s="286"/>
      <c r="H73" s="286"/>
      <c r="I73" s="286"/>
      <c r="J73" s="286"/>
      <c r="K73" s="287"/>
      <c r="L73" s="287"/>
      <c r="M73" s="287"/>
      <c r="N73" s="287"/>
    </row>
    <row r="74" spans="1:14" ht="18" customHeight="1" outlineLevel="1">
      <c r="A74" s="286"/>
      <c r="B74" s="286"/>
      <c r="C74" s="1078" t="s">
        <v>1464</v>
      </c>
      <c r="D74" s="1095">
        <v>0</v>
      </c>
      <c r="E74" s="1095"/>
      <c r="F74" s="1095"/>
      <c r="G74" s="286"/>
      <c r="H74" s="286"/>
      <c r="I74" s="286"/>
      <c r="J74" s="286"/>
      <c r="K74" s="287"/>
      <c r="L74" s="287"/>
      <c r="M74" s="287"/>
      <c r="N74" s="287"/>
    </row>
    <row r="75" spans="1:14" ht="18.600000000000001" customHeight="1" outlineLevel="1">
      <c r="A75" s="286"/>
      <c r="B75" s="286"/>
      <c r="C75" s="1078" t="s">
        <v>1450</v>
      </c>
      <c r="D75" s="1096">
        <v>0</v>
      </c>
      <c r="E75" s="1096">
        <v>1</v>
      </c>
      <c r="F75" s="1096"/>
      <c r="G75" s="286"/>
      <c r="H75" s="286"/>
      <c r="I75" s="286"/>
      <c r="J75" s="286"/>
      <c r="K75" s="287"/>
      <c r="L75" s="287"/>
      <c r="M75" s="287"/>
      <c r="N75" s="287"/>
    </row>
    <row r="76" spans="1:14" ht="18.95" customHeight="1" outlineLevel="1">
      <c r="A76" s="286"/>
      <c r="B76" s="286"/>
      <c r="C76" s="1078" t="s">
        <v>1451</v>
      </c>
      <c r="D76" s="1096">
        <v>0</v>
      </c>
      <c r="E76" s="1096"/>
      <c r="F76" s="1096"/>
      <c r="G76" s="286"/>
      <c r="H76" s="286"/>
      <c r="I76" s="286"/>
      <c r="J76" s="286"/>
      <c r="K76" s="287"/>
      <c r="L76" s="287"/>
      <c r="M76" s="287"/>
      <c r="N76" s="287"/>
    </row>
    <row r="77" spans="1:14" ht="30.6" customHeight="1" outlineLevel="1">
      <c r="A77" s="286"/>
      <c r="B77" s="286"/>
      <c r="C77" s="288" t="s">
        <v>1466</v>
      </c>
      <c r="D77" s="1095">
        <v>0</v>
      </c>
      <c r="E77" s="1095"/>
      <c r="F77" s="1095"/>
      <c r="G77" s="286"/>
      <c r="H77" s="286"/>
      <c r="I77" s="286"/>
      <c r="J77" s="286"/>
      <c r="K77" s="287"/>
      <c r="L77" s="287"/>
      <c r="M77" s="287"/>
      <c r="N77" s="287"/>
    </row>
    <row r="78" spans="1:14" ht="22.5" customHeight="1" outlineLevel="1">
      <c r="A78" s="286"/>
      <c r="B78" s="286"/>
      <c r="C78" s="288" t="s">
        <v>1463</v>
      </c>
      <c r="D78" s="1127" t="s">
        <v>35</v>
      </c>
      <c r="E78" s="1127" t="s">
        <v>12</v>
      </c>
      <c r="F78" s="1127" t="s">
        <v>12</v>
      </c>
      <c r="G78" s="286"/>
      <c r="H78" s="286"/>
      <c r="I78" s="286"/>
      <c r="J78" s="286"/>
      <c r="K78" s="287"/>
      <c r="L78" s="287"/>
      <c r="M78" s="287"/>
      <c r="N78" s="287"/>
    </row>
    <row r="79" spans="1:14" ht="30.6" customHeight="1" outlineLevel="1">
      <c r="A79" s="286"/>
      <c r="B79" s="286"/>
      <c r="C79" s="288" t="s">
        <v>1585</v>
      </c>
      <c r="D79" s="1096">
        <v>4</v>
      </c>
      <c r="E79" s="1096"/>
      <c r="F79" s="1096"/>
      <c r="G79" s="286"/>
      <c r="H79" s="286"/>
      <c r="I79" s="286"/>
      <c r="J79" s="286"/>
      <c r="K79" s="287"/>
      <c r="L79" s="287"/>
      <c r="M79" s="287"/>
      <c r="N79" s="287"/>
    </row>
    <row r="80" spans="1:14" ht="21.6" customHeight="1" outlineLevel="1">
      <c r="A80" s="286"/>
      <c r="B80" s="286"/>
      <c r="C80" s="288" t="s">
        <v>1584</v>
      </c>
      <c r="D80" s="1096">
        <v>36</v>
      </c>
      <c r="E80" s="1096"/>
      <c r="F80" s="1096"/>
      <c r="G80" s="286"/>
      <c r="H80" s="286"/>
      <c r="I80" s="286"/>
      <c r="J80" s="286"/>
      <c r="K80" s="287"/>
      <c r="L80" s="287"/>
      <c r="M80" s="287"/>
      <c r="N80" s="287"/>
    </row>
    <row r="81" spans="1:14" ht="24.6" customHeight="1" outlineLevel="1">
      <c r="A81" s="286"/>
      <c r="B81" s="286"/>
      <c r="C81" s="288" t="s">
        <v>1583</v>
      </c>
      <c r="D81" s="1096">
        <v>36</v>
      </c>
      <c r="E81" s="1096"/>
      <c r="F81" s="1096"/>
      <c r="G81" s="286"/>
      <c r="H81" s="286"/>
      <c r="I81" s="286"/>
      <c r="J81" s="286"/>
      <c r="K81" s="287"/>
      <c r="L81" s="287"/>
      <c r="M81" s="287"/>
      <c r="N81" s="287"/>
    </row>
    <row r="82" spans="1:14" ht="23.1" customHeight="1" outlineLevel="1">
      <c r="A82" s="286"/>
      <c r="B82" s="286"/>
      <c r="C82" s="288" t="s">
        <v>1439</v>
      </c>
      <c r="D82" s="1127" t="s">
        <v>35</v>
      </c>
      <c r="E82" s="1127" t="s">
        <v>12</v>
      </c>
      <c r="F82" s="1127" t="s">
        <v>12</v>
      </c>
      <c r="G82" s="286"/>
      <c r="H82" s="286"/>
      <c r="I82" s="286"/>
      <c r="J82" s="286"/>
      <c r="K82" s="287"/>
      <c r="L82" s="287"/>
      <c r="M82" s="287"/>
      <c r="N82" s="287"/>
    </row>
    <row r="83" spans="1:14" ht="20.45" customHeight="1" outlineLevel="1">
      <c r="A83" s="286"/>
      <c r="B83" s="286"/>
      <c r="C83" s="288" t="s">
        <v>1440</v>
      </c>
      <c r="D83" s="1127" t="s">
        <v>35</v>
      </c>
      <c r="E83" s="1127" t="s">
        <v>12</v>
      </c>
      <c r="F83" s="1127" t="s">
        <v>12</v>
      </c>
      <c r="G83" s="286"/>
      <c r="H83" s="286"/>
      <c r="I83" s="286"/>
      <c r="J83" s="286"/>
      <c r="K83" s="287"/>
      <c r="L83" s="287"/>
      <c r="M83" s="287"/>
      <c r="N83" s="287"/>
    </row>
    <row r="84" spans="1:14" ht="20.45" customHeight="1" outlineLevel="1">
      <c r="A84" s="286"/>
      <c r="B84" s="286"/>
      <c r="C84" s="288" t="s">
        <v>1447</v>
      </c>
      <c r="D84" s="1127" t="s">
        <v>35</v>
      </c>
      <c r="E84" s="1127" t="s">
        <v>12</v>
      </c>
      <c r="F84" s="1127" t="s">
        <v>12</v>
      </c>
      <c r="G84" s="286"/>
      <c r="H84" s="286"/>
      <c r="I84" s="286"/>
      <c r="J84" s="286"/>
      <c r="K84" s="287"/>
      <c r="L84" s="287"/>
      <c r="M84" s="287"/>
      <c r="N84" s="287"/>
    </row>
    <row r="85" spans="1:14" ht="23.1" customHeight="1" outlineLevel="1">
      <c r="A85" s="286"/>
      <c r="B85" s="286"/>
      <c r="C85" s="1097"/>
      <c r="D85" s="1096"/>
      <c r="E85" s="1096"/>
      <c r="F85" s="1096"/>
      <c r="G85" s="286"/>
      <c r="H85" s="286"/>
      <c r="I85" s="286"/>
      <c r="J85" s="286"/>
      <c r="K85" s="287"/>
      <c r="L85" s="287"/>
      <c r="M85" s="287"/>
      <c r="N85" s="287"/>
    </row>
    <row r="86" spans="1:14" ht="15" customHeight="1" outlineLevel="1">
      <c r="A86" s="286"/>
      <c r="B86" s="286"/>
      <c r="C86" s="1068" t="s">
        <v>1453</v>
      </c>
      <c r="D86" s="1095">
        <v>0</v>
      </c>
      <c r="E86" s="1095"/>
      <c r="F86" s="1095"/>
      <c r="G86" s="286"/>
      <c r="H86" s="286"/>
      <c r="I86" s="286"/>
      <c r="J86" s="286"/>
      <c r="K86" s="287"/>
      <c r="L86" s="287"/>
      <c r="M86" s="287"/>
      <c r="N86" s="287"/>
    </row>
    <row r="87" spans="1:14">
      <c r="A87" s="452"/>
      <c r="B87" s="452"/>
      <c r="C87" s="453"/>
      <c r="D87" s="454"/>
      <c r="E87" s="454"/>
      <c r="F87" s="454"/>
      <c r="G87" s="454"/>
      <c r="H87" s="454"/>
      <c r="I87" s="284"/>
      <c r="J87" s="284"/>
      <c r="K87" s="287"/>
      <c r="L87" s="287"/>
      <c r="M87" s="287"/>
      <c r="N87" s="287"/>
    </row>
    <row r="88" spans="1:14" hidden="1">
      <c r="A88" s="286"/>
      <c r="B88" s="286"/>
      <c r="C88" s="1092"/>
      <c r="D88" s="281"/>
      <c r="E88" s="281"/>
      <c r="F88" s="281"/>
      <c r="G88" s="281"/>
      <c r="H88" s="281"/>
      <c r="I88" s="281"/>
      <c r="J88" s="281"/>
      <c r="K88" s="448"/>
      <c r="L88" s="448"/>
      <c r="M88" s="448"/>
      <c r="N88" s="448"/>
    </row>
    <row r="89" spans="1:14" ht="15" customHeight="1">
      <c r="A89" s="286"/>
      <c r="B89" s="286"/>
      <c r="C89" s="1093" t="s">
        <v>56</v>
      </c>
      <c r="D89" s="294" t="s">
        <v>57</v>
      </c>
      <c r="E89" s="294" t="s">
        <v>58</v>
      </c>
      <c r="F89" s="295" t="s">
        <v>59</v>
      </c>
      <c r="G89" s="284"/>
      <c r="H89" s="284"/>
      <c r="I89" s="284"/>
      <c r="J89" s="284"/>
      <c r="K89" s="287"/>
      <c r="L89" s="287"/>
      <c r="M89" s="287"/>
      <c r="N89" s="287"/>
    </row>
    <row r="90" spans="1:14" ht="15" customHeight="1">
      <c r="A90" s="286"/>
      <c r="B90" s="286"/>
      <c r="C90" s="283" t="s">
        <v>60</v>
      </c>
      <c r="D90" s="289">
        <v>0</v>
      </c>
      <c r="E90" s="313"/>
      <c r="F90" s="300">
        <f>+E90*Horas!J5</f>
        <v>0</v>
      </c>
      <c r="G90" s="284"/>
      <c r="H90" s="284"/>
      <c r="I90" s="284"/>
      <c r="J90" s="284"/>
      <c r="K90" s="287"/>
      <c r="L90" s="287"/>
      <c r="M90" s="287"/>
      <c r="N90" s="287"/>
    </row>
    <row r="91" spans="1:14" ht="15" customHeight="1">
      <c r="A91" s="286"/>
      <c r="B91" s="286"/>
      <c r="C91" s="283" t="s">
        <v>61</v>
      </c>
      <c r="D91" s="289">
        <f>VLOOKUP($D$10&amp;" | "&amp;$C91&amp;" | "&amp;$D$11,Horas!A2:E260,5,0)</f>
        <v>20</v>
      </c>
      <c r="E91" s="313"/>
      <c r="F91" s="300">
        <f>+E91*Horas!J6</f>
        <v>0</v>
      </c>
      <c r="G91" s="284"/>
      <c r="H91" s="284"/>
      <c r="I91" s="284"/>
      <c r="J91" s="284"/>
      <c r="K91" s="287"/>
      <c r="L91" s="287"/>
      <c r="M91" s="287"/>
      <c r="N91" s="287"/>
    </row>
    <row r="92" spans="1:14" ht="15" customHeight="1">
      <c r="A92" s="286"/>
      <c r="B92" s="286"/>
      <c r="C92" s="283" t="s">
        <v>62</v>
      </c>
      <c r="D92" s="289">
        <f>VLOOKUP($D$10&amp;" | "&amp;$C92&amp;" | "&amp;$D$11,Horas!A3:E261,5,0)</f>
        <v>85</v>
      </c>
      <c r="E92" s="854"/>
      <c r="F92" s="300">
        <f>+E92*Horas!J7</f>
        <v>0</v>
      </c>
      <c r="G92" s="284"/>
      <c r="H92" s="284"/>
      <c r="I92" s="284"/>
      <c r="J92" s="284"/>
      <c r="K92" s="287"/>
      <c r="L92" s="287"/>
      <c r="M92" s="287"/>
      <c r="N92" s="287"/>
    </row>
    <row r="93" spans="1:14" ht="15" customHeight="1">
      <c r="A93" s="286"/>
      <c r="B93" s="286"/>
      <c r="C93" s="283" t="s">
        <v>63</v>
      </c>
      <c r="D93" s="289">
        <f>VLOOKUP($D$10&amp;" | "&amp;$C93&amp;" | "&amp;$D$11,Horas!A4:E262,5,0)</f>
        <v>95</v>
      </c>
      <c r="E93" s="854"/>
      <c r="F93" s="300">
        <f>+E93*Horas!J8</f>
        <v>0</v>
      </c>
      <c r="G93" s="284"/>
      <c r="H93" s="284"/>
      <c r="I93" s="284"/>
      <c r="J93" s="284"/>
      <c r="K93" s="287"/>
      <c r="L93" s="287"/>
      <c r="M93" s="287"/>
      <c r="N93" s="287"/>
    </row>
    <row r="94" spans="1:14" ht="15" customHeight="1">
      <c r="A94" s="286"/>
      <c r="B94" s="286"/>
      <c r="C94" s="283" t="s">
        <v>64</v>
      </c>
      <c r="D94" s="289">
        <f>VLOOKUP($D$10&amp;" | "&amp;$C94&amp;" | "&amp;$D$11,Horas!A5:E263,5,0)</f>
        <v>140</v>
      </c>
      <c r="E94" s="854"/>
      <c r="F94" s="300">
        <f>+E94*Horas!J9</f>
        <v>0</v>
      </c>
      <c r="G94" s="284"/>
      <c r="H94" s="284"/>
      <c r="I94" s="284"/>
      <c r="J94" s="284"/>
      <c r="K94" s="287"/>
      <c r="L94" s="287"/>
      <c r="M94" s="287"/>
      <c r="N94" s="287"/>
    </row>
    <row r="95" spans="1:14" ht="15" customHeight="1">
      <c r="A95" s="286"/>
      <c r="B95" s="286"/>
      <c r="C95" s="283" t="s">
        <v>65</v>
      </c>
      <c r="D95" s="302">
        <f>SUM(D91:D94)</f>
        <v>340</v>
      </c>
      <c r="E95" s="302">
        <f>SUM(E91:E94)</f>
        <v>0</v>
      </c>
      <c r="F95" s="301">
        <f>SUM(F91:F94)/(1-26.84%)</f>
        <v>0</v>
      </c>
      <c r="G95" s="284"/>
      <c r="H95" s="284"/>
      <c r="I95" s="284"/>
      <c r="J95" s="284"/>
      <c r="K95" s="287"/>
      <c r="L95" s="287"/>
      <c r="M95" s="287"/>
      <c r="N95" s="287"/>
    </row>
    <row r="96" spans="1:14" s="457" customFormat="1">
      <c r="A96" s="452"/>
      <c r="B96" s="452"/>
      <c r="C96" s="455"/>
      <c r="D96" s="454"/>
      <c r="E96" s="454"/>
      <c r="F96" s="454"/>
      <c r="G96" s="454"/>
      <c r="H96" s="454"/>
      <c r="I96" s="454"/>
      <c r="J96" s="454"/>
      <c r="K96" s="456"/>
      <c r="L96" s="456"/>
      <c r="M96" s="456"/>
      <c r="N96" s="456"/>
    </row>
    <row r="97" spans="1:14" s="457" customFormat="1" ht="18.75" customHeight="1">
      <c r="A97" s="452"/>
      <c r="B97" s="452"/>
      <c r="C97" s="453"/>
      <c r="D97" s="458" t="s">
        <v>59</v>
      </c>
      <c r="E97" s="454"/>
      <c r="F97" s="454"/>
      <c r="G97" s="454"/>
      <c r="H97" s="454"/>
      <c r="I97" s="454"/>
      <c r="J97" s="454"/>
      <c r="K97" s="456"/>
      <c r="L97" s="456"/>
      <c r="M97" s="456"/>
      <c r="N97" s="456"/>
    </row>
    <row r="98" spans="1:14" ht="15" customHeight="1">
      <c r="A98" s="286"/>
      <c r="B98" s="286"/>
      <c r="C98" s="1084" t="s">
        <v>45</v>
      </c>
      <c r="D98" s="303">
        <f>+'Costos Directos discriminados'!D120</f>
        <v>0</v>
      </c>
      <c r="E98" s="284"/>
      <c r="F98" s="1289" t="s">
        <v>2241</v>
      </c>
      <c r="G98" s="1290"/>
      <c r="H98" s="454"/>
      <c r="I98" s="284"/>
      <c r="J98" s="284"/>
      <c r="K98" s="287"/>
      <c r="L98" s="287"/>
      <c r="M98" s="287"/>
      <c r="N98" s="287"/>
    </row>
    <row r="99" spans="1:14" ht="23.45" customHeight="1">
      <c r="A99" s="286"/>
      <c r="B99" s="286"/>
      <c r="C99" s="1084" t="s">
        <v>66</v>
      </c>
      <c r="D99" s="303">
        <f>(+'Tarifario Estadistica2'!$K$78+D34)*E33</f>
        <v>0</v>
      </c>
      <c r="E99" s="1238">
        <f>IF(E33&gt;0,"En caso de ser necesario verificar con Sandra Pastran",0)</f>
        <v>0</v>
      </c>
      <c r="F99" s="1239" t="s">
        <v>2242</v>
      </c>
      <c r="G99" s="303">
        <f>+'Costos Directos discriminados'!E150</f>
        <v>19935081.976051573</v>
      </c>
      <c r="H99" s="284"/>
      <c r="I99" s="284"/>
      <c r="J99" s="284"/>
      <c r="K99" s="287"/>
      <c r="L99" s="287"/>
      <c r="M99" s="287"/>
      <c r="N99" s="287"/>
    </row>
    <row r="100" spans="1:14" ht="24">
      <c r="A100" s="286"/>
      <c r="B100" s="286"/>
      <c r="C100" s="1083" t="s">
        <v>46</v>
      </c>
      <c r="D100" s="303">
        <f>+'Costos Directos discriminados'!D122+'Costos Directos discriminados'!D123</f>
        <v>1645392</v>
      </c>
      <c r="E100" s="284"/>
      <c r="F100" s="1239" t="s">
        <v>2239</v>
      </c>
      <c r="G100" s="303">
        <f>+'Costos Directos discriminados'!E151</f>
        <v>5066581.4814814813</v>
      </c>
      <c r="H100" s="284"/>
      <c r="I100" s="284"/>
      <c r="J100" s="284"/>
      <c r="K100" s="287"/>
      <c r="L100" s="287"/>
      <c r="M100" s="287"/>
      <c r="N100" s="287"/>
    </row>
    <row r="101" spans="1:14" ht="15" customHeight="1">
      <c r="A101" s="286"/>
      <c r="B101" s="286"/>
      <c r="C101" s="1083" t="s">
        <v>44</v>
      </c>
      <c r="D101" s="303">
        <f>+'Costos Directos discriminados'!D124</f>
        <v>1389609</v>
      </c>
      <c r="E101" s="284"/>
      <c r="F101" s="1084" t="s">
        <v>2240</v>
      </c>
      <c r="G101" s="303">
        <f>+'Costos Directos discriminados'!E152</f>
        <v>0</v>
      </c>
      <c r="H101" s="284"/>
      <c r="I101" s="284"/>
      <c r="J101" s="284"/>
      <c r="K101" s="287"/>
      <c r="L101" s="287"/>
      <c r="M101" s="287"/>
      <c r="N101" s="287"/>
    </row>
    <row r="102" spans="1:14" ht="15" customHeight="1">
      <c r="A102" s="286"/>
      <c r="B102" s="286"/>
      <c r="C102" s="1083" t="s">
        <v>67</v>
      </c>
      <c r="D102" s="303">
        <f>+'Costos Directos discriminados'!D125</f>
        <v>0</v>
      </c>
      <c r="E102" s="284"/>
      <c r="F102" s="1084" t="s">
        <v>66</v>
      </c>
      <c r="G102" s="303">
        <f>+'Costos Directos discriminados'!E153</f>
        <v>0</v>
      </c>
      <c r="H102" s="284"/>
      <c r="I102" s="284"/>
      <c r="J102" s="284"/>
      <c r="K102" s="287"/>
      <c r="L102" s="287"/>
      <c r="M102" s="287"/>
      <c r="N102" s="287"/>
    </row>
    <row r="103" spans="1:14" ht="15" customHeight="1">
      <c r="A103" s="286"/>
      <c r="B103" s="286"/>
      <c r="C103" s="1083" t="s">
        <v>48</v>
      </c>
      <c r="D103" s="303">
        <f>+'Costos Directos discriminados'!D126</f>
        <v>1068930</v>
      </c>
      <c r="E103" s="642"/>
      <c r="F103" s="1084" t="s">
        <v>65</v>
      </c>
      <c r="G103" s="1241">
        <f>+'Costos Directos discriminados'!E154</f>
        <v>25001663.457533054</v>
      </c>
      <c r="H103" s="284"/>
      <c r="I103" s="284"/>
      <c r="J103" s="284"/>
      <c r="K103" s="287"/>
      <c r="L103" s="287"/>
      <c r="M103" s="287"/>
      <c r="N103" s="287"/>
    </row>
    <row r="104" spans="1:14" ht="15" customHeight="1">
      <c r="A104" s="286"/>
      <c r="B104" s="286"/>
      <c r="C104" s="1083" t="s">
        <v>893</v>
      </c>
      <c r="D104" s="303">
        <f>+'Costos Directos discriminados'!D127</f>
        <v>0</v>
      </c>
      <c r="E104" s="284"/>
      <c r="F104" s="284"/>
      <c r="G104" s="284"/>
      <c r="H104" s="284"/>
      <c r="I104" s="284"/>
      <c r="J104" s="284"/>
      <c r="K104" s="287"/>
      <c r="L104" s="287"/>
      <c r="M104" s="287"/>
      <c r="N104" s="287"/>
    </row>
    <row r="105" spans="1:14" ht="15" customHeight="1">
      <c r="A105" s="286"/>
      <c r="B105" s="286"/>
      <c r="C105" s="1083" t="s">
        <v>895</v>
      </c>
      <c r="D105" s="303">
        <f>+'Costos Directos discriminados'!D128</f>
        <v>0</v>
      </c>
      <c r="E105" s="284"/>
      <c r="F105" s="284"/>
      <c r="G105" s="284"/>
      <c r="H105" s="284"/>
      <c r="I105" s="284"/>
      <c r="J105" s="284"/>
      <c r="K105" s="287"/>
      <c r="L105" s="287"/>
      <c r="M105" s="287"/>
      <c r="N105" s="287"/>
    </row>
    <row r="106" spans="1:14" ht="15" customHeight="1">
      <c r="A106" s="286"/>
      <c r="B106" s="286"/>
      <c r="C106" s="1090" t="s">
        <v>68</v>
      </c>
      <c r="D106" s="301">
        <f>SUM(D98:D105)</f>
        <v>4103931</v>
      </c>
      <c r="E106" s="284"/>
      <c r="F106" s="447"/>
      <c r="G106" s="284"/>
      <c r="H106" s="284"/>
      <c r="I106" s="284"/>
      <c r="J106" s="284"/>
      <c r="K106" s="287"/>
      <c r="L106" s="287"/>
      <c r="M106" s="287"/>
      <c r="N106" s="287"/>
    </row>
    <row r="107" spans="1:14" s="1104" customFormat="1" ht="15" customHeight="1">
      <c r="A107" s="1099"/>
      <c r="B107" s="1099"/>
      <c r="C107" s="1100"/>
      <c r="D107" s="1099"/>
      <c r="E107" s="1099"/>
      <c r="F107" s="1101"/>
      <c r="G107" s="1099"/>
      <c r="H107" s="1102"/>
      <c r="I107" s="1102"/>
      <c r="J107" s="1102"/>
      <c r="K107" s="1103"/>
      <c r="L107" s="1103"/>
      <c r="M107" s="1103"/>
      <c r="N107" s="1103"/>
    </row>
    <row r="108" spans="1:14" s="1104" customFormat="1" ht="15" hidden="1" customHeight="1">
      <c r="A108" s="1099"/>
      <c r="B108" s="1099"/>
      <c r="C108" s="1105">
        <v>0.2145</v>
      </c>
      <c r="D108" s="1099"/>
      <c r="E108" s="1099"/>
      <c r="F108" s="1101"/>
      <c r="G108" s="1099"/>
      <c r="H108" s="1102"/>
      <c r="I108" s="1102"/>
      <c r="J108" s="1102"/>
      <c r="K108" s="1103"/>
      <c r="L108" s="1103"/>
      <c r="M108" s="1103"/>
      <c r="N108" s="1103"/>
    </row>
    <row r="109" spans="1:14" s="1104" customFormat="1" ht="15" hidden="1" customHeight="1">
      <c r="A109" s="1099"/>
      <c r="B109" s="1099"/>
      <c r="C109" s="1105">
        <v>0.2145</v>
      </c>
      <c r="D109" s="1106">
        <v>0.2145</v>
      </c>
      <c r="E109" s="1106"/>
      <c r="F109" s="1101"/>
      <c r="G109" s="1106"/>
      <c r="H109" s="1107"/>
      <c r="I109" s="1102"/>
      <c r="J109" s="1102"/>
      <c r="K109" s="1103"/>
      <c r="L109" s="1103"/>
      <c r="M109" s="1103"/>
      <c r="N109" s="1103"/>
    </row>
    <row r="110" spans="1:14" s="1104" customFormat="1" ht="15" hidden="1" customHeight="1">
      <c r="A110" s="1099"/>
      <c r="B110" s="1099"/>
      <c r="C110" s="1105">
        <v>0.2145</v>
      </c>
      <c r="D110" s="1106">
        <v>3.8807285842243075E+54</v>
      </c>
      <c r="E110" s="1106"/>
      <c r="F110" s="1101"/>
      <c r="G110" s="1106"/>
      <c r="H110" s="1107"/>
      <c r="I110" s="1102"/>
      <c r="J110" s="1102"/>
      <c r="K110" s="1103"/>
      <c r="L110" s="1103"/>
      <c r="M110" s="1103"/>
      <c r="N110" s="1103"/>
    </row>
    <row r="111" spans="1:14" s="1104" customFormat="1" ht="15" hidden="1" customHeight="1">
      <c r="A111" s="1099"/>
      <c r="B111" s="1099"/>
      <c r="C111" s="1108"/>
      <c r="D111" s="1099">
        <v>1.4272264251847924E+33</v>
      </c>
      <c r="E111" s="1099"/>
      <c r="F111" s="1101"/>
      <c r="G111" s="1099"/>
      <c r="H111" s="1102"/>
      <c r="I111" s="1102"/>
      <c r="J111" s="1102"/>
      <c r="K111" s="1103"/>
      <c r="L111" s="1103"/>
      <c r="M111" s="1103"/>
      <c r="N111" s="1103"/>
    </row>
    <row r="112" spans="1:14" s="1104" customFormat="1" ht="17.100000000000001" customHeight="1">
      <c r="A112" s="1099"/>
      <c r="B112" s="1099"/>
      <c r="C112" s="1109" t="s">
        <v>69</v>
      </c>
      <c r="D112" s="1110">
        <f>D113/D48</f>
        <v>675247.97424337093</v>
      </c>
      <c r="E112" s="1111"/>
      <c r="F112" s="1101"/>
      <c r="G112" s="1102"/>
      <c r="H112" s="1102"/>
      <c r="I112" s="1102"/>
      <c r="J112" s="1102"/>
      <c r="K112" s="1103"/>
      <c r="L112" s="1103"/>
      <c r="M112" s="1103"/>
      <c r="N112" s="1103"/>
    </row>
    <row r="113" spans="1:14" s="1104" customFormat="1" ht="17.100000000000001" customHeight="1">
      <c r="A113" s="1099"/>
      <c r="B113" s="1099"/>
      <c r="C113" s="1112" t="s">
        <v>70</v>
      </c>
      <c r="D113" s="1110">
        <v>270099189.69734836</v>
      </c>
      <c r="E113" s="1113"/>
      <c r="F113" s="1101"/>
      <c r="G113" s="1114" t="e">
        <f>+F113/E113</f>
        <v>#DIV/0!</v>
      </c>
      <c r="H113" s="1102"/>
      <c r="I113" s="1111"/>
      <c r="J113" s="1102"/>
      <c r="K113" s="1103"/>
      <c r="L113" s="1103"/>
      <c r="M113" s="1103"/>
      <c r="N113" s="1103"/>
    </row>
    <row r="114" spans="1:14" s="1104" customFormat="1" ht="17.100000000000001" customHeight="1">
      <c r="A114" s="1099"/>
      <c r="B114" s="1099"/>
      <c r="C114" s="1109" t="s">
        <v>71</v>
      </c>
      <c r="D114" s="1115">
        <f>-'Costos Directos discriminados'!D132</f>
        <v>-25001663.457533054</v>
      </c>
      <c r="E114" s="1113"/>
      <c r="F114" s="1113"/>
      <c r="G114" s="1114" t="e">
        <f>+F114/E114</f>
        <v>#DIV/0!</v>
      </c>
      <c r="H114" s="1102"/>
      <c r="I114" s="1102"/>
      <c r="J114" s="1102"/>
      <c r="K114" s="1103"/>
      <c r="L114" s="1103"/>
      <c r="M114" s="1103"/>
      <c r="N114" s="1103"/>
    </row>
    <row r="115" spans="1:14" s="1104" customFormat="1" ht="17.100000000000001" customHeight="1">
      <c r="A115" s="1099"/>
      <c r="B115" s="1099"/>
      <c r="C115" s="1109" t="s">
        <v>72</v>
      </c>
      <c r="D115" s="1115">
        <f>D113+D114</f>
        <v>245097526.23981529</v>
      </c>
      <c r="E115" s="1116">
        <f>IFERROR(D115/$D$113,0)</f>
        <v>0.9074352518956168</v>
      </c>
      <c r="F115" s="1102"/>
      <c r="G115" s="1117" t="s">
        <v>73</v>
      </c>
      <c r="H115" s="1098">
        <v>0.15</v>
      </c>
      <c r="I115" s="1102"/>
      <c r="J115" s="1102"/>
      <c r="K115" s="1103"/>
      <c r="L115" s="1103"/>
      <c r="M115" s="1103"/>
      <c r="N115" s="1103"/>
    </row>
    <row r="116" spans="1:14" s="1104" customFormat="1" ht="17.100000000000001" customHeight="1">
      <c r="A116" s="1099"/>
      <c r="B116" s="1099"/>
      <c r="C116" s="1109" t="s">
        <v>74</v>
      </c>
      <c r="D116" s="1115">
        <f>-D113*E116</f>
        <v>-11614265.156985978</v>
      </c>
      <c r="E116" s="1118">
        <f>+'Costos Directos discriminados'!E138</f>
        <v>4.2999999999999997E-2</v>
      </c>
      <c r="F116" s="1102"/>
      <c r="G116" s="1102"/>
      <c r="H116" s="1102"/>
      <c r="I116" s="1102"/>
      <c r="J116" s="1102"/>
      <c r="K116" s="1103"/>
      <c r="L116" s="1103"/>
      <c r="M116" s="1103"/>
      <c r="N116" s="1103"/>
    </row>
    <row r="117" spans="1:14" s="1104" customFormat="1" ht="17.100000000000001" customHeight="1">
      <c r="A117" s="1099"/>
      <c r="B117" s="1099"/>
      <c r="C117" s="1109" t="s">
        <v>75</v>
      </c>
      <c r="D117" s="1115">
        <f>-F95</f>
        <v>0</v>
      </c>
      <c r="E117" s="1102"/>
      <c r="F117" s="1102"/>
      <c r="G117" s="1102"/>
      <c r="H117" s="1102"/>
      <c r="I117" s="1102"/>
      <c r="J117" s="1102"/>
      <c r="K117" s="1103"/>
      <c r="L117" s="1103"/>
      <c r="M117" s="1103"/>
      <c r="N117" s="1103"/>
    </row>
    <row r="118" spans="1:14" s="1104" customFormat="1" ht="17.100000000000001" customHeight="1">
      <c r="A118" s="1099"/>
      <c r="B118" s="1099"/>
      <c r="C118" s="1109" t="s">
        <v>76</v>
      </c>
      <c r="D118" s="1115">
        <f>D115+D116+D117</f>
        <v>233483261.08282933</v>
      </c>
      <c r="E118" s="1102"/>
      <c r="F118" s="1102"/>
      <c r="G118" s="1102"/>
      <c r="H118" s="1102"/>
      <c r="I118" s="1102"/>
      <c r="J118" s="1102"/>
      <c r="K118" s="1103"/>
      <c r="L118" s="1103"/>
      <c r="M118" s="1103"/>
      <c r="N118" s="1103"/>
    </row>
    <row r="119" spans="1:14" s="1104" customFormat="1" ht="17.100000000000001" customHeight="1">
      <c r="A119" s="1099"/>
      <c r="B119" s="1099"/>
      <c r="C119" s="1109" t="s">
        <v>77</v>
      </c>
      <c r="D119" s="1119">
        <f>D118/D113</f>
        <v>0.86443525189561687</v>
      </c>
      <c r="E119" s="1102"/>
      <c r="F119" s="1102"/>
      <c r="G119" s="1102"/>
      <c r="H119" s="1102"/>
      <c r="I119" s="1102"/>
      <c r="J119" s="1102"/>
      <c r="K119" s="1103"/>
      <c r="L119" s="1103"/>
      <c r="M119" s="1103"/>
      <c r="N119" s="1103"/>
    </row>
    <row r="120" spans="1:14" s="1104" customFormat="1">
      <c r="A120" s="1099"/>
      <c r="B120" s="1099"/>
      <c r="C120" s="1120"/>
      <c r="D120" s="1102"/>
      <c r="E120" s="1102"/>
      <c r="F120" s="1102"/>
      <c r="G120" s="1102"/>
      <c r="H120" s="1102"/>
      <c r="I120" s="1102"/>
      <c r="J120" s="1102"/>
      <c r="K120" s="1103"/>
      <c r="L120" s="1103"/>
      <c r="M120" s="1103"/>
      <c r="N120" s="1103"/>
    </row>
    <row r="121" spans="1:14" s="1104" customFormat="1">
      <c r="A121" s="1099"/>
      <c r="B121" s="1099"/>
      <c r="C121" s="1120"/>
      <c r="D121" s="1102"/>
      <c r="E121" s="1102"/>
      <c r="F121" s="1102"/>
      <c r="G121" s="1102"/>
      <c r="H121" s="1102"/>
      <c r="I121" s="1102"/>
      <c r="J121" s="1102"/>
      <c r="K121" s="1103"/>
      <c r="L121" s="1103"/>
      <c r="M121" s="1103"/>
      <c r="N121" s="1103"/>
    </row>
    <row r="122" spans="1:14">
      <c r="A122" s="286"/>
      <c r="B122" s="286"/>
      <c r="C122" s="285"/>
      <c r="D122" s="447"/>
      <c r="E122" s="1073"/>
      <c r="F122" s="1073"/>
      <c r="G122" s="1073"/>
      <c r="H122" s="1073"/>
      <c r="I122" s="1073"/>
      <c r="J122" s="1073"/>
      <c r="K122" s="1069"/>
      <c r="L122" s="1069"/>
      <c r="M122" s="287"/>
      <c r="N122" s="287"/>
    </row>
    <row r="123" spans="1:14">
      <c r="A123" s="286"/>
      <c r="B123" s="286"/>
      <c r="C123" s="285"/>
      <c r="D123" s="284"/>
      <c r="E123" s="1073"/>
      <c r="F123" s="1073"/>
      <c r="G123" s="1073"/>
      <c r="H123" s="1073"/>
      <c r="I123" s="1073"/>
      <c r="J123" s="1073"/>
      <c r="K123" s="1069"/>
      <c r="L123" s="1069"/>
      <c r="M123" s="287"/>
      <c r="N123" s="287"/>
    </row>
    <row r="124" spans="1:14">
      <c r="A124" s="286"/>
      <c r="B124" s="286"/>
      <c r="C124" s="285"/>
      <c r="D124" s="284"/>
      <c r="E124" s="284"/>
      <c r="F124" s="284"/>
      <c r="G124" s="284"/>
      <c r="H124" s="284"/>
      <c r="I124" s="284"/>
      <c r="J124" s="284"/>
      <c r="K124" s="287"/>
      <c r="L124" s="287"/>
      <c r="M124" s="287"/>
      <c r="N124" s="287"/>
    </row>
    <row r="125" spans="1:14">
      <c r="A125" s="286"/>
      <c r="B125" s="286"/>
      <c r="C125" s="285"/>
      <c r="D125" s="284"/>
      <c r="E125" s="284"/>
      <c r="F125" s="284"/>
      <c r="G125" s="284"/>
      <c r="H125" s="284"/>
      <c r="I125" s="284"/>
      <c r="J125" s="284"/>
      <c r="K125" s="287"/>
      <c r="L125" s="287"/>
      <c r="M125" s="287"/>
      <c r="N125" s="287"/>
    </row>
    <row r="126" spans="1:14">
      <c r="A126" s="286"/>
      <c r="B126" s="286"/>
      <c r="C126" s="285"/>
      <c r="D126" s="284"/>
      <c r="E126" s="284"/>
      <c r="F126" s="284"/>
      <c r="G126" s="284"/>
      <c r="H126" s="284"/>
      <c r="I126" s="284"/>
      <c r="J126" s="284"/>
      <c r="K126" s="287"/>
      <c r="L126" s="287"/>
      <c r="M126" s="287"/>
      <c r="N126" s="287"/>
    </row>
    <row r="127" spans="1:14">
      <c r="A127" s="286"/>
      <c r="B127" s="286"/>
      <c r="C127" s="285"/>
      <c r="D127" s="284"/>
      <c r="E127" s="284"/>
      <c r="F127" s="284"/>
      <c r="G127" s="284"/>
      <c r="H127" s="284"/>
      <c r="I127" s="284"/>
      <c r="J127" s="284"/>
      <c r="K127" s="287"/>
      <c r="L127" s="287"/>
      <c r="M127" s="287"/>
      <c r="N127" s="287"/>
    </row>
    <row r="128" spans="1:14">
      <c r="A128" s="286"/>
      <c r="B128" s="286"/>
      <c r="C128" s="285"/>
      <c r="D128" s="284"/>
      <c r="E128" s="284"/>
      <c r="F128" s="284"/>
      <c r="G128" s="284"/>
      <c r="H128" s="284"/>
      <c r="I128" s="284"/>
      <c r="J128" s="284"/>
      <c r="K128" s="287"/>
      <c r="L128" s="287"/>
      <c r="M128" s="287"/>
      <c r="N128" s="287"/>
    </row>
    <row r="129" spans="1:14">
      <c r="A129" s="286"/>
      <c r="B129" s="286"/>
      <c r="C129" s="285"/>
      <c r="D129" s="284"/>
      <c r="E129" s="284"/>
      <c r="F129" s="284"/>
      <c r="G129" s="284"/>
      <c r="H129" s="284"/>
      <c r="I129" s="284"/>
      <c r="J129" s="284"/>
      <c r="K129" s="287"/>
      <c r="L129" s="287"/>
      <c r="M129" s="287"/>
      <c r="N129" s="287"/>
    </row>
    <row r="130" spans="1:14">
      <c r="A130" s="286"/>
      <c r="B130" s="286"/>
      <c r="C130" s="285"/>
      <c r="D130" s="284"/>
      <c r="E130" s="284"/>
      <c r="F130" s="284"/>
      <c r="G130" s="284"/>
      <c r="H130" s="284"/>
      <c r="I130" s="284"/>
      <c r="J130" s="284"/>
      <c r="K130" s="287"/>
      <c r="L130" s="287"/>
      <c r="M130" s="287"/>
      <c r="N130" s="287"/>
    </row>
    <row r="131" spans="1:14">
      <c r="A131" s="286"/>
      <c r="B131" s="286"/>
      <c r="C131" s="285"/>
      <c r="D131" s="284"/>
      <c r="E131" s="284"/>
      <c r="F131" s="284"/>
      <c r="G131" s="284"/>
      <c r="H131" s="284"/>
      <c r="I131" s="284"/>
      <c r="J131" s="284"/>
      <c r="K131" s="287"/>
      <c r="L131" s="287"/>
      <c r="M131" s="287"/>
      <c r="N131" s="287"/>
    </row>
    <row r="132" spans="1:14">
      <c r="A132" s="286"/>
      <c r="B132" s="286"/>
      <c r="C132" s="285"/>
      <c r="D132" s="284"/>
      <c r="E132" s="284"/>
      <c r="F132" s="284"/>
      <c r="G132" s="284"/>
      <c r="H132" s="284"/>
      <c r="I132" s="284"/>
      <c r="J132" s="284"/>
      <c r="K132" s="287"/>
      <c r="L132" s="287"/>
      <c r="M132" s="287"/>
      <c r="N132" s="287"/>
    </row>
    <row r="133" spans="1:14">
      <c r="A133" s="286"/>
      <c r="B133" s="286"/>
      <c r="C133" s="285"/>
      <c r="D133" s="284"/>
      <c r="E133" s="284"/>
      <c r="F133" s="284"/>
      <c r="G133" s="284"/>
      <c r="H133" s="284"/>
      <c r="I133" s="284"/>
      <c r="J133" s="284"/>
      <c r="K133" s="287"/>
      <c r="L133" s="287"/>
      <c r="M133" s="287"/>
      <c r="N133" s="287"/>
    </row>
    <row r="134" spans="1:14">
      <c r="A134" s="286"/>
      <c r="B134" s="286"/>
      <c r="C134" s="285"/>
      <c r="D134" s="284"/>
      <c r="E134" s="284"/>
      <c r="F134" s="284"/>
      <c r="G134" s="284"/>
      <c r="H134" s="284"/>
      <c r="I134" s="284"/>
      <c r="J134" s="284"/>
      <c r="K134" s="287"/>
      <c r="L134" s="287"/>
      <c r="M134" s="287"/>
      <c r="N134" s="287"/>
    </row>
    <row r="135" spans="1:14">
      <c r="A135" s="286"/>
      <c r="B135" s="286"/>
      <c r="C135" s="285"/>
      <c r="D135" s="284"/>
      <c r="E135" s="284"/>
      <c r="F135" s="284"/>
      <c r="G135" s="284"/>
      <c r="H135" s="284"/>
      <c r="I135" s="284"/>
      <c r="J135" s="284"/>
      <c r="K135" s="287"/>
      <c r="L135" s="287"/>
      <c r="M135" s="287"/>
      <c r="N135" s="287"/>
    </row>
    <row r="136" spans="1:14">
      <c r="A136" s="286"/>
      <c r="B136" s="286"/>
      <c r="C136" s="285"/>
      <c r="D136" s="284"/>
      <c r="E136" s="284"/>
      <c r="F136" s="284"/>
      <c r="G136" s="284"/>
      <c r="H136" s="284"/>
      <c r="I136" s="284"/>
      <c r="J136" s="284"/>
      <c r="K136" s="287"/>
      <c r="L136" s="287"/>
      <c r="M136" s="287"/>
      <c r="N136" s="287"/>
    </row>
    <row r="137" spans="1:14">
      <c r="A137" s="286"/>
      <c r="B137" s="286"/>
      <c r="C137" s="285"/>
      <c r="D137" s="284"/>
      <c r="E137" s="284"/>
      <c r="F137" s="284"/>
      <c r="G137" s="284"/>
      <c r="H137" s="284"/>
      <c r="I137" s="284"/>
      <c r="J137" s="284"/>
      <c r="K137" s="287"/>
      <c r="L137" s="287"/>
      <c r="M137" s="287"/>
      <c r="N137" s="287"/>
    </row>
    <row r="138" spans="1:14">
      <c r="A138" s="286"/>
      <c r="B138" s="286"/>
      <c r="C138" s="285"/>
      <c r="D138" s="284"/>
      <c r="E138" s="284"/>
      <c r="F138" s="284"/>
      <c r="G138" s="284"/>
      <c r="H138" s="284"/>
      <c r="I138" s="284"/>
      <c r="J138" s="284"/>
      <c r="K138" s="287"/>
      <c r="L138" s="287"/>
      <c r="M138" s="287"/>
      <c r="N138" s="287"/>
    </row>
    <row r="139" spans="1:14">
      <c r="A139" s="286"/>
      <c r="B139" s="286"/>
      <c r="C139" s="285"/>
      <c r="D139" s="284"/>
      <c r="E139" s="284"/>
      <c r="F139" s="284"/>
      <c r="G139" s="284"/>
      <c r="H139" s="284"/>
      <c r="I139" s="284"/>
      <c r="J139" s="284"/>
      <c r="K139" s="287"/>
      <c r="L139" s="287"/>
      <c r="M139" s="287"/>
      <c r="N139" s="287"/>
    </row>
    <row r="140" spans="1:14">
      <c r="A140" s="286"/>
      <c r="B140" s="286"/>
      <c r="C140" s="285"/>
      <c r="D140" s="284"/>
      <c r="E140" s="284"/>
      <c r="F140" s="284"/>
      <c r="G140" s="284"/>
      <c r="H140" s="284"/>
      <c r="I140" s="284"/>
      <c r="J140" s="284"/>
      <c r="K140" s="287"/>
      <c r="L140" s="287"/>
      <c r="M140" s="287"/>
      <c r="N140" s="287"/>
    </row>
    <row r="141" spans="1:14">
      <c r="A141" s="286"/>
      <c r="B141" s="286"/>
      <c r="C141" s="285"/>
      <c r="D141" s="284"/>
      <c r="E141" s="284"/>
      <c r="F141" s="284"/>
      <c r="G141" s="284"/>
      <c r="H141" s="284"/>
      <c r="I141" s="284"/>
      <c r="J141" s="284"/>
      <c r="K141" s="287"/>
      <c r="L141" s="287"/>
      <c r="M141" s="287"/>
      <c r="N141" s="287"/>
    </row>
    <row r="142" spans="1:14">
      <c r="A142" s="286"/>
      <c r="B142" s="286"/>
      <c r="C142" s="285"/>
      <c r="D142" s="284"/>
      <c r="E142" s="284"/>
      <c r="F142" s="284"/>
      <c r="G142" s="284"/>
      <c r="H142" s="284"/>
      <c r="I142" s="284"/>
      <c r="J142" s="284"/>
      <c r="K142" s="287"/>
      <c r="L142" s="287"/>
      <c r="M142" s="287"/>
      <c r="N142" s="287"/>
    </row>
    <row r="143" spans="1:14">
      <c r="A143" s="286"/>
      <c r="B143" s="286"/>
      <c r="C143" s="285"/>
      <c r="D143" s="284"/>
      <c r="E143" s="284"/>
      <c r="F143" s="284"/>
      <c r="G143" s="284"/>
      <c r="H143" s="284"/>
      <c r="I143" s="284"/>
      <c r="J143" s="284"/>
      <c r="K143" s="287"/>
      <c r="L143" s="287"/>
      <c r="M143" s="287"/>
      <c r="N143" s="287"/>
    </row>
    <row r="144" spans="1:14">
      <c r="A144" s="286"/>
      <c r="B144" s="286"/>
      <c r="C144" s="285"/>
      <c r="D144" s="284"/>
      <c r="E144" s="284"/>
      <c r="F144" s="284"/>
      <c r="G144" s="284"/>
      <c r="H144" s="284"/>
      <c r="I144" s="284"/>
      <c r="J144" s="284"/>
      <c r="K144" s="287"/>
      <c r="L144" s="287"/>
      <c r="M144" s="287"/>
      <c r="N144" s="287"/>
    </row>
    <row r="145" spans="1:14">
      <c r="A145" s="286"/>
      <c r="B145" s="286"/>
      <c r="C145" s="285"/>
      <c r="D145" s="284"/>
      <c r="E145" s="284"/>
      <c r="F145" s="284"/>
      <c r="G145" s="284"/>
      <c r="H145" s="284"/>
      <c r="I145" s="284"/>
      <c r="J145" s="284"/>
      <c r="K145" s="287"/>
      <c r="L145" s="287"/>
      <c r="M145" s="287"/>
      <c r="N145" s="287"/>
    </row>
    <row r="146" spans="1:14">
      <c r="A146" s="286"/>
      <c r="B146" s="286"/>
      <c r="C146" s="285"/>
      <c r="D146" s="284"/>
      <c r="E146" s="284"/>
      <c r="F146" s="284"/>
      <c r="G146" s="284"/>
      <c r="H146" s="284"/>
      <c r="I146" s="284"/>
      <c r="J146" s="284"/>
      <c r="K146" s="287"/>
      <c r="L146" s="287"/>
      <c r="M146" s="287"/>
      <c r="N146" s="287"/>
    </row>
    <row r="147" spans="1:14">
      <c r="A147" s="286"/>
      <c r="B147" s="286"/>
      <c r="C147" s="285"/>
      <c r="D147" s="284"/>
      <c r="E147" s="284"/>
      <c r="F147" s="284"/>
      <c r="G147" s="284"/>
      <c r="H147" s="284"/>
      <c r="I147" s="284"/>
      <c r="J147" s="284"/>
      <c r="K147" s="287"/>
      <c r="L147" s="287"/>
      <c r="M147" s="287"/>
      <c r="N147" s="287"/>
    </row>
    <row r="148" spans="1:14">
      <c r="A148" s="286"/>
      <c r="B148" s="286"/>
      <c r="C148" s="285"/>
      <c r="D148" s="284"/>
      <c r="E148" s="284"/>
      <c r="F148" s="284"/>
      <c r="G148" s="284"/>
      <c r="H148" s="284"/>
      <c r="I148" s="284"/>
      <c r="J148" s="284"/>
      <c r="K148" s="287"/>
      <c r="L148" s="287"/>
      <c r="M148" s="287"/>
      <c r="N148" s="287"/>
    </row>
    <row r="149" spans="1:14">
      <c r="A149" s="286"/>
      <c r="B149" s="286"/>
      <c r="C149" s="285"/>
      <c r="D149" s="284"/>
      <c r="E149" s="284"/>
      <c r="F149" s="284"/>
      <c r="G149" s="284"/>
      <c r="H149" s="284"/>
      <c r="I149" s="284"/>
      <c r="J149" s="284"/>
      <c r="K149" s="287"/>
      <c r="L149" s="287"/>
      <c r="M149" s="287"/>
      <c r="N149" s="287"/>
    </row>
    <row r="150" spans="1:14">
      <c r="A150" s="286"/>
      <c r="B150" s="286"/>
      <c r="C150" s="285"/>
      <c r="D150" s="284"/>
      <c r="E150" s="284"/>
      <c r="F150" s="284"/>
      <c r="G150" s="284"/>
      <c r="H150" s="284"/>
      <c r="I150" s="284"/>
      <c r="J150" s="284"/>
      <c r="K150" s="287"/>
      <c r="L150" s="287"/>
      <c r="M150" s="287"/>
      <c r="N150" s="287"/>
    </row>
    <row r="151" spans="1:14">
      <c r="A151" s="286"/>
      <c r="B151" s="286"/>
      <c r="C151" s="285"/>
      <c r="D151" s="284"/>
      <c r="E151" s="284"/>
      <c r="F151" s="284"/>
      <c r="G151" s="284"/>
      <c r="H151" s="284"/>
      <c r="I151" s="284"/>
      <c r="J151" s="284"/>
      <c r="K151" s="287"/>
      <c r="L151" s="287"/>
      <c r="M151" s="287"/>
      <c r="N151" s="287"/>
    </row>
    <row r="152" spans="1:14">
      <c r="A152" s="286"/>
      <c r="B152" s="286"/>
      <c r="C152" s="285"/>
      <c r="D152" s="284"/>
      <c r="E152" s="284"/>
      <c r="F152" s="284"/>
      <c r="G152" s="284"/>
      <c r="H152" s="284"/>
      <c r="I152" s="284"/>
      <c r="J152" s="284"/>
      <c r="K152" s="287"/>
      <c r="L152" s="287"/>
      <c r="M152" s="287"/>
      <c r="N152" s="287"/>
    </row>
    <row r="153" spans="1:14">
      <c r="A153" s="286"/>
      <c r="B153" s="286"/>
      <c r="C153" s="285"/>
      <c r="D153" s="284"/>
      <c r="E153" s="284"/>
      <c r="F153" s="284"/>
      <c r="G153" s="284"/>
      <c r="H153" s="284"/>
      <c r="I153" s="284"/>
      <c r="J153" s="284"/>
      <c r="K153" s="287"/>
      <c r="L153" s="287"/>
      <c r="M153" s="287"/>
      <c r="N153" s="287"/>
    </row>
    <row r="154" spans="1:14">
      <c r="A154" s="286"/>
      <c r="B154" s="286"/>
      <c r="C154" s="285"/>
      <c r="D154" s="284"/>
      <c r="E154" s="284"/>
      <c r="F154" s="284"/>
      <c r="G154" s="284"/>
      <c r="H154" s="284"/>
      <c r="I154" s="284"/>
      <c r="J154" s="284"/>
      <c r="K154" s="287"/>
      <c r="L154" s="287"/>
      <c r="M154" s="287"/>
      <c r="N154" s="287"/>
    </row>
    <row r="155" spans="1:14">
      <c r="A155" s="286"/>
      <c r="B155" s="286"/>
      <c r="C155" s="285"/>
      <c r="D155" s="284"/>
      <c r="E155" s="284"/>
      <c r="F155" s="284"/>
      <c r="G155" s="284"/>
      <c r="H155" s="284"/>
      <c r="I155" s="284"/>
      <c r="J155" s="284"/>
      <c r="K155" s="287"/>
      <c r="L155" s="287"/>
      <c r="M155" s="287"/>
      <c r="N155" s="287"/>
    </row>
    <row r="156" spans="1:14">
      <c r="A156" s="286"/>
      <c r="B156" s="286"/>
      <c r="C156" s="285"/>
      <c r="D156" s="284"/>
      <c r="E156" s="284"/>
      <c r="F156" s="284"/>
      <c r="G156" s="284"/>
      <c r="H156" s="284"/>
      <c r="I156" s="284"/>
      <c r="J156" s="284"/>
      <c r="K156" s="287"/>
      <c r="L156" s="287"/>
      <c r="M156" s="287"/>
      <c r="N156" s="287"/>
    </row>
    <row r="157" spans="1:14">
      <c r="A157" s="286"/>
      <c r="B157" s="286"/>
      <c r="C157" s="285"/>
      <c r="D157" s="284"/>
      <c r="E157" s="284"/>
      <c r="F157" s="284"/>
      <c r="G157" s="284"/>
      <c r="H157" s="284"/>
      <c r="I157" s="284"/>
      <c r="J157" s="284"/>
      <c r="K157" s="287"/>
      <c r="L157" s="287"/>
      <c r="M157" s="287"/>
      <c r="N157" s="287"/>
    </row>
    <row r="158" spans="1:14">
      <c r="A158" s="286"/>
      <c r="B158" s="286"/>
      <c r="C158" s="285"/>
      <c r="D158" s="284"/>
      <c r="E158" s="284"/>
      <c r="F158" s="284"/>
      <c r="G158" s="284"/>
      <c r="H158" s="284"/>
      <c r="I158" s="284"/>
      <c r="J158" s="284"/>
      <c r="K158" s="287"/>
      <c r="L158" s="287"/>
      <c r="M158" s="287"/>
      <c r="N158" s="287"/>
    </row>
    <row r="159" spans="1:14"/>
    <row r="160" spans="1:14"/>
    <row r="161"/>
    <row r="162"/>
    <row r="163"/>
    <row r="164"/>
    <row r="165"/>
    <row r="166"/>
    <row r="167"/>
    <row r="168"/>
    <row r="169"/>
    <row r="170"/>
    <row r="171"/>
    <row r="172"/>
    <row r="173"/>
    <row r="174"/>
    <row r="175"/>
    <row r="176"/>
    <row r="177"/>
    <row r="178"/>
    <row r="179"/>
    <row r="180"/>
    <row r="181"/>
    <row r="182"/>
    <row r="183"/>
    <row r="184"/>
    <row r="185"/>
    <row r="186"/>
    <row r="187"/>
    <row r="188"/>
  </sheetData>
  <mergeCells count="24">
    <mergeCell ref="I58:J58"/>
    <mergeCell ref="E58:F58"/>
    <mergeCell ref="E43:G43"/>
    <mergeCell ref="F6:G6"/>
    <mergeCell ref="F98:G98"/>
    <mergeCell ref="E56:F56"/>
    <mergeCell ref="I56:J56"/>
    <mergeCell ref="E57:F57"/>
    <mergeCell ref="I57:J57"/>
    <mergeCell ref="I44:J44"/>
    <mergeCell ref="E44:F44"/>
    <mergeCell ref="L55:P55"/>
    <mergeCell ref="D4:E4"/>
    <mergeCell ref="D6:E6"/>
    <mergeCell ref="F13:I13"/>
    <mergeCell ref="D7:E7"/>
    <mergeCell ref="F4:G4"/>
    <mergeCell ref="G19:I19"/>
    <mergeCell ref="E15:F15"/>
    <mergeCell ref="E14:F14"/>
    <mergeCell ref="F33:J33"/>
    <mergeCell ref="F20:J20"/>
    <mergeCell ref="F21:J21"/>
    <mergeCell ref="D5:E5"/>
  </mergeCells>
  <conditionalFormatting sqref="C60:E69">
    <cfRule type="expression" dxfId="26" priority="66">
      <formula>$D$11&lt;&gt;"IPD001  Product Test"</formula>
    </cfRule>
  </conditionalFormatting>
  <conditionalFormatting sqref="D49:J49">
    <cfRule type="expression" dxfId="25" priority="56">
      <formula>$B$49=FALSE</formula>
    </cfRule>
  </conditionalFormatting>
  <conditionalFormatting sqref="D50:J50">
    <cfRule type="expression" dxfId="24" priority="57">
      <formula>$B$50=FALSE</formula>
    </cfRule>
  </conditionalFormatting>
  <conditionalFormatting sqref="D51:J51">
    <cfRule type="expression" dxfId="23" priority="58">
      <formula>$B$51=FALSE</formula>
    </cfRule>
  </conditionalFormatting>
  <conditionalFormatting sqref="D52:J52">
    <cfRule type="expression" dxfId="22" priority="59">
      <formula>$B$52=FALSE</formula>
    </cfRule>
  </conditionalFormatting>
  <conditionalFormatting sqref="D53:J53">
    <cfRule type="expression" dxfId="21" priority="60">
      <formula>$B$53=FALSE</formula>
    </cfRule>
  </conditionalFormatting>
  <conditionalFormatting sqref="D54:J54">
    <cfRule type="expression" dxfId="20" priority="61">
      <formula>$B$54=FALSE</formula>
    </cfRule>
  </conditionalFormatting>
  <conditionalFormatting sqref="D55:J55">
    <cfRule type="expression" dxfId="19" priority="62">
      <formula>$B$55=FALSE</formula>
    </cfRule>
  </conditionalFormatting>
  <conditionalFormatting sqref="F68 F20:F21 F60 F13 E14:E15">
    <cfRule type="cellIs" dxfId="18" priority="53" operator="greaterThan">
      <formula>0</formula>
    </cfRule>
  </conditionalFormatting>
  <conditionalFormatting sqref="E99">
    <cfRule type="cellIs" dxfId="17" priority="47" operator="greaterThan">
      <formula>0</formula>
    </cfRule>
  </conditionalFormatting>
  <conditionalFormatting sqref="F33:F34">
    <cfRule type="cellIs" dxfId="16" priority="46" operator="greaterThan">
      <formula>0</formula>
    </cfRule>
  </conditionalFormatting>
  <conditionalFormatting sqref="F20:F21">
    <cfRule type="cellIs" dxfId="15" priority="48" operator="greaterThan">
      <formula>0</formula>
    </cfRule>
  </conditionalFormatting>
  <conditionalFormatting sqref="K56:K62">
    <cfRule type="cellIs" dxfId="14" priority="45" operator="greaterThan">
      <formula>0</formula>
    </cfRule>
  </conditionalFormatting>
  <conditionalFormatting sqref="I20:I43 E14:E15">
    <cfRule type="cellIs" dxfId="13" priority="38" operator="greaterThan">
      <formula>0</formula>
    </cfRule>
  </conditionalFormatting>
  <conditionalFormatting sqref="E43">
    <cfRule type="cellIs" dxfId="12" priority="36" operator="greaterThan">
      <formula>0</formula>
    </cfRule>
  </conditionalFormatting>
  <conditionalFormatting sqref="F20:F28 F30:F37 F39:F42">
    <cfRule type="cellIs" dxfId="11" priority="34" operator="greaterThan">
      <formula>0</formula>
    </cfRule>
  </conditionalFormatting>
  <conditionalFormatting sqref="L55">
    <cfRule type="cellIs" dxfId="10" priority="33" operator="greaterThan">
      <formula>0</formula>
    </cfRule>
  </conditionalFormatting>
  <conditionalFormatting sqref="O55">
    <cfRule type="cellIs" dxfId="9" priority="32" operator="greaterThan">
      <formula>0</formula>
    </cfRule>
  </conditionalFormatting>
  <conditionalFormatting sqref="L55">
    <cfRule type="cellIs" dxfId="8" priority="31" operator="greaterThan">
      <formula>0</formula>
    </cfRule>
  </conditionalFormatting>
  <conditionalFormatting sqref="G19">
    <cfRule type="cellIs" dxfId="7" priority="30" operator="greaterThan">
      <formula>0</formula>
    </cfRule>
  </conditionalFormatting>
  <conditionalFormatting sqref="D23">
    <cfRule type="cellIs" dxfId="6" priority="24" operator="greaterThan">
      <formula>0</formula>
    </cfRule>
  </conditionalFormatting>
  <conditionalFormatting sqref="D24">
    <cfRule type="cellIs" dxfId="5" priority="23" operator="greaterThan">
      <formula>0</formula>
    </cfRule>
  </conditionalFormatting>
  <conditionalFormatting sqref="D22">
    <cfRule type="cellIs" dxfId="4" priority="22" operator="greaterThan">
      <formula>0</formula>
    </cfRule>
  </conditionalFormatting>
  <conditionalFormatting sqref="E17:E18">
    <cfRule type="duplicateValues" dxfId="3" priority="20"/>
  </conditionalFormatting>
  <conditionalFormatting sqref="C71:F86">
    <cfRule type="expression" dxfId="2" priority="3">
      <formula>$D$16&lt;&gt;"Mystery/ Shopper"</formula>
    </cfRule>
  </conditionalFormatting>
  <dataValidations count="1">
    <dataValidation type="list" allowBlank="1" showInputMessage="1" showErrorMessage="1" sqref="D11" xr:uid="{ADE7E03E-F73E-48E0-A5B0-878280009E88}">
      <formula1>INDIRECT($D$10)</formula1>
    </dataValidation>
  </dataValidations>
  <pageMargins left="0.7" right="0.7" top="0.75" bottom="0.75" header="0.3" footer="0.3"/>
  <pageSetup orientation="portrait" r:id="rId1"/>
  <ignoredErrors>
    <ignoredError sqref="E56:J57 D49:D55 E60 E49:E55 F49:F55 G49:G55 H49:H55 I49:I55 J49:J55 D112 D114:D119 E115:E116"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45156" r:id="rId4" name="Button 100">
              <controlPr defaultSize="0" print="0" autoFill="0" autoPict="0" macro="[0]!AutoBuscarObjetivoOP">
                <anchor moveWithCells="1">
                  <from>
                    <xdr:col>6</xdr:col>
                    <xdr:colOff>0</xdr:colOff>
                    <xdr:row>115</xdr:row>
                    <xdr:rowOff>66675</xdr:rowOff>
                  </from>
                  <to>
                    <xdr:col>6</xdr:col>
                    <xdr:colOff>809625</xdr:colOff>
                    <xdr:row>116</xdr:row>
                    <xdr:rowOff>95250</xdr:rowOff>
                  </to>
                </anchor>
              </controlPr>
            </control>
          </mc:Choice>
        </mc:AlternateContent>
        <mc:AlternateContent xmlns:mc="http://schemas.openxmlformats.org/markup-compatibility/2006">
          <mc:Choice Requires="x14">
            <control shapeId="45131" r:id="rId5" name="Bogota">
              <controlPr locked="0" defaultSize="0" autoFill="0" autoLine="0" autoPict="0">
                <anchor moveWithCells="1">
                  <from>
                    <xdr:col>2</xdr:col>
                    <xdr:colOff>2124075</xdr:colOff>
                    <xdr:row>48</xdr:row>
                    <xdr:rowOff>9525</xdr:rowOff>
                  </from>
                  <to>
                    <xdr:col>2</xdr:col>
                    <xdr:colOff>2381250</xdr:colOff>
                    <xdr:row>49</xdr:row>
                    <xdr:rowOff>0</xdr:rowOff>
                  </to>
                </anchor>
              </controlPr>
            </control>
          </mc:Choice>
        </mc:AlternateContent>
        <mc:AlternateContent xmlns:mc="http://schemas.openxmlformats.org/markup-compatibility/2006">
          <mc:Choice Requires="x14">
            <control shapeId="45150" r:id="rId6" name="Check Box 94">
              <controlPr locked="0" defaultSize="0" autoFill="0" autoLine="0" autoPict="0" altText="">
                <anchor moveWithCells="1">
                  <from>
                    <xdr:col>2</xdr:col>
                    <xdr:colOff>2124075</xdr:colOff>
                    <xdr:row>49</xdr:row>
                    <xdr:rowOff>9525</xdr:rowOff>
                  </from>
                  <to>
                    <xdr:col>2</xdr:col>
                    <xdr:colOff>2381250</xdr:colOff>
                    <xdr:row>50</xdr:row>
                    <xdr:rowOff>0</xdr:rowOff>
                  </to>
                </anchor>
              </controlPr>
            </control>
          </mc:Choice>
        </mc:AlternateContent>
        <mc:AlternateContent xmlns:mc="http://schemas.openxmlformats.org/markup-compatibility/2006">
          <mc:Choice Requires="x14">
            <control shapeId="45151" r:id="rId7" name="Check Box 95">
              <controlPr locked="0" defaultSize="0" autoFill="0" autoLine="0" autoPict="0" altText="">
                <anchor moveWithCells="1">
                  <from>
                    <xdr:col>2</xdr:col>
                    <xdr:colOff>2124075</xdr:colOff>
                    <xdr:row>50</xdr:row>
                    <xdr:rowOff>9525</xdr:rowOff>
                  </from>
                  <to>
                    <xdr:col>2</xdr:col>
                    <xdr:colOff>2381250</xdr:colOff>
                    <xdr:row>51</xdr:row>
                    <xdr:rowOff>0</xdr:rowOff>
                  </to>
                </anchor>
              </controlPr>
            </control>
          </mc:Choice>
        </mc:AlternateContent>
        <mc:AlternateContent xmlns:mc="http://schemas.openxmlformats.org/markup-compatibility/2006">
          <mc:Choice Requires="x14">
            <control shapeId="45152" r:id="rId8" name="Check Box 96">
              <controlPr locked="0" defaultSize="0" autoFill="0" autoLine="0" autoPict="0">
                <anchor moveWithCells="1">
                  <from>
                    <xdr:col>2</xdr:col>
                    <xdr:colOff>2124075</xdr:colOff>
                    <xdr:row>51</xdr:row>
                    <xdr:rowOff>9525</xdr:rowOff>
                  </from>
                  <to>
                    <xdr:col>2</xdr:col>
                    <xdr:colOff>2381250</xdr:colOff>
                    <xdr:row>51</xdr:row>
                    <xdr:rowOff>180975</xdr:rowOff>
                  </to>
                </anchor>
              </controlPr>
            </control>
          </mc:Choice>
        </mc:AlternateContent>
        <mc:AlternateContent xmlns:mc="http://schemas.openxmlformats.org/markup-compatibility/2006">
          <mc:Choice Requires="x14">
            <control shapeId="45153" r:id="rId9" name="Check Box 97">
              <controlPr locked="0" defaultSize="0" autoFill="0" autoLine="0" autoPict="0">
                <anchor moveWithCells="1">
                  <from>
                    <xdr:col>2</xdr:col>
                    <xdr:colOff>2124075</xdr:colOff>
                    <xdr:row>52</xdr:row>
                    <xdr:rowOff>0</xdr:rowOff>
                  </from>
                  <to>
                    <xdr:col>2</xdr:col>
                    <xdr:colOff>2381250</xdr:colOff>
                    <xdr:row>52</xdr:row>
                    <xdr:rowOff>180975</xdr:rowOff>
                  </to>
                </anchor>
              </controlPr>
            </control>
          </mc:Choice>
        </mc:AlternateContent>
        <mc:AlternateContent xmlns:mc="http://schemas.openxmlformats.org/markup-compatibility/2006">
          <mc:Choice Requires="x14">
            <control shapeId="45154" r:id="rId10" name="Check Box 98">
              <controlPr locked="0" defaultSize="0" autoFill="0" autoLine="0" autoPict="0">
                <anchor moveWithCells="1">
                  <from>
                    <xdr:col>2</xdr:col>
                    <xdr:colOff>2124075</xdr:colOff>
                    <xdr:row>53</xdr:row>
                    <xdr:rowOff>0</xdr:rowOff>
                  </from>
                  <to>
                    <xdr:col>2</xdr:col>
                    <xdr:colOff>2381250</xdr:colOff>
                    <xdr:row>53</xdr:row>
                    <xdr:rowOff>180975</xdr:rowOff>
                  </to>
                </anchor>
              </controlPr>
            </control>
          </mc:Choice>
        </mc:AlternateContent>
        <mc:AlternateContent xmlns:mc="http://schemas.openxmlformats.org/markup-compatibility/2006">
          <mc:Choice Requires="x14">
            <control shapeId="45155" r:id="rId11" name="Check Box 99">
              <controlPr locked="0" defaultSize="0" autoFill="0" autoLine="0" autoPict="0">
                <anchor moveWithCells="1">
                  <from>
                    <xdr:col>2</xdr:col>
                    <xdr:colOff>2124075</xdr:colOff>
                    <xdr:row>54</xdr:row>
                    <xdr:rowOff>0</xdr:rowOff>
                  </from>
                  <to>
                    <xdr:col>2</xdr:col>
                    <xdr:colOff>2381250</xdr:colOff>
                    <xdr:row>54</xdr:row>
                    <xdr:rowOff>180975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4">
        <x14:dataValidation type="list" allowBlank="1" showInputMessage="1" showErrorMessage="1" xr:uid="{9244112B-AAE1-4E3A-810F-EE4AC9480106}">
          <x14:formula1>
            <xm:f>Horas!$C$2:$C$4</xm:f>
          </x14:formula1>
          <xm:sqref>D12</xm:sqref>
        </x14:dataValidation>
        <x14:dataValidation type="list" allowBlank="1" showInputMessage="1" showErrorMessage="1" xr:uid="{AC78A8C5-7BE7-44C6-9B24-BABB15142D7A}">
          <x14:formula1>
            <xm:f>Parametros!$B$15:$B$22</xm:f>
          </x14:formula1>
          <xm:sqref>E21</xm:sqref>
        </x14:dataValidation>
        <x14:dataValidation type="list" allowBlank="1" showInputMessage="1" showErrorMessage="1" xr:uid="{8E1DF7CB-2EC3-4467-BC33-6D6C896260E5}">
          <x14:formula1>
            <xm:f>Parametros!$B$180:$B$182</xm:f>
          </x14:formula1>
          <xm:sqref>F29</xm:sqref>
        </x14:dataValidation>
        <x14:dataValidation type="list" allowBlank="1" showInputMessage="1" showErrorMessage="1" xr:uid="{F6D09E67-25E8-4FF7-818D-7251324AFD01}">
          <x14:formula1>
            <xm:f>Parametros!$B$346:$B$707</xm:f>
          </x14:formula1>
          <xm:sqref>D6:E6</xm:sqref>
        </x14:dataValidation>
        <x14:dataValidation type="list" allowBlank="1" showInputMessage="1" showErrorMessage="1" xr:uid="{FB05B8B0-513E-4DE8-B273-48BC3C90DFE5}">
          <x14:formula1>
            <xm:f>Parametros!$B$277:$B$285</xm:f>
          </x14:formula1>
          <xm:sqref>D10</xm:sqref>
        </x14:dataValidation>
        <x14:dataValidation type="list" allowBlank="1" showInputMessage="1" showErrorMessage="1" xr:uid="{8DDCC868-7D88-43D1-A8CD-895075F1A885}">
          <x14:formula1>
            <xm:f>Parametros!$B$219:$B$220</xm:f>
          </x14:formula1>
          <xm:sqref>D25 D57 D33 D37:D38 D27:D31 D68 D44</xm:sqref>
        </x14:dataValidation>
        <x14:dataValidation type="list" allowBlank="1" showInputMessage="1" showErrorMessage="1" xr:uid="{55D6BDAD-465E-4056-B157-9B975F003E60}">
          <x14:formula1>
            <xm:f>Parametros!$B$215:$B$217</xm:f>
          </x14:formula1>
          <xm:sqref>D56 D69</xm:sqref>
        </x14:dataValidation>
        <x14:dataValidation type="list" allowBlank="1" showInputMessage="1" showErrorMessage="1" xr:uid="{1FA371DF-FCBF-4905-BF32-9EEF123771FF}">
          <x14:formula1>
            <xm:f>Parametros!$A$191:$A$201</xm:f>
          </x14:formula1>
          <xm:sqref>E35</xm:sqref>
        </x14:dataValidation>
        <x14:dataValidation type="list" allowBlank="1" showInputMessage="1" showErrorMessage="1" xr:uid="{111D82F6-98EC-423F-A3E2-3A0375B6945B}">
          <x14:formula1>
            <xm:f>Parametros!$B$191:$B$201</xm:f>
          </x14:formula1>
          <xm:sqref>E20</xm:sqref>
        </x14:dataValidation>
        <x14:dataValidation type="list" allowBlank="1" showInputMessage="1" showErrorMessage="1" xr:uid="{5690D429-B3B7-4C32-9D1E-67C17C0608FD}">
          <x14:formula1>
            <xm:f>Parametros!$B$222:$B$223</xm:f>
          </x14:formula1>
          <xm:sqref>D64:D67 D82:F84 D78:F78 D58:D59 D61</xm:sqref>
        </x14:dataValidation>
        <x14:dataValidation type="list" allowBlank="1" showInputMessage="1" showErrorMessage="1" xr:uid="{077734D9-C9A2-4D37-BE44-264C02139B53}">
          <x14:formula1>
            <xm:f>Parametros!$A$190:$A$205</xm:f>
          </x14:formula1>
          <xm:sqref>E32 D43</xm:sqref>
        </x14:dataValidation>
        <x14:dataValidation type="list" allowBlank="1" showInputMessage="1" showErrorMessage="1" xr:uid="{CC7534D7-AAB1-43EF-9C1E-B30F25F9F509}">
          <x14:formula1>
            <xm:f>Parametros!$C$243:$C$272</xm:f>
          </x14:formula1>
          <xm:sqref>D13</xm:sqref>
        </x14:dataValidation>
        <x14:dataValidation type="list" allowBlank="1" showInputMessage="1" showErrorMessage="1" xr:uid="{E98FF7AD-6817-41D8-A174-560F064C8CA4}">
          <x14:formula1>
            <xm:f>Parametros!$F$232:$F$235</xm:f>
          </x14:formula1>
          <xm:sqref>D27:D33 D42 D35:D38 D25 D20:D21</xm:sqref>
        </x14:dataValidation>
        <x14:dataValidation type="list" allowBlank="1" showInputMessage="1" showErrorMessage="1" xr:uid="{61DA53CC-C5BA-4A7D-B381-7ABEBDD162D2}">
          <x14:formula1>
            <xm:f>Parametros!$B$208:$B$210</xm:f>
          </x14:formula1>
          <xm:sqref>D9</xm:sqref>
        </x14:dataValidation>
        <x14:dataValidation type="list" allowBlank="1" showInputMessage="1" showErrorMessage="1" xr:uid="{CB740811-372D-4D63-BDBE-E4CD7230DC8F}">
          <x14:formula1>
            <xm:f>Parametros!$E$204:$E$206</xm:f>
          </x14:formula1>
          <xm:sqref>D19</xm:sqref>
        </x14:dataValidation>
        <x14:dataValidation type="list" allowBlank="1" showInputMessage="1" showErrorMessage="1" xr:uid="{311461BF-D641-4538-87AC-1CF4A07DEE9E}">
          <x14:formula1>
            <xm:f>Parametros!$E$208:$E$210</xm:f>
          </x14:formula1>
          <xm:sqref>D60</xm:sqref>
        </x14:dataValidation>
        <x14:dataValidation type="list" allowBlank="1" showInputMessage="1" showErrorMessage="1" xr:uid="{FF78BE66-23C5-4D90-BF03-DADCDC438751}">
          <x14:formula1>
            <xm:f>Parametros!$B$24:$B$34</xm:f>
          </x14:formula1>
          <xm:sqref>E20</xm:sqref>
        </x14:dataValidation>
        <x14:dataValidation type="list" allowBlank="1" showInputMessage="1" showErrorMessage="1" xr:uid="{7CAB297C-1323-4767-B070-8E4684581D99}">
          <x14:formula1>
            <xm:f>Parametros!#REF!</xm:f>
          </x14:formula1>
          <xm:sqref>E21</xm:sqref>
        </x14:dataValidation>
        <x14:dataValidation type="list" allowBlank="1" showInputMessage="1" showErrorMessage="1" xr:uid="{32E4B564-5A37-405D-AEAE-326F31282438}">
          <x14:formula1>
            <xm:f>Parametros!$F$232:$F$242</xm:f>
          </x14:formula1>
          <xm:sqref>D17</xm:sqref>
        </x14:dataValidation>
        <x14:dataValidation type="list" allowBlank="1" showInputMessage="1" showErrorMessage="1" xr:uid="{C847BA01-D8B5-4B0E-85E0-B4AC010D037D}">
          <x14:formula1>
            <xm:f>Parametros!$F$233:$F$242</xm:f>
          </x14:formula1>
          <xm:sqref>D18</xm:sqref>
        </x14:dataValidation>
        <x14:dataValidation type="list" allowBlank="1" showInputMessage="1" showErrorMessage="1" xr:uid="{5209FCF8-BEE4-47B3-935D-042695B6A3DF}">
          <x14:formula1>
            <xm:f>Parametros!$B$110:$B$122</xm:f>
          </x14:formula1>
          <xm:sqref>M16:M17 G16:G17 J16:J17</xm:sqref>
        </x14:dataValidation>
        <x14:dataValidation type="list" allowBlank="1" showInputMessage="1" showErrorMessage="1" xr:uid="{815E4F11-60BF-4B52-B3E3-3B2C9705AD3C}">
          <x14:formula1>
            <xm:f>Parametros!$B$226:$B$229</xm:f>
          </x14:formula1>
          <xm:sqref>D63</xm:sqref>
        </x14:dataValidation>
        <x14:dataValidation type="list" allowBlank="1" showInputMessage="1" showErrorMessage="1" xr:uid="{CD62094B-AD16-4C06-BE04-624B6350FFF0}">
          <x14:formula1>
            <xm:f>Parametros!$B$230:$B$232</xm:f>
          </x14:formula1>
          <xm:sqref>D57 D69</xm:sqref>
        </x14:dataValidation>
        <x14:dataValidation type="list" allowBlank="1" showInputMessage="1" showErrorMessage="1" xr:uid="{2BC7FFAE-EBAD-487C-B2AF-6E0A1DE49EA6}">
          <x14:formula1>
            <xm:f>Parametros!$B$230:$B$239</xm:f>
          </x14:formula1>
          <xm:sqref>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267D-47B5-4035-AB6D-12782FAB24DE}">
  <sheetPr codeName="Hoja8"/>
  <dimension ref="A1:T91"/>
  <sheetViews>
    <sheetView showGridLines="0" zoomScale="80" zoomScaleNormal="80" workbookViewId="0">
      <pane xSplit="3" ySplit="1" topLeftCell="D9" activePane="bottomRight" state="frozen"/>
      <selection activeCell="B44" sqref="B44"/>
      <selection pane="topRight" activeCell="B44" sqref="B44"/>
      <selection pane="bottomLeft" activeCell="B44" sqref="B44"/>
      <selection pane="bottomRight" activeCell="J13" sqref="J13"/>
    </sheetView>
  </sheetViews>
  <sheetFormatPr baseColWidth="10" defaultRowHeight="15"/>
  <cols>
    <col min="1" max="1" width="4.7109375" style="176" customWidth="1"/>
    <col min="2" max="2" width="29.28515625" style="176" customWidth="1"/>
    <col min="3" max="3" width="50.140625" style="270" customWidth="1"/>
    <col min="4" max="4" width="49.85546875" customWidth="1"/>
    <col min="5" max="5" width="33.28515625" customWidth="1"/>
    <col min="6" max="6" width="10.85546875" style="85" customWidth="1"/>
    <col min="7" max="7" width="13.5703125" customWidth="1"/>
    <col min="8" max="8" width="14" style="372" customWidth="1"/>
    <col min="9" max="9" width="31.28515625" style="373" customWidth="1"/>
    <col min="10" max="10" width="27.7109375" style="373" customWidth="1"/>
    <col min="11" max="11" width="26.28515625" style="373" customWidth="1"/>
    <col min="12" max="12" width="11.42578125" style="372"/>
    <col min="15" max="15" width="13.140625" bestFit="1" customWidth="1"/>
  </cols>
  <sheetData>
    <row r="1" spans="1:20" ht="58.9" customHeight="1">
      <c r="A1" s="345" t="s">
        <v>628</v>
      </c>
      <c r="B1" s="345" t="s">
        <v>629</v>
      </c>
      <c r="C1" s="345" t="s">
        <v>536</v>
      </c>
      <c r="D1" s="346" t="s">
        <v>630</v>
      </c>
      <c r="E1" s="346" t="s">
        <v>631</v>
      </c>
      <c r="F1" s="346" t="s">
        <v>632</v>
      </c>
      <c r="G1" s="347" t="s">
        <v>633</v>
      </c>
      <c r="H1" s="324" t="s">
        <v>558</v>
      </c>
      <c r="I1" s="346" t="s">
        <v>634</v>
      </c>
      <c r="J1" s="348" t="s">
        <v>635</v>
      </c>
      <c r="K1" s="349" t="s">
        <v>636</v>
      </c>
    </row>
    <row r="2" spans="1:20" ht="82.15" customHeight="1">
      <c r="A2" s="327">
        <v>1</v>
      </c>
      <c r="B2" s="327" t="s">
        <v>637</v>
      </c>
      <c r="C2" s="273" t="s">
        <v>583</v>
      </c>
      <c r="D2" s="350" t="s">
        <v>638</v>
      </c>
      <c r="E2" s="350"/>
      <c r="F2" s="20">
        <v>2</v>
      </c>
      <c r="G2" s="351">
        <v>224910</v>
      </c>
      <c r="H2" s="333">
        <v>0.6</v>
      </c>
      <c r="I2" s="20" t="s">
        <v>639</v>
      </c>
      <c r="J2" s="579">
        <v>0</v>
      </c>
      <c r="K2" s="352">
        <f>IF(J2=0,0,G2+(J2-1)*ROUND(G2*H2,0))</f>
        <v>0</v>
      </c>
      <c r="L2" s="423">
        <f t="shared" ref="L2:L4" si="0">IF(J2=0,0,F2+(J2-1)*ROUND(F2*H2,0))</f>
        <v>0</v>
      </c>
    </row>
    <row r="3" spans="1:20" ht="82.15" customHeight="1">
      <c r="A3" s="327">
        <v>2</v>
      </c>
      <c r="B3" s="327" t="s">
        <v>637</v>
      </c>
      <c r="C3" s="353" t="s">
        <v>585</v>
      </c>
      <c r="D3" s="350" t="s">
        <v>640</v>
      </c>
      <c r="E3" s="350"/>
      <c r="F3" s="20">
        <v>3</v>
      </c>
      <c r="G3" s="351">
        <v>286856</v>
      </c>
      <c r="H3" s="333">
        <v>0.3</v>
      </c>
      <c r="I3" s="20" t="s">
        <v>639</v>
      </c>
      <c r="J3" s="579">
        <v>4</v>
      </c>
      <c r="K3" s="352">
        <f t="shared" ref="K3:K70" si="1">IF(J3=0,0,G3+(J3-1)*ROUND(G3*H3,0))</f>
        <v>545027</v>
      </c>
      <c r="L3" s="423">
        <f t="shared" si="0"/>
        <v>6</v>
      </c>
      <c r="O3" s="9"/>
    </row>
    <row r="4" spans="1:20" ht="82.15" customHeight="1">
      <c r="A4" s="327">
        <v>3</v>
      </c>
      <c r="B4" s="327" t="s">
        <v>637</v>
      </c>
      <c r="C4" s="273" t="s">
        <v>641</v>
      </c>
      <c r="D4" s="350" t="s">
        <v>642</v>
      </c>
      <c r="E4" s="350"/>
      <c r="F4" s="20">
        <v>4</v>
      </c>
      <c r="G4" s="351">
        <v>449820</v>
      </c>
      <c r="H4" s="333">
        <v>0.3</v>
      </c>
      <c r="I4" s="20" t="s">
        <v>639</v>
      </c>
      <c r="J4" s="579">
        <v>0</v>
      </c>
      <c r="K4" s="352">
        <f t="shared" si="1"/>
        <v>0</v>
      </c>
      <c r="L4" s="423">
        <f t="shared" si="0"/>
        <v>0</v>
      </c>
    </row>
    <row r="5" spans="1:20" ht="82.15" customHeight="1">
      <c r="A5" s="327">
        <v>4</v>
      </c>
      <c r="B5" s="327" t="s">
        <v>637</v>
      </c>
      <c r="C5" s="273" t="s">
        <v>613</v>
      </c>
      <c r="D5" s="350" t="s">
        <v>643</v>
      </c>
      <c r="E5" s="350"/>
      <c r="F5" s="20">
        <v>3.5</v>
      </c>
      <c r="G5" s="351">
        <v>317829</v>
      </c>
      <c r="H5" s="333">
        <v>0.3</v>
      </c>
      <c r="I5" s="20" t="s">
        <v>639</v>
      </c>
      <c r="J5" s="579">
        <v>0</v>
      </c>
      <c r="K5" s="352">
        <f>IF(J5=0,0,G5+(J5-1)*ROUND(G5*H5,0))</f>
        <v>0</v>
      </c>
      <c r="L5" s="423">
        <f>IF(J5=0,0,F5+(J5-1)*ROUND(F5*H5,0))</f>
        <v>0</v>
      </c>
    </row>
    <row r="6" spans="1:20" ht="82.15" customHeight="1">
      <c r="A6" s="327">
        <v>5</v>
      </c>
      <c r="B6" s="327" t="s">
        <v>637</v>
      </c>
      <c r="C6" s="273" t="s">
        <v>644</v>
      </c>
      <c r="D6" s="350" t="s">
        <v>642</v>
      </c>
      <c r="E6" s="350"/>
      <c r="F6" s="20">
        <v>9</v>
      </c>
      <c r="G6" s="351">
        <v>759550</v>
      </c>
      <c r="H6" s="333">
        <v>0.3</v>
      </c>
      <c r="I6" s="20" t="s">
        <v>639</v>
      </c>
      <c r="J6" s="579">
        <v>0</v>
      </c>
      <c r="K6" s="352">
        <f t="shared" ref="K6:K7" si="2">IF(J6=0,0,G6+(J6-1)*ROUND(G6*H6,0))</f>
        <v>0</v>
      </c>
      <c r="L6" s="423">
        <f t="shared" ref="L6:L69" si="3">IF(J6=0,0,F6+(J6-1)*ROUND(F6*H6,0))</f>
        <v>0</v>
      </c>
    </row>
    <row r="7" spans="1:20" ht="82.15" customHeight="1">
      <c r="A7" s="327">
        <v>6</v>
      </c>
      <c r="B7" s="327" t="s">
        <v>637</v>
      </c>
      <c r="C7" s="273" t="s">
        <v>645</v>
      </c>
      <c r="D7" s="273" t="s">
        <v>646</v>
      </c>
      <c r="E7" s="350"/>
      <c r="F7" s="20">
        <v>30</v>
      </c>
      <c r="G7" s="351">
        <v>3878740</v>
      </c>
      <c r="H7" s="333">
        <v>0.3</v>
      </c>
      <c r="I7" s="20" t="s">
        <v>647</v>
      </c>
      <c r="J7" s="579">
        <v>0</v>
      </c>
      <c r="K7" s="352">
        <f t="shared" si="2"/>
        <v>0</v>
      </c>
      <c r="L7" s="423">
        <f t="shared" si="3"/>
        <v>0</v>
      </c>
    </row>
    <row r="8" spans="1:20" ht="82.15" customHeight="1">
      <c r="A8" s="327">
        <v>7</v>
      </c>
      <c r="B8" s="327" t="s">
        <v>637</v>
      </c>
      <c r="C8" s="273" t="s">
        <v>614</v>
      </c>
      <c r="D8" s="273" t="s">
        <v>648</v>
      </c>
      <c r="E8" s="273"/>
      <c r="F8" s="20">
        <v>10</v>
      </c>
      <c r="G8" s="351">
        <v>1023532</v>
      </c>
      <c r="H8" s="333">
        <v>0.5</v>
      </c>
      <c r="I8" s="20" t="s">
        <v>649</v>
      </c>
      <c r="J8" s="579">
        <v>0</v>
      </c>
      <c r="K8" s="352">
        <f t="shared" si="1"/>
        <v>0</v>
      </c>
      <c r="L8" s="423">
        <f t="shared" si="3"/>
        <v>0</v>
      </c>
    </row>
    <row r="9" spans="1:20" ht="82.15" customHeight="1">
      <c r="A9" s="327">
        <v>8</v>
      </c>
      <c r="B9" s="327" t="s">
        <v>637</v>
      </c>
      <c r="C9" s="273" t="s">
        <v>615</v>
      </c>
      <c r="D9" s="273" t="s">
        <v>650</v>
      </c>
      <c r="E9" s="354" t="s">
        <v>651</v>
      </c>
      <c r="F9" s="20">
        <v>8</v>
      </c>
      <c r="G9" s="351">
        <v>899640</v>
      </c>
      <c r="H9" s="333">
        <v>0.5</v>
      </c>
      <c r="I9" s="20" t="s">
        <v>649</v>
      </c>
      <c r="J9" s="579">
        <v>0</v>
      </c>
      <c r="K9" s="352">
        <f>IF(J9=0,0,G9+(J9-1)*ROUND(G9*H9,0))</f>
        <v>0</v>
      </c>
      <c r="L9" s="423">
        <f t="shared" si="3"/>
        <v>0</v>
      </c>
    </row>
    <row r="10" spans="1:20" ht="82.15" customHeight="1">
      <c r="A10" s="327">
        <v>9</v>
      </c>
      <c r="B10" s="327" t="s">
        <v>637</v>
      </c>
      <c r="C10" s="273" t="s">
        <v>1368</v>
      </c>
      <c r="D10" s="350" t="s">
        <v>652</v>
      </c>
      <c r="E10" s="350"/>
      <c r="F10" s="20">
        <v>2.5</v>
      </c>
      <c r="G10" s="351">
        <v>356901</v>
      </c>
      <c r="H10" s="333">
        <v>0.7</v>
      </c>
      <c r="I10" s="20" t="s">
        <v>639</v>
      </c>
      <c r="J10" s="579">
        <v>0</v>
      </c>
      <c r="K10" s="352">
        <f t="shared" si="1"/>
        <v>0</v>
      </c>
      <c r="L10" s="423">
        <f t="shared" si="3"/>
        <v>0</v>
      </c>
    </row>
    <row r="11" spans="1:20" ht="82.15" customHeight="1">
      <c r="A11" s="327">
        <v>10</v>
      </c>
      <c r="B11" s="327" t="s">
        <v>637</v>
      </c>
      <c r="C11" s="353" t="s">
        <v>653</v>
      </c>
      <c r="D11" s="355" t="s">
        <v>654</v>
      </c>
      <c r="F11" s="20">
        <v>3</v>
      </c>
      <c r="G11" s="351">
        <v>387874</v>
      </c>
      <c r="H11" s="333">
        <v>0.7</v>
      </c>
      <c r="I11" s="20" t="s">
        <v>639</v>
      </c>
      <c r="J11" s="579">
        <v>0</v>
      </c>
      <c r="K11" s="352">
        <f t="shared" si="1"/>
        <v>0</v>
      </c>
      <c r="L11" s="423">
        <f t="shared" si="3"/>
        <v>0</v>
      </c>
      <c r="M11" s="427">
        <v>271512</v>
      </c>
      <c r="N11" s="419">
        <f>+K11-L11-M11</f>
        <v>-271512</v>
      </c>
      <c r="O11" s="372">
        <f>+N11*2</f>
        <v>-543024</v>
      </c>
      <c r="P11" s="372"/>
      <c r="Q11" s="372"/>
      <c r="R11" s="372"/>
      <c r="S11" s="372"/>
      <c r="T11" s="372"/>
    </row>
    <row r="12" spans="1:20" ht="82.15" customHeight="1">
      <c r="A12" s="327">
        <v>11</v>
      </c>
      <c r="B12" s="327" t="s">
        <v>637</v>
      </c>
      <c r="C12" s="273" t="s">
        <v>655</v>
      </c>
      <c r="D12" s="350" t="s">
        <v>656</v>
      </c>
      <c r="E12" s="350"/>
      <c r="F12" s="20">
        <v>5</v>
      </c>
      <c r="G12" s="351">
        <v>511766</v>
      </c>
      <c r="H12" s="333">
        <v>0.7</v>
      </c>
      <c r="I12" s="20" t="s">
        <v>639</v>
      </c>
      <c r="J12" s="579">
        <v>4</v>
      </c>
      <c r="K12" s="352">
        <f t="shared" si="1"/>
        <v>1586474</v>
      </c>
      <c r="L12" s="423">
        <f t="shared" si="3"/>
        <v>17</v>
      </c>
      <c r="M12" s="372"/>
      <c r="N12" s="372"/>
      <c r="O12" s="372"/>
      <c r="P12" s="372"/>
      <c r="Q12" s="372"/>
      <c r="R12" s="372"/>
      <c r="S12" s="372"/>
      <c r="T12" s="372"/>
    </row>
    <row r="13" spans="1:20" ht="82.15" customHeight="1">
      <c r="A13" s="327">
        <v>12</v>
      </c>
      <c r="B13" s="327" t="s">
        <v>637</v>
      </c>
      <c r="C13" s="273" t="s">
        <v>657</v>
      </c>
      <c r="D13" s="350" t="s">
        <v>658</v>
      </c>
      <c r="E13" s="350"/>
      <c r="F13" s="20">
        <v>5.5</v>
      </c>
      <c r="G13" s="351">
        <v>542739</v>
      </c>
      <c r="H13" s="333">
        <v>0.7</v>
      </c>
      <c r="I13" s="20" t="s">
        <v>639</v>
      </c>
      <c r="J13" s="579">
        <v>0</v>
      </c>
      <c r="K13" s="352">
        <f t="shared" si="1"/>
        <v>0</v>
      </c>
      <c r="L13" s="423">
        <f t="shared" si="3"/>
        <v>0</v>
      </c>
    </row>
    <row r="14" spans="1:20" ht="82.15" customHeight="1">
      <c r="A14" s="327">
        <v>13</v>
      </c>
      <c r="B14" s="327" t="s">
        <v>637</v>
      </c>
      <c r="C14" s="273" t="s">
        <v>581</v>
      </c>
      <c r="D14" s="273" t="s">
        <v>659</v>
      </c>
      <c r="E14" s="273"/>
      <c r="F14" s="20">
        <v>1</v>
      </c>
      <c r="G14" s="351">
        <v>162964</v>
      </c>
      <c r="H14" s="333">
        <v>0.7</v>
      </c>
      <c r="I14" s="20" t="s">
        <v>639</v>
      </c>
      <c r="J14" s="579">
        <v>0</v>
      </c>
      <c r="K14" s="352">
        <f t="shared" si="1"/>
        <v>0</v>
      </c>
      <c r="L14" s="423">
        <f t="shared" si="3"/>
        <v>0</v>
      </c>
    </row>
    <row r="15" spans="1:20" ht="82.15" customHeight="1">
      <c r="A15" s="327">
        <v>14</v>
      </c>
      <c r="B15" s="327" t="s">
        <v>637</v>
      </c>
      <c r="C15" s="273" t="s">
        <v>609</v>
      </c>
      <c r="D15" s="273" t="s">
        <v>660</v>
      </c>
      <c r="E15" s="273"/>
      <c r="F15" s="20">
        <v>4</v>
      </c>
      <c r="G15" s="351">
        <v>449820</v>
      </c>
      <c r="H15" s="333">
        <v>0.7</v>
      </c>
      <c r="I15" s="20" t="s">
        <v>639</v>
      </c>
      <c r="J15" s="579">
        <v>0</v>
      </c>
      <c r="K15" s="352">
        <f t="shared" si="1"/>
        <v>0</v>
      </c>
      <c r="L15" s="423">
        <f t="shared" si="3"/>
        <v>0</v>
      </c>
    </row>
    <row r="16" spans="1:20" ht="82.15" customHeight="1">
      <c r="A16" s="327">
        <v>15</v>
      </c>
      <c r="B16" s="327" t="s">
        <v>637</v>
      </c>
      <c r="C16" s="357" t="s">
        <v>661</v>
      </c>
      <c r="D16" s="350" t="s">
        <v>662</v>
      </c>
      <c r="E16" s="350"/>
      <c r="F16" s="20">
        <v>5</v>
      </c>
      <c r="G16" s="351">
        <v>511766</v>
      </c>
      <c r="H16" s="333">
        <v>0.75</v>
      </c>
      <c r="I16" s="20" t="s">
        <v>639</v>
      </c>
      <c r="J16" s="579">
        <v>0</v>
      </c>
      <c r="K16" s="352">
        <f t="shared" si="1"/>
        <v>0</v>
      </c>
      <c r="L16" s="423">
        <f t="shared" si="3"/>
        <v>0</v>
      </c>
    </row>
    <row r="17" spans="1:12" ht="82.15" customHeight="1">
      <c r="A17" s="327">
        <v>16</v>
      </c>
      <c r="B17" s="327" t="s">
        <v>637</v>
      </c>
      <c r="C17" s="357" t="s">
        <v>663</v>
      </c>
      <c r="D17" s="350" t="s">
        <v>664</v>
      </c>
      <c r="F17" s="20">
        <v>13</v>
      </c>
      <c r="G17" s="351">
        <v>1209370</v>
      </c>
      <c r="H17" s="333"/>
      <c r="I17" s="20" t="s">
        <v>665</v>
      </c>
      <c r="J17" s="579">
        <v>0</v>
      </c>
      <c r="K17" s="352">
        <f t="shared" si="1"/>
        <v>0</v>
      </c>
      <c r="L17" s="423">
        <f t="shared" si="3"/>
        <v>0</v>
      </c>
    </row>
    <row r="18" spans="1:12" ht="82.15" customHeight="1">
      <c r="A18" s="327">
        <v>17</v>
      </c>
      <c r="B18" s="327" t="s">
        <v>637</v>
      </c>
      <c r="C18" s="357" t="s">
        <v>666</v>
      </c>
      <c r="D18" s="350" t="s">
        <v>667</v>
      </c>
      <c r="E18" s="350"/>
      <c r="F18" s="20">
        <v>8</v>
      </c>
      <c r="G18" s="351">
        <v>899640</v>
      </c>
      <c r="H18" s="333">
        <v>0.75</v>
      </c>
      <c r="I18" s="20" t="s">
        <v>649</v>
      </c>
      <c r="J18" s="579">
        <v>0</v>
      </c>
      <c r="K18" s="352">
        <f t="shared" si="1"/>
        <v>0</v>
      </c>
      <c r="L18" s="423">
        <f t="shared" si="3"/>
        <v>0</v>
      </c>
    </row>
    <row r="19" spans="1:12" ht="82.15" customHeight="1">
      <c r="A19" s="327">
        <v>18</v>
      </c>
      <c r="B19" s="327" t="s">
        <v>637</v>
      </c>
      <c r="C19" s="357" t="s">
        <v>668</v>
      </c>
      <c r="D19" s="350" t="s">
        <v>669</v>
      </c>
      <c r="E19" s="350"/>
      <c r="F19" s="20">
        <v>11</v>
      </c>
      <c r="G19" s="351">
        <v>1085478</v>
      </c>
      <c r="H19" s="333">
        <v>0.75</v>
      </c>
      <c r="I19" s="20" t="s">
        <v>649</v>
      </c>
      <c r="J19" s="579">
        <v>0</v>
      </c>
      <c r="K19" s="352">
        <f t="shared" si="1"/>
        <v>0</v>
      </c>
      <c r="L19" s="423">
        <f t="shared" si="3"/>
        <v>0</v>
      </c>
    </row>
    <row r="20" spans="1:12" ht="82.15" customHeight="1">
      <c r="A20" s="327">
        <v>19</v>
      </c>
      <c r="B20" s="327" t="s">
        <v>637</v>
      </c>
      <c r="C20" s="357" t="s">
        <v>670</v>
      </c>
      <c r="D20" s="350" t="s">
        <v>671</v>
      </c>
      <c r="E20" s="350"/>
      <c r="F20" s="20">
        <v>11</v>
      </c>
      <c r="G20" s="351">
        <v>1085478</v>
      </c>
      <c r="H20" s="333"/>
      <c r="I20" s="20" t="s">
        <v>649</v>
      </c>
      <c r="J20" s="579">
        <v>0</v>
      </c>
      <c r="K20" s="352">
        <f t="shared" si="1"/>
        <v>0</v>
      </c>
      <c r="L20" s="423">
        <f t="shared" si="3"/>
        <v>0</v>
      </c>
    </row>
    <row r="21" spans="1:12" ht="82.15" customHeight="1">
      <c r="A21" s="327">
        <v>20</v>
      </c>
      <c r="B21" s="327" t="s">
        <v>637</v>
      </c>
      <c r="C21" s="353" t="s">
        <v>575</v>
      </c>
      <c r="D21" s="350" t="s">
        <v>672</v>
      </c>
      <c r="E21" s="350"/>
      <c r="F21" s="20">
        <v>2</v>
      </c>
      <c r="G21" s="351">
        <v>224910</v>
      </c>
      <c r="H21" s="333">
        <v>0.5</v>
      </c>
      <c r="I21" s="20" t="s">
        <v>673</v>
      </c>
      <c r="J21" s="579">
        <v>0</v>
      </c>
      <c r="K21" s="352">
        <f t="shared" si="1"/>
        <v>0</v>
      </c>
      <c r="L21" s="423">
        <f t="shared" si="3"/>
        <v>0</v>
      </c>
    </row>
    <row r="22" spans="1:12" ht="82.15" customHeight="1">
      <c r="A22" s="327">
        <v>21</v>
      </c>
      <c r="B22" s="327" t="s">
        <v>637</v>
      </c>
      <c r="C22" s="273" t="s">
        <v>674</v>
      </c>
      <c r="D22" s="350" t="s">
        <v>675</v>
      </c>
      <c r="E22" s="350"/>
      <c r="F22" s="20">
        <v>3</v>
      </c>
      <c r="G22" s="351">
        <v>387874</v>
      </c>
      <c r="H22" s="333">
        <v>0.5</v>
      </c>
      <c r="I22" s="20" t="s">
        <v>639</v>
      </c>
      <c r="J22" s="579">
        <v>0</v>
      </c>
      <c r="K22" s="352">
        <f t="shared" si="1"/>
        <v>0</v>
      </c>
      <c r="L22" s="423">
        <f t="shared" si="3"/>
        <v>0</v>
      </c>
    </row>
    <row r="23" spans="1:12" ht="82.15" customHeight="1">
      <c r="A23" s="327">
        <v>22</v>
      </c>
      <c r="B23" s="327" t="s">
        <v>637</v>
      </c>
      <c r="C23" s="273" t="s">
        <v>676</v>
      </c>
      <c r="D23" s="355" t="s">
        <v>677</v>
      </c>
      <c r="E23" s="355"/>
      <c r="F23" s="20">
        <v>4</v>
      </c>
      <c r="G23" s="351">
        <v>449820</v>
      </c>
      <c r="H23" s="333">
        <v>0.7</v>
      </c>
      <c r="I23" s="20" t="s">
        <v>639</v>
      </c>
      <c r="J23" s="579">
        <v>0</v>
      </c>
      <c r="K23" s="352">
        <f t="shared" si="1"/>
        <v>0</v>
      </c>
      <c r="L23" s="423">
        <f t="shared" si="3"/>
        <v>0</v>
      </c>
    </row>
    <row r="24" spans="1:12" ht="82.15" customHeight="1">
      <c r="A24" s="327">
        <v>23</v>
      </c>
      <c r="B24" s="327" t="s">
        <v>637</v>
      </c>
      <c r="C24" s="273" t="s">
        <v>678</v>
      </c>
      <c r="D24" s="273" t="s">
        <v>679</v>
      </c>
      <c r="E24" s="273"/>
      <c r="F24" s="20">
        <v>5</v>
      </c>
      <c r="G24" s="351">
        <v>612784</v>
      </c>
      <c r="H24" s="333">
        <v>0.7</v>
      </c>
      <c r="I24" s="20" t="s">
        <v>649</v>
      </c>
      <c r="J24" s="579">
        <v>0</v>
      </c>
      <c r="K24" s="352">
        <f t="shared" si="1"/>
        <v>0</v>
      </c>
      <c r="L24" s="423">
        <f t="shared" si="3"/>
        <v>0</v>
      </c>
    </row>
    <row r="25" spans="1:12" ht="82.15" customHeight="1">
      <c r="A25" s="327">
        <v>24</v>
      </c>
      <c r="B25" s="327" t="s">
        <v>637</v>
      </c>
      <c r="C25" s="273" t="s">
        <v>624</v>
      </c>
      <c r="D25" s="273" t="s">
        <v>680</v>
      </c>
      <c r="E25" s="273"/>
      <c r="F25" s="20">
        <v>3</v>
      </c>
      <c r="G25" s="351">
        <v>286856</v>
      </c>
      <c r="H25" s="333">
        <v>0.7</v>
      </c>
      <c r="I25" s="20" t="s">
        <v>639</v>
      </c>
      <c r="J25" s="579">
        <v>0</v>
      </c>
      <c r="K25" s="352">
        <f t="shared" si="1"/>
        <v>0</v>
      </c>
      <c r="L25" s="423">
        <f t="shared" si="3"/>
        <v>0</v>
      </c>
    </row>
    <row r="26" spans="1:12" ht="82.15" customHeight="1">
      <c r="A26" s="327">
        <v>25</v>
      </c>
      <c r="B26" s="327" t="s">
        <v>637</v>
      </c>
      <c r="C26" s="273" t="s">
        <v>579</v>
      </c>
      <c r="D26" s="350" t="s">
        <v>681</v>
      </c>
      <c r="E26" s="350"/>
      <c r="F26" s="20">
        <v>4.5</v>
      </c>
      <c r="G26" s="351">
        <v>480793</v>
      </c>
      <c r="H26" s="333">
        <v>0.7</v>
      </c>
      <c r="I26" s="20" t="s">
        <v>639</v>
      </c>
      <c r="J26" s="579">
        <v>0</v>
      </c>
      <c r="K26" s="352">
        <f t="shared" si="1"/>
        <v>0</v>
      </c>
      <c r="L26" s="423">
        <f t="shared" si="3"/>
        <v>0</v>
      </c>
    </row>
    <row r="27" spans="1:12" ht="82.15" customHeight="1">
      <c r="A27" s="327">
        <v>26</v>
      </c>
      <c r="B27" s="327" t="s">
        <v>637</v>
      </c>
      <c r="C27" s="358" t="s">
        <v>682</v>
      </c>
      <c r="D27" s="273" t="s">
        <v>683</v>
      </c>
      <c r="E27" s="273"/>
      <c r="F27" s="20">
        <v>5.5</v>
      </c>
      <c r="G27" s="351">
        <v>542739</v>
      </c>
      <c r="H27" s="333">
        <v>0.7</v>
      </c>
      <c r="I27" s="20" t="s">
        <v>649</v>
      </c>
      <c r="J27" s="579">
        <v>0</v>
      </c>
      <c r="K27" s="352">
        <f t="shared" si="1"/>
        <v>0</v>
      </c>
      <c r="L27" s="423">
        <f t="shared" si="3"/>
        <v>0</v>
      </c>
    </row>
    <row r="28" spans="1:12" ht="82.15" customHeight="1">
      <c r="A28" s="327">
        <v>27</v>
      </c>
      <c r="B28" s="327" t="s">
        <v>637</v>
      </c>
      <c r="C28" s="273" t="s">
        <v>684</v>
      </c>
      <c r="D28" s="273" t="s">
        <v>685</v>
      </c>
      <c r="E28" s="273"/>
      <c r="F28" s="20">
        <v>3</v>
      </c>
      <c r="G28" s="351">
        <v>286856</v>
      </c>
      <c r="H28" s="333">
        <v>0.8</v>
      </c>
      <c r="I28" s="20" t="s">
        <v>639</v>
      </c>
      <c r="J28" s="579">
        <v>0</v>
      </c>
      <c r="K28" s="352">
        <f t="shared" si="1"/>
        <v>0</v>
      </c>
      <c r="L28" s="423">
        <f t="shared" si="3"/>
        <v>0</v>
      </c>
    </row>
    <row r="29" spans="1:12" ht="82.15" customHeight="1">
      <c r="A29" s="327">
        <v>28</v>
      </c>
      <c r="B29" s="327" t="s">
        <v>637</v>
      </c>
      <c r="C29" s="273" t="s">
        <v>686</v>
      </c>
      <c r="D29" s="350" t="s">
        <v>687</v>
      </c>
      <c r="E29" s="350"/>
      <c r="F29" s="20">
        <v>14</v>
      </c>
      <c r="G29" s="351">
        <v>1271316</v>
      </c>
      <c r="H29" s="333">
        <v>0.9</v>
      </c>
      <c r="I29" s="20" t="s">
        <v>649</v>
      </c>
      <c r="J29" s="579">
        <v>0</v>
      </c>
      <c r="K29" s="352">
        <f t="shared" si="1"/>
        <v>0</v>
      </c>
      <c r="L29" s="423">
        <f t="shared" si="3"/>
        <v>0</v>
      </c>
    </row>
    <row r="30" spans="1:12" ht="82.15" customHeight="1">
      <c r="A30" s="327">
        <v>29</v>
      </c>
      <c r="B30" s="327" t="s">
        <v>637</v>
      </c>
      <c r="C30" s="273" t="s">
        <v>620</v>
      </c>
      <c r="D30" s="350" t="s">
        <v>688</v>
      </c>
      <c r="E30" s="350"/>
      <c r="F30" s="20">
        <v>28</v>
      </c>
      <c r="G30" s="351">
        <v>2542632</v>
      </c>
      <c r="H30" s="333"/>
      <c r="I30" s="20" t="s">
        <v>689</v>
      </c>
      <c r="J30" s="579">
        <v>0</v>
      </c>
      <c r="K30" s="352">
        <f t="shared" si="1"/>
        <v>0</v>
      </c>
      <c r="L30" s="423">
        <f t="shared" si="3"/>
        <v>0</v>
      </c>
    </row>
    <row r="31" spans="1:12" ht="82.15" customHeight="1">
      <c r="A31" s="327">
        <v>30</v>
      </c>
      <c r="B31" s="327" t="s">
        <v>637</v>
      </c>
      <c r="C31" s="273" t="s">
        <v>690</v>
      </c>
      <c r="D31" s="350" t="s">
        <v>570</v>
      </c>
      <c r="E31" s="350"/>
      <c r="F31" s="20">
        <v>30</v>
      </c>
      <c r="G31" s="351">
        <v>2666524</v>
      </c>
      <c r="H31" s="333">
        <v>0.9</v>
      </c>
      <c r="I31" s="20" t="s">
        <v>691</v>
      </c>
      <c r="J31" s="579">
        <v>0</v>
      </c>
      <c r="K31" s="352">
        <f t="shared" si="1"/>
        <v>0</v>
      </c>
      <c r="L31" s="423">
        <f t="shared" si="3"/>
        <v>0</v>
      </c>
    </row>
    <row r="32" spans="1:12" ht="82.15" customHeight="1">
      <c r="A32" s="327">
        <v>31</v>
      </c>
      <c r="B32" s="327" t="s">
        <v>637</v>
      </c>
      <c r="C32" s="273" t="s">
        <v>599</v>
      </c>
      <c r="D32" s="350" t="s">
        <v>692</v>
      </c>
      <c r="E32" s="350"/>
      <c r="F32" s="20">
        <v>2.5</v>
      </c>
      <c r="G32" s="351">
        <v>255883</v>
      </c>
      <c r="H32" s="333">
        <v>0.4</v>
      </c>
      <c r="I32" s="20" t="s">
        <v>639</v>
      </c>
      <c r="J32" s="579">
        <v>0</v>
      </c>
      <c r="K32" s="352">
        <f t="shared" si="1"/>
        <v>0</v>
      </c>
      <c r="L32" s="423">
        <f t="shared" si="3"/>
        <v>0</v>
      </c>
    </row>
    <row r="33" spans="1:12" ht="82.15" customHeight="1">
      <c r="A33" s="327">
        <v>32</v>
      </c>
      <c r="B33" s="327" t="s">
        <v>637</v>
      </c>
      <c r="C33" s="273" t="s">
        <v>586</v>
      </c>
      <c r="D33" s="350" t="s">
        <v>693</v>
      </c>
      <c r="E33" s="350"/>
      <c r="F33" s="20">
        <v>2</v>
      </c>
      <c r="G33" s="351">
        <v>224910</v>
      </c>
      <c r="H33" s="333">
        <v>0.5</v>
      </c>
      <c r="I33" s="20" t="s">
        <v>639</v>
      </c>
      <c r="J33" s="579">
        <v>0</v>
      </c>
      <c r="K33" s="352">
        <f t="shared" si="1"/>
        <v>0</v>
      </c>
      <c r="L33" s="423">
        <f t="shared" si="3"/>
        <v>0</v>
      </c>
    </row>
    <row r="34" spans="1:12" ht="82.15" customHeight="1">
      <c r="A34" s="327">
        <v>33</v>
      </c>
      <c r="B34" s="327" t="s">
        <v>637</v>
      </c>
      <c r="C34" s="273" t="s">
        <v>608</v>
      </c>
      <c r="D34" s="359" t="s">
        <v>694</v>
      </c>
      <c r="E34" s="359"/>
      <c r="F34" s="20">
        <v>2.5</v>
      </c>
      <c r="G34" s="351">
        <v>255883</v>
      </c>
      <c r="H34" s="333">
        <v>0.9</v>
      </c>
      <c r="I34" s="20" t="s">
        <v>639</v>
      </c>
      <c r="J34" s="579">
        <v>0</v>
      </c>
      <c r="K34" s="352">
        <f t="shared" si="1"/>
        <v>0</v>
      </c>
      <c r="L34" s="423">
        <f t="shared" si="3"/>
        <v>0</v>
      </c>
    </row>
    <row r="35" spans="1:12" ht="82.15" customHeight="1">
      <c r="A35" s="327">
        <v>34</v>
      </c>
      <c r="B35" s="327" t="s">
        <v>637</v>
      </c>
      <c r="C35" s="273" t="s">
        <v>601</v>
      </c>
      <c r="D35" s="350" t="s">
        <v>695</v>
      </c>
      <c r="E35" s="350"/>
      <c r="F35" s="20">
        <v>5</v>
      </c>
      <c r="G35" s="351">
        <v>511766</v>
      </c>
      <c r="H35" s="333">
        <v>0.6</v>
      </c>
      <c r="I35" s="20" t="s">
        <v>639</v>
      </c>
      <c r="J35" s="579">
        <v>0</v>
      </c>
      <c r="K35" s="352">
        <f t="shared" si="1"/>
        <v>0</v>
      </c>
      <c r="L35" s="423">
        <f t="shared" si="3"/>
        <v>0</v>
      </c>
    </row>
    <row r="36" spans="1:12" ht="82.15" customHeight="1">
      <c r="A36" s="327">
        <v>35</v>
      </c>
      <c r="B36" s="327" t="s">
        <v>637</v>
      </c>
      <c r="C36" s="273" t="s">
        <v>696</v>
      </c>
      <c r="D36" s="360" t="s">
        <v>697</v>
      </c>
      <c r="E36" s="360"/>
      <c r="F36" s="20">
        <v>4</v>
      </c>
      <c r="G36" s="351">
        <v>449820</v>
      </c>
      <c r="H36" s="333">
        <v>0.3</v>
      </c>
      <c r="I36" s="20" t="s">
        <v>639</v>
      </c>
      <c r="J36" s="579">
        <v>0</v>
      </c>
      <c r="K36" s="352">
        <f t="shared" si="1"/>
        <v>0</v>
      </c>
      <c r="L36" s="423">
        <f t="shared" si="3"/>
        <v>0</v>
      </c>
    </row>
    <row r="37" spans="1:12" ht="82.15" customHeight="1">
      <c r="A37" s="327">
        <v>36</v>
      </c>
      <c r="B37" s="327" t="s">
        <v>637</v>
      </c>
      <c r="C37" s="273" t="s">
        <v>622</v>
      </c>
      <c r="D37" s="360" t="s">
        <v>698</v>
      </c>
      <c r="E37" s="360"/>
      <c r="F37" s="20">
        <v>3</v>
      </c>
      <c r="G37" s="351">
        <v>286856</v>
      </c>
      <c r="H37" s="333">
        <v>0.75</v>
      </c>
      <c r="I37" s="20" t="s">
        <v>673</v>
      </c>
      <c r="J37" s="579">
        <v>0</v>
      </c>
      <c r="K37" s="352">
        <f t="shared" si="1"/>
        <v>0</v>
      </c>
      <c r="L37" s="423">
        <f t="shared" si="3"/>
        <v>0</v>
      </c>
    </row>
    <row r="38" spans="1:12" ht="82.15" customHeight="1">
      <c r="A38" s="327">
        <v>37</v>
      </c>
      <c r="B38" s="327" t="s">
        <v>637</v>
      </c>
      <c r="C38" s="358" t="s">
        <v>699</v>
      </c>
      <c r="D38" s="350" t="s">
        <v>700</v>
      </c>
      <c r="E38" s="350"/>
      <c r="F38" s="20">
        <v>3.5</v>
      </c>
      <c r="G38" s="351">
        <v>418847</v>
      </c>
      <c r="H38" s="343">
        <v>0.75</v>
      </c>
      <c r="I38" s="20" t="s">
        <v>639</v>
      </c>
      <c r="J38" s="579">
        <v>0</v>
      </c>
      <c r="K38" s="352">
        <f>IF(J38=0,0,G38+(J38-1)*ROUND(G38*H38,0))</f>
        <v>0</v>
      </c>
      <c r="L38" s="423">
        <f t="shared" si="3"/>
        <v>0</v>
      </c>
    </row>
    <row r="39" spans="1:12" ht="82.15" customHeight="1">
      <c r="A39" s="327">
        <v>38</v>
      </c>
      <c r="B39" s="327" t="s">
        <v>637</v>
      </c>
      <c r="C39" s="273" t="s">
        <v>701</v>
      </c>
      <c r="D39" s="350" t="s">
        <v>702</v>
      </c>
      <c r="E39" s="350"/>
      <c r="F39" s="20">
        <v>2.5</v>
      </c>
      <c r="G39" s="351">
        <v>255883</v>
      </c>
      <c r="H39" s="343">
        <v>0.75</v>
      </c>
      <c r="I39" s="20" t="s">
        <v>639</v>
      </c>
      <c r="J39" s="579">
        <v>0</v>
      </c>
      <c r="K39" s="352">
        <f t="shared" si="1"/>
        <v>0</v>
      </c>
      <c r="L39" s="423">
        <f t="shared" si="3"/>
        <v>0</v>
      </c>
    </row>
    <row r="40" spans="1:12" ht="82.15" customHeight="1">
      <c r="A40" s="327">
        <v>39</v>
      </c>
      <c r="B40" s="327" t="s">
        <v>637</v>
      </c>
      <c r="C40" s="273" t="s">
        <v>703</v>
      </c>
      <c r="D40" s="350" t="s">
        <v>704</v>
      </c>
      <c r="E40" s="361"/>
      <c r="F40" s="20">
        <v>13</v>
      </c>
      <c r="G40" s="351">
        <v>1209370</v>
      </c>
      <c r="H40" s="344">
        <v>0.5</v>
      </c>
      <c r="I40" s="20" t="s">
        <v>665</v>
      </c>
      <c r="J40" s="579">
        <v>0</v>
      </c>
      <c r="K40" s="352">
        <f t="shared" si="1"/>
        <v>0</v>
      </c>
      <c r="L40" s="423">
        <f t="shared" si="3"/>
        <v>0</v>
      </c>
    </row>
    <row r="41" spans="1:12" ht="82.15" customHeight="1">
      <c r="A41" s="327">
        <v>40</v>
      </c>
      <c r="B41" s="327" t="s">
        <v>637</v>
      </c>
      <c r="C41" s="273" t="s">
        <v>592</v>
      </c>
      <c r="D41" s="350" t="s">
        <v>705</v>
      </c>
      <c r="E41" s="350"/>
      <c r="F41" s="20">
        <v>3.5</v>
      </c>
      <c r="G41" s="351">
        <v>317829</v>
      </c>
      <c r="H41" s="344">
        <v>0.6</v>
      </c>
      <c r="I41" s="20" t="s">
        <v>639</v>
      </c>
      <c r="J41" s="579">
        <v>0</v>
      </c>
      <c r="K41" s="352">
        <f t="shared" si="1"/>
        <v>0</v>
      </c>
      <c r="L41" s="423">
        <f t="shared" si="3"/>
        <v>0</v>
      </c>
    </row>
    <row r="42" spans="1:12" ht="82.15" customHeight="1">
      <c r="A42" s="327">
        <v>41</v>
      </c>
      <c r="B42" s="327" t="s">
        <v>637</v>
      </c>
      <c r="C42" s="273" t="s">
        <v>706</v>
      </c>
      <c r="D42" s="360" t="s">
        <v>707</v>
      </c>
      <c r="E42" s="361"/>
      <c r="F42" s="20">
        <v>5</v>
      </c>
      <c r="G42" s="351">
        <v>511766</v>
      </c>
      <c r="H42" s="344">
        <v>0.9</v>
      </c>
      <c r="I42" s="20" t="s">
        <v>649</v>
      </c>
      <c r="J42" s="579">
        <v>0</v>
      </c>
      <c r="K42" s="352">
        <f t="shared" si="1"/>
        <v>0</v>
      </c>
      <c r="L42" s="423">
        <f t="shared" si="3"/>
        <v>0</v>
      </c>
    </row>
    <row r="43" spans="1:12" ht="82.15" customHeight="1">
      <c r="A43" s="327">
        <v>42</v>
      </c>
      <c r="B43" s="327" t="s">
        <v>637</v>
      </c>
      <c r="C43" s="273" t="s">
        <v>708</v>
      </c>
      <c r="D43" s="350" t="s">
        <v>709</v>
      </c>
      <c r="E43" s="350"/>
      <c r="F43" s="20">
        <v>7</v>
      </c>
      <c r="G43" s="351">
        <v>837694</v>
      </c>
      <c r="H43" s="344">
        <v>0.95</v>
      </c>
      <c r="I43" s="20" t="s">
        <v>639</v>
      </c>
      <c r="J43" s="579">
        <v>0</v>
      </c>
      <c r="K43" s="352">
        <f t="shared" si="1"/>
        <v>0</v>
      </c>
      <c r="L43" s="423">
        <f t="shared" si="3"/>
        <v>0</v>
      </c>
    </row>
    <row r="44" spans="1:12" ht="82.15" customHeight="1">
      <c r="A44" s="327">
        <v>43</v>
      </c>
      <c r="B44" s="327" t="s">
        <v>637</v>
      </c>
      <c r="C44" s="273" t="s">
        <v>607</v>
      </c>
      <c r="D44" s="350" t="s">
        <v>710</v>
      </c>
      <c r="E44" s="350"/>
      <c r="F44" s="20">
        <v>8</v>
      </c>
      <c r="G44" s="351">
        <v>899640</v>
      </c>
      <c r="H44" s="344">
        <v>0.9</v>
      </c>
      <c r="I44" s="20" t="s">
        <v>649</v>
      </c>
      <c r="J44" s="579">
        <v>0</v>
      </c>
      <c r="K44" s="352">
        <f t="shared" si="1"/>
        <v>0</v>
      </c>
      <c r="L44" s="423">
        <f t="shared" si="3"/>
        <v>0</v>
      </c>
    </row>
    <row r="45" spans="1:12" ht="82.15" customHeight="1">
      <c r="A45" s="327">
        <v>44</v>
      </c>
      <c r="B45" s="327" t="s">
        <v>637</v>
      </c>
      <c r="C45" s="273" t="s">
        <v>619</v>
      </c>
      <c r="D45" s="360" t="s">
        <v>711</v>
      </c>
      <c r="E45" s="361"/>
      <c r="F45" s="20">
        <v>5</v>
      </c>
      <c r="G45" s="351">
        <v>511766</v>
      </c>
      <c r="H45" s="333">
        <v>0.8</v>
      </c>
      <c r="I45" s="20" t="s">
        <v>639</v>
      </c>
      <c r="J45" s="579">
        <v>0</v>
      </c>
      <c r="K45" s="352">
        <f t="shared" si="1"/>
        <v>0</v>
      </c>
      <c r="L45" s="423">
        <f t="shared" si="3"/>
        <v>0</v>
      </c>
    </row>
    <row r="46" spans="1:12" ht="82.15" customHeight="1">
      <c r="A46" s="327">
        <v>45</v>
      </c>
      <c r="B46" s="327" t="s">
        <v>637</v>
      </c>
      <c r="C46" s="273" t="s">
        <v>712</v>
      </c>
      <c r="D46" s="360" t="s">
        <v>713</v>
      </c>
      <c r="E46" s="361"/>
      <c r="F46" s="20">
        <v>8</v>
      </c>
      <c r="G46" s="351">
        <v>697604</v>
      </c>
      <c r="H46" s="333"/>
      <c r="I46" s="20" t="s">
        <v>649</v>
      </c>
      <c r="J46" s="20">
        <v>0</v>
      </c>
      <c r="K46" s="352">
        <f t="shared" si="1"/>
        <v>0</v>
      </c>
      <c r="L46" s="423">
        <f t="shared" si="3"/>
        <v>0</v>
      </c>
    </row>
    <row r="47" spans="1:12" ht="113.65" customHeight="1">
      <c r="A47" s="327">
        <v>46</v>
      </c>
      <c r="B47" s="327" t="s">
        <v>637</v>
      </c>
      <c r="C47" s="273" t="s">
        <v>714</v>
      </c>
      <c r="D47" s="360" t="s">
        <v>715</v>
      </c>
      <c r="E47" s="361"/>
      <c r="F47" s="20">
        <v>16</v>
      </c>
      <c r="G47" s="351">
        <v>1395208</v>
      </c>
      <c r="H47" s="333"/>
      <c r="I47" s="20" t="s">
        <v>665</v>
      </c>
      <c r="J47" s="20">
        <v>0</v>
      </c>
      <c r="K47" s="352">
        <f t="shared" si="1"/>
        <v>0</v>
      </c>
      <c r="L47" s="423">
        <f t="shared" si="3"/>
        <v>0</v>
      </c>
    </row>
    <row r="48" spans="1:12" ht="82.15" customHeight="1">
      <c r="A48" s="327">
        <v>47</v>
      </c>
      <c r="B48" s="327" t="s">
        <v>637</v>
      </c>
      <c r="C48" s="273" t="s">
        <v>594</v>
      </c>
      <c r="D48" s="350" t="s">
        <v>716</v>
      </c>
      <c r="E48" s="350"/>
      <c r="F48" s="20">
        <v>5</v>
      </c>
      <c r="G48" s="351">
        <v>511766</v>
      </c>
      <c r="H48" s="333">
        <v>0.9</v>
      </c>
      <c r="I48" s="20" t="s">
        <v>639</v>
      </c>
      <c r="J48" s="20">
        <v>0</v>
      </c>
      <c r="K48" s="352">
        <f t="shared" si="1"/>
        <v>0</v>
      </c>
      <c r="L48" s="423">
        <f t="shared" si="3"/>
        <v>0</v>
      </c>
    </row>
    <row r="49" spans="1:12" ht="82.15" customHeight="1">
      <c r="A49" s="327">
        <v>48</v>
      </c>
      <c r="B49" s="327" t="s">
        <v>637</v>
      </c>
      <c r="C49" s="273" t="s">
        <v>617</v>
      </c>
      <c r="D49" s="360" t="s">
        <v>717</v>
      </c>
      <c r="E49" s="361"/>
      <c r="F49" s="20">
        <v>5.5</v>
      </c>
      <c r="G49" s="351">
        <v>542739</v>
      </c>
      <c r="H49" s="333">
        <v>0.9</v>
      </c>
      <c r="I49" s="20" t="s">
        <v>639</v>
      </c>
      <c r="J49" s="20">
        <v>0</v>
      </c>
      <c r="K49" s="352">
        <f t="shared" si="1"/>
        <v>0</v>
      </c>
      <c r="L49" s="423">
        <f t="shared" si="3"/>
        <v>0</v>
      </c>
    </row>
    <row r="50" spans="1:12" ht="82.15" customHeight="1">
      <c r="A50" s="327">
        <v>49</v>
      </c>
      <c r="B50" s="327" t="s">
        <v>637</v>
      </c>
      <c r="C50" s="273" t="s">
        <v>571</v>
      </c>
      <c r="D50" s="350" t="s">
        <v>718</v>
      </c>
      <c r="E50" s="350"/>
      <c r="F50" s="20">
        <v>18</v>
      </c>
      <c r="G50" s="351">
        <v>1519100</v>
      </c>
      <c r="H50" s="333">
        <v>0.9</v>
      </c>
      <c r="I50" s="20" t="s">
        <v>647</v>
      </c>
      <c r="J50" s="20">
        <v>0</v>
      </c>
      <c r="K50" s="352">
        <f t="shared" si="1"/>
        <v>0</v>
      </c>
      <c r="L50" s="423">
        <f t="shared" si="3"/>
        <v>0</v>
      </c>
    </row>
    <row r="51" spans="1:12" ht="82.15" customHeight="1">
      <c r="A51" s="327">
        <v>50</v>
      </c>
      <c r="B51" s="327" t="s">
        <v>637</v>
      </c>
      <c r="C51" s="273" t="s">
        <v>565</v>
      </c>
      <c r="D51" s="350" t="s">
        <v>719</v>
      </c>
      <c r="E51" s="350"/>
      <c r="F51" s="20">
        <v>18</v>
      </c>
      <c r="G51" s="351">
        <v>1519100</v>
      </c>
      <c r="H51" s="333">
        <v>0.75</v>
      </c>
      <c r="I51" s="20" t="s">
        <v>649</v>
      </c>
      <c r="J51" s="20">
        <v>0</v>
      </c>
      <c r="K51" s="352">
        <f t="shared" si="1"/>
        <v>0</v>
      </c>
      <c r="L51" s="423">
        <f t="shared" si="3"/>
        <v>0</v>
      </c>
    </row>
    <row r="52" spans="1:12" ht="82.15" customHeight="1">
      <c r="A52" s="327">
        <v>51</v>
      </c>
      <c r="B52" s="327" t="s">
        <v>637</v>
      </c>
      <c r="C52" s="273" t="s">
        <v>577</v>
      </c>
      <c r="D52" s="350" t="s">
        <v>578</v>
      </c>
      <c r="E52" s="350"/>
      <c r="F52" s="20">
        <v>4</v>
      </c>
      <c r="G52" s="351">
        <v>449820</v>
      </c>
      <c r="H52" s="333">
        <v>0.9</v>
      </c>
      <c r="I52" s="20" t="s">
        <v>639</v>
      </c>
      <c r="J52" s="20">
        <v>0</v>
      </c>
      <c r="K52" s="352">
        <f t="shared" si="1"/>
        <v>0</v>
      </c>
      <c r="L52" s="423">
        <f t="shared" si="3"/>
        <v>0</v>
      </c>
    </row>
    <row r="53" spans="1:12" ht="82.15" customHeight="1">
      <c r="A53" s="327">
        <v>52</v>
      </c>
      <c r="B53" s="327" t="s">
        <v>637</v>
      </c>
      <c r="C53" s="273" t="s">
        <v>605</v>
      </c>
      <c r="D53" s="350" t="s">
        <v>720</v>
      </c>
      <c r="E53" s="350"/>
      <c r="F53" s="20">
        <v>4</v>
      </c>
      <c r="G53" s="351">
        <v>449820</v>
      </c>
      <c r="H53" s="333">
        <v>0.9</v>
      </c>
      <c r="I53" s="20" t="s">
        <v>639</v>
      </c>
      <c r="J53" s="20">
        <v>0</v>
      </c>
      <c r="K53" s="352">
        <f t="shared" si="1"/>
        <v>0</v>
      </c>
      <c r="L53" s="423">
        <f t="shared" si="3"/>
        <v>0</v>
      </c>
    </row>
    <row r="54" spans="1:12" ht="82.15" customHeight="1">
      <c r="A54" s="327">
        <v>53</v>
      </c>
      <c r="B54" s="327" t="s">
        <v>637</v>
      </c>
      <c r="C54" s="273" t="s">
        <v>610</v>
      </c>
      <c r="D54" s="362" t="s">
        <v>721</v>
      </c>
      <c r="E54" s="362"/>
      <c r="F54" s="20">
        <v>25</v>
      </c>
      <c r="G54" s="351">
        <v>2154758</v>
      </c>
      <c r="H54" s="333">
        <v>0.95</v>
      </c>
      <c r="I54" s="20" t="s">
        <v>649</v>
      </c>
      <c r="J54" s="20">
        <v>0</v>
      </c>
      <c r="K54" s="352">
        <f t="shared" si="1"/>
        <v>0</v>
      </c>
      <c r="L54" s="423">
        <f t="shared" si="3"/>
        <v>0</v>
      </c>
    </row>
    <row r="55" spans="1:12" ht="82.15" customHeight="1">
      <c r="A55" s="327">
        <v>54</v>
      </c>
      <c r="B55" s="327" t="s">
        <v>637</v>
      </c>
      <c r="C55" s="363" t="s">
        <v>611</v>
      </c>
      <c r="D55" s="362" t="s">
        <v>722</v>
      </c>
      <c r="E55" s="362"/>
      <c r="F55" s="20">
        <v>42</v>
      </c>
      <c r="G55" s="351">
        <v>3813948</v>
      </c>
      <c r="H55" s="333">
        <v>0.95</v>
      </c>
      <c r="I55" s="20" t="s">
        <v>665</v>
      </c>
      <c r="J55" s="20">
        <v>0</v>
      </c>
      <c r="K55" s="352">
        <f t="shared" si="1"/>
        <v>0</v>
      </c>
      <c r="L55" s="423">
        <f t="shared" si="3"/>
        <v>0</v>
      </c>
    </row>
    <row r="56" spans="1:12" ht="87" customHeight="1">
      <c r="A56" s="327">
        <v>55</v>
      </c>
      <c r="B56" s="327" t="s">
        <v>637</v>
      </c>
      <c r="C56" s="363" t="s">
        <v>723</v>
      </c>
      <c r="D56" s="355" t="s">
        <v>724</v>
      </c>
      <c r="E56" s="364"/>
      <c r="F56" s="20">
        <v>26</v>
      </c>
      <c r="G56" s="351">
        <v>3226884</v>
      </c>
      <c r="H56" s="333">
        <v>1</v>
      </c>
      <c r="I56" s="20" t="s">
        <v>689</v>
      </c>
      <c r="J56" s="20">
        <v>0</v>
      </c>
      <c r="K56" s="352">
        <f t="shared" si="1"/>
        <v>0</v>
      </c>
      <c r="L56" s="423">
        <f t="shared" si="3"/>
        <v>0</v>
      </c>
    </row>
    <row r="57" spans="1:12" ht="82.15" customHeight="1">
      <c r="A57" s="327">
        <v>56</v>
      </c>
      <c r="B57" s="327" t="s">
        <v>637</v>
      </c>
      <c r="C57" s="363" t="s">
        <v>725</v>
      </c>
      <c r="D57" s="365" t="s">
        <v>726</v>
      </c>
      <c r="E57" s="366"/>
      <c r="F57" s="20">
        <v>39</v>
      </c>
      <c r="G57" s="351">
        <v>3224038</v>
      </c>
      <c r="H57" s="333">
        <v>0.5</v>
      </c>
      <c r="I57" s="20" t="s">
        <v>691</v>
      </c>
      <c r="J57" s="20">
        <v>0</v>
      </c>
      <c r="K57" s="352">
        <f t="shared" si="1"/>
        <v>0</v>
      </c>
      <c r="L57" s="423">
        <f t="shared" si="3"/>
        <v>0</v>
      </c>
    </row>
    <row r="58" spans="1:12" ht="82.15" customHeight="1">
      <c r="A58" s="327">
        <v>57</v>
      </c>
      <c r="B58" s="327" t="s">
        <v>637</v>
      </c>
      <c r="C58" s="363" t="s">
        <v>727</v>
      </c>
      <c r="D58" s="365" t="s">
        <v>728</v>
      </c>
      <c r="E58" s="366"/>
      <c r="F58" s="20">
        <v>5</v>
      </c>
      <c r="G58" s="351">
        <v>511766</v>
      </c>
      <c r="H58" s="333">
        <v>1</v>
      </c>
      <c r="I58" s="20" t="s">
        <v>639</v>
      </c>
      <c r="J58" s="20">
        <v>0</v>
      </c>
      <c r="K58" s="352">
        <f t="shared" si="1"/>
        <v>0</v>
      </c>
      <c r="L58" s="423">
        <f t="shared" si="3"/>
        <v>0</v>
      </c>
    </row>
    <row r="59" spans="1:12" ht="82.15" customHeight="1">
      <c r="A59" s="327">
        <v>58</v>
      </c>
      <c r="B59" s="327" t="s">
        <v>729</v>
      </c>
      <c r="C59" s="273" t="s">
        <v>730</v>
      </c>
      <c r="D59" s="1297" t="s">
        <v>731</v>
      </c>
      <c r="E59" s="367"/>
      <c r="F59" s="20">
        <v>3</v>
      </c>
      <c r="G59" s="351">
        <v>255883</v>
      </c>
      <c r="H59" s="333">
        <v>1</v>
      </c>
      <c r="I59" s="20" t="s">
        <v>673</v>
      </c>
      <c r="J59" s="20">
        <v>0</v>
      </c>
      <c r="K59" s="352">
        <f t="shared" si="1"/>
        <v>0</v>
      </c>
      <c r="L59" s="423">
        <f t="shared" si="3"/>
        <v>0</v>
      </c>
    </row>
    <row r="60" spans="1:12" ht="82.15" customHeight="1">
      <c r="A60" s="327">
        <v>59</v>
      </c>
      <c r="B60" s="327" t="s">
        <v>729</v>
      </c>
      <c r="C60" s="273" t="s">
        <v>732</v>
      </c>
      <c r="D60" s="1298"/>
      <c r="E60" s="368"/>
      <c r="F60" s="20">
        <v>4.5</v>
      </c>
      <c r="G60" s="351">
        <v>480793</v>
      </c>
      <c r="H60" s="333">
        <v>1</v>
      </c>
      <c r="I60" s="20" t="s">
        <v>673</v>
      </c>
      <c r="J60" s="20">
        <v>0</v>
      </c>
      <c r="K60" s="352">
        <f t="shared" si="1"/>
        <v>0</v>
      </c>
      <c r="L60" s="423">
        <f t="shared" si="3"/>
        <v>0</v>
      </c>
    </row>
    <row r="61" spans="1:12" ht="82.15" customHeight="1">
      <c r="A61" s="327">
        <v>60</v>
      </c>
      <c r="B61" s="327" t="s">
        <v>729</v>
      </c>
      <c r="C61" s="273" t="s">
        <v>733</v>
      </c>
      <c r="D61" s="1298"/>
      <c r="E61" s="368"/>
      <c r="F61" s="20">
        <v>9</v>
      </c>
      <c r="G61" s="351">
        <v>759550</v>
      </c>
      <c r="H61" s="333">
        <v>1</v>
      </c>
      <c r="I61" s="20" t="s">
        <v>673</v>
      </c>
      <c r="J61" s="20">
        <v>0</v>
      </c>
      <c r="K61" s="352">
        <f t="shared" si="1"/>
        <v>0</v>
      </c>
      <c r="L61" s="423">
        <f t="shared" si="3"/>
        <v>0</v>
      </c>
    </row>
    <row r="62" spans="1:12" ht="82.15" customHeight="1">
      <c r="A62" s="327">
        <v>61</v>
      </c>
      <c r="B62" s="327" t="s">
        <v>729</v>
      </c>
      <c r="C62" s="273" t="s">
        <v>734</v>
      </c>
      <c r="D62" s="1299"/>
      <c r="E62" s="369"/>
      <c r="F62" s="20">
        <v>14</v>
      </c>
      <c r="G62" s="351">
        <v>1271316</v>
      </c>
      <c r="H62" s="333">
        <v>1</v>
      </c>
      <c r="I62" s="20" t="s">
        <v>649</v>
      </c>
      <c r="J62" s="20">
        <v>0</v>
      </c>
      <c r="K62" s="352">
        <f t="shared" si="1"/>
        <v>0</v>
      </c>
      <c r="L62" s="423">
        <f t="shared" si="3"/>
        <v>0</v>
      </c>
    </row>
    <row r="63" spans="1:12" ht="109.15" customHeight="1">
      <c r="A63" s="327">
        <v>62</v>
      </c>
      <c r="B63" s="327" t="s">
        <v>729</v>
      </c>
      <c r="C63" s="273" t="s">
        <v>735</v>
      </c>
      <c r="D63" s="43" t="s">
        <v>736</v>
      </c>
      <c r="E63" s="43"/>
      <c r="F63" s="20">
        <v>19</v>
      </c>
      <c r="G63" s="351">
        <v>1581046</v>
      </c>
      <c r="H63" s="333">
        <v>1</v>
      </c>
      <c r="I63" s="20" t="s">
        <v>649</v>
      </c>
      <c r="J63" s="20">
        <v>0</v>
      </c>
      <c r="K63" s="352">
        <f t="shared" si="1"/>
        <v>0</v>
      </c>
      <c r="L63" s="423">
        <f t="shared" si="3"/>
        <v>0</v>
      </c>
    </row>
    <row r="64" spans="1:12" ht="109.15" customHeight="1">
      <c r="A64" s="327">
        <v>63</v>
      </c>
      <c r="B64" s="327" t="s">
        <v>729</v>
      </c>
      <c r="C64" s="273" t="s">
        <v>737</v>
      </c>
      <c r="D64" s="43" t="s">
        <v>738</v>
      </c>
      <c r="E64" s="43"/>
      <c r="F64" s="20">
        <v>56</v>
      </c>
      <c r="G64" s="351">
        <v>5489336</v>
      </c>
      <c r="H64" s="333">
        <v>1</v>
      </c>
      <c r="I64" s="20" t="s">
        <v>665</v>
      </c>
      <c r="J64" s="20">
        <v>0</v>
      </c>
      <c r="K64" s="352">
        <f>IF(J64=0,0,G64+(J64-1)*ROUND(G64*H64,0))</f>
        <v>0</v>
      </c>
      <c r="L64" s="423">
        <f t="shared" si="3"/>
        <v>0</v>
      </c>
    </row>
    <row r="65" spans="1:13" s="176" customFormat="1" ht="82.15" customHeight="1">
      <c r="A65" s="327">
        <v>64</v>
      </c>
      <c r="B65" s="327" t="s">
        <v>739</v>
      </c>
      <c r="C65" s="273" t="s">
        <v>740</v>
      </c>
      <c r="D65" s="273" t="s">
        <v>741</v>
      </c>
      <c r="E65" s="1300"/>
      <c r="F65" s="20">
        <v>5</v>
      </c>
      <c r="G65" s="351">
        <v>511766</v>
      </c>
      <c r="H65" s="333">
        <v>1</v>
      </c>
      <c r="I65" s="20" t="s">
        <v>639</v>
      </c>
      <c r="J65" s="20">
        <v>0</v>
      </c>
      <c r="K65" s="352">
        <f t="shared" si="1"/>
        <v>0</v>
      </c>
      <c r="L65" s="423">
        <f t="shared" si="3"/>
        <v>0</v>
      </c>
    </row>
    <row r="66" spans="1:13" ht="82.15" customHeight="1">
      <c r="A66" s="327">
        <v>65</v>
      </c>
      <c r="B66" s="327" t="s">
        <v>739</v>
      </c>
      <c r="C66" s="273" t="s">
        <v>742</v>
      </c>
      <c r="D66" s="273" t="s">
        <v>743</v>
      </c>
      <c r="E66" s="1301"/>
      <c r="F66" s="20">
        <v>4.5</v>
      </c>
      <c r="G66" s="351">
        <v>278757</v>
      </c>
      <c r="H66" s="333">
        <v>1</v>
      </c>
      <c r="I66" s="20" t="s">
        <v>639</v>
      </c>
      <c r="J66" s="20">
        <v>0</v>
      </c>
      <c r="K66" s="352">
        <f t="shared" si="1"/>
        <v>0</v>
      </c>
      <c r="L66" s="423">
        <f t="shared" si="3"/>
        <v>0</v>
      </c>
    </row>
    <row r="67" spans="1:13" ht="82.15" customHeight="1">
      <c r="A67" s="327">
        <v>66</v>
      </c>
      <c r="B67" s="327" t="s">
        <v>739</v>
      </c>
      <c r="C67" s="273" t="s">
        <v>744</v>
      </c>
      <c r="D67" s="273" t="s">
        <v>743</v>
      </c>
      <c r="E67" s="1301"/>
      <c r="F67" s="20">
        <v>7.5</v>
      </c>
      <c r="G67" s="351">
        <v>464595</v>
      </c>
      <c r="H67" s="333">
        <v>1</v>
      </c>
      <c r="I67" s="20" t="s">
        <v>639</v>
      </c>
      <c r="J67" s="20">
        <v>0</v>
      </c>
      <c r="K67" s="352">
        <f t="shared" si="1"/>
        <v>0</v>
      </c>
      <c r="L67" s="423">
        <f t="shared" si="3"/>
        <v>0</v>
      </c>
    </row>
    <row r="68" spans="1:13" ht="82.15" customHeight="1">
      <c r="A68" s="327">
        <v>67</v>
      </c>
      <c r="B68" s="327" t="s">
        <v>739</v>
      </c>
      <c r="C68" s="273" t="s">
        <v>745</v>
      </c>
      <c r="D68" s="273" t="s">
        <v>743</v>
      </c>
      <c r="E68" s="1301"/>
      <c r="F68" s="20">
        <v>11</v>
      </c>
      <c r="G68" s="351">
        <v>883442</v>
      </c>
      <c r="H68" s="333">
        <v>1</v>
      </c>
      <c r="I68" s="20" t="s">
        <v>649</v>
      </c>
      <c r="J68" s="20">
        <v>0</v>
      </c>
      <c r="K68" s="352">
        <f t="shared" si="1"/>
        <v>0</v>
      </c>
      <c r="L68" s="423">
        <f t="shared" si="3"/>
        <v>0</v>
      </c>
    </row>
    <row r="69" spans="1:13" s="176" customFormat="1" ht="82.15" customHeight="1">
      <c r="A69" s="327">
        <v>68</v>
      </c>
      <c r="B69" s="327" t="s">
        <v>739</v>
      </c>
      <c r="C69" s="273" t="s">
        <v>746</v>
      </c>
      <c r="D69" s="273" t="s">
        <v>747</v>
      </c>
      <c r="E69" s="1302"/>
      <c r="F69" s="20">
        <v>2</v>
      </c>
      <c r="G69" s="351">
        <v>184502.8</v>
      </c>
      <c r="H69" s="333">
        <v>1</v>
      </c>
      <c r="I69" s="370" t="s">
        <v>748</v>
      </c>
      <c r="J69" s="20">
        <v>0</v>
      </c>
      <c r="K69" s="352">
        <f t="shared" si="1"/>
        <v>0</v>
      </c>
      <c r="L69" s="423">
        <f t="shared" si="3"/>
        <v>0</v>
      </c>
      <c r="M69" s="371"/>
    </row>
    <row r="70" spans="1:13" ht="82.15" customHeight="1">
      <c r="A70" s="327">
        <v>69</v>
      </c>
      <c r="B70" s="327" t="s">
        <v>739</v>
      </c>
      <c r="C70" s="273" t="s">
        <v>749</v>
      </c>
      <c r="D70" s="327" t="s">
        <v>750</v>
      </c>
      <c r="E70" s="3"/>
      <c r="F70" s="20">
        <v>3</v>
      </c>
      <c r="G70" s="351">
        <v>185838</v>
      </c>
      <c r="H70" s="333">
        <v>0.7</v>
      </c>
      <c r="I70" s="20" t="s">
        <v>673</v>
      </c>
      <c r="J70" s="20">
        <v>0</v>
      </c>
      <c r="K70" s="352">
        <f t="shared" si="1"/>
        <v>0</v>
      </c>
      <c r="L70" s="423">
        <f t="shared" ref="L70:L77" si="4">IF(J70=0,0,F70+(J70-1)*ROUND(F70*H70,0))</f>
        <v>0</v>
      </c>
    </row>
    <row r="71" spans="1:13" ht="82.15" customHeight="1">
      <c r="A71" s="327">
        <v>70</v>
      </c>
      <c r="B71" s="327" t="s">
        <v>751</v>
      </c>
      <c r="C71" s="273" t="s">
        <v>752</v>
      </c>
      <c r="D71" s="273" t="s">
        <v>753</v>
      </c>
      <c r="E71" s="1303"/>
      <c r="F71" s="20">
        <v>2</v>
      </c>
      <c r="G71" s="351">
        <v>224910</v>
      </c>
      <c r="H71" s="333">
        <v>0.5</v>
      </c>
      <c r="I71" s="20" t="s">
        <v>673</v>
      </c>
      <c r="J71" s="20">
        <v>0</v>
      </c>
      <c r="K71" s="352">
        <f t="shared" ref="K71:K77" si="5">IF(J71=0,0,G71+(J71-1)*ROUND(G71*H71,0))</f>
        <v>0</v>
      </c>
      <c r="L71" s="423">
        <f t="shared" si="4"/>
        <v>0</v>
      </c>
    </row>
    <row r="72" spans="1:13" ht="82.15" customHeight="1">
      <c r="A72" s="327">
        <v>71</v>
      </c>
      <c r="B72" s="327" t="s">
        <v>751</v>
      </c>
      <c r="C72" s="273" t="s">
        <v>754</v>
      </c>
      <c r="D72" s="273" t="s">
        <v>755</v>
      </c>
      <c r="E72" s="1304"/>
      <c r="F72" s="20">
        <v>5</v>
      </c>
      <c r="G72" s="351">
        <v>511766</v>
      </c>
      <c r="H72" s="333">
        <v>0.5</v>
      </c>
      <c r="I72" s="20" t="s">
        <v>673</v>
      </c>
      <c r="J72" s="20">
        <v>0</v>
      </c>
      <c r="K72" s="352">
        <f t="shared" si="5"/>
        <v>0</v>
      </c>
      <c r="L72" s="423">
        <f t="shared" si="4"/>
        <v>0</v>
      </c>
    </row>
    <row r="73" spans="1:13" ht="82.15" customHeight="1">
      <c r="A73" s="327">
        <v>72</v>
      </c>
      <c r="B73" s="327" t="s">
        <v>751</v>
      </c>
      <c r="C73" s="273" t="s">
        <v>756</v>
      </c>
      <c r="D73" s="273" t="s">
        <v>757</v>
      </c>
      <c r="E73" s="1305"/>
      <c r="F73" s="20">
        <v>10</v>
      </c>
      <c r="G73" s="351">
        <v>1023532</v>
      </c>
      <c r="H73" s="333">
        <v>0.5</v>
      </c>
      <c r="I73" s="20" t="s">
        <v>639</v>
      </c>
      <c r="J73" s="20">
        <v>0</v>
      </c>
      <c r="K73" s="352">
        <f t="shared" si="5"/>
        <v>0</v>
      </c>
      <c r="L73" s="423">
        <f t="shared" si="4"/>
        <v>0</v>
      </c>
    </row>
    <row r="74" spans="1:13" ht="82.15" customHeight="1">
      <c r="A74" s="327">
        <v>73</v>
      </c>
      <c r="B74" s="327" t="s">
        <v>758</v>
      </c>
      <c r="C74" s="273" t="s">
        <v>759</v>
      </c>
      <c r="D74" s="273" t="s">
        <v>760</v>
      </c>
      <c r="E74" s="43"/>
      <c r="F74" s="20">
        <v>7</v>
      </c>
      <c r="G74" s="351">
        <v>635658</v>
      </c>
      <c r="H74" s="333">
        <v>0.5</v>
      </c>
      <c r="I74" s="20" t="s">
        <v>639</v>
      </c>
      <c r="J74" s="20">
        <v>0</v>
      </c>
      <c r="K74" s="352">
        <f t="shared" si="5"/>
        <v>0</v>
      </c>
      <c r="L74" s="423">
        <f t="shared" si="4"/>
        <v>0</v>
      </c>
    </row>
    <row r="75" spans="1:13" ht="82.15" customHeight="1">
      <c r="A75" s="327">
        <v>74</v>
      </c>
      <c r="B75" s="327" t="s">
        <v>758</v>
      </c>
      <c r="C75" s="273" t="s">
        <v>761</v>
      </c>
      <c r="D75" s="273" t="s">
        <v>762</v>
      </c>
      <c r="E75" s="1303"/>
      <c r="F75" s="20">
        <v>70</v>
      </c>
      <c r="G75" s="351">
        <v>8376940</v>
      </c>
      <c r="H75" s="333"/>
      <c r="I75" s="20" t="s">
        <v>763</v>
      </c>
      <c r="J75" s="20">
        <v>0</v>
      </c>
      <c r="K75" s="352">
        <f t="shared" si="5"/>
        <v>0</v>
      </c>
      <c r="L75" s="423">
        <f t="shared" si="4"/>
        <v>0</v>
      </c>
    </row>
    <row r="76" spans="1:13" ht="82.15" customHeight="1">
      <c r="A76" s="327">
        <v>75</v>
      </c>
      <c r="B76" s="327" t="s">
        <v>758</v>
      </c>
      <c r="C76" s="273" t="s">
        <v>764</v>
      </c>
      <c r="D76" s="273" t="s">
        <v>765</v>
      </c>
      <c r="E76" s="1305"/>
      <c r="F76" s="20">
        <v>120</v>
      </c>
      <c r="G76" s="351">
        <v>11474240</v>
      </c>
      <c r="H76" s="333"/>
      <c r="I76" s="20" t="s">
        <v>763</v>
      </c>
      <c r="J76" s="20">
        <v>0</v>
      </c>
      <c r="K76" s="352">
        <f t="shared" si="5"/>
        <v>0</v>
      </c>
      <c r="L76" s="423">
        <f t="shared" si="4"/>
        <v>0</v>
      </c>
    </row>
    <row r="77" spans="1:13" ht="82.15" customHeight="1">
      <c r="A77" s="327">
        <v>76</v>
      </c>
      <c r="B77" s="327" t="s">
        <v>637</v>
      </c>
      <c r="C77" s="273" t="s">
        <v>766</v>
      </c>
      <c r="D77" s="273" t="s">
        <v>767</v>
      </c>
      <c r="E77" s="43"/>
      <c r="F77" s="20">
        <v>50</v>
      </c>
      <c r="G77" s="351">
        <v>5117660</v>
      </c>
      <c r="H77" s="333">
        <v>1</v>
      </c>
      <c r="I77" s="20" t="s">
        <v>763</v>
      </c>
      <c r="J77" s="20">
        <v>0</v>
      </c>
      <c r="K77" s="352">
        <f t="shared" si="5"/>
        <v>0</v>
      </c>
      <c r="L77" s="423">
        <f t="shared" si="4"/>
        <v>0</v>
      </c>
    </row>
    <row r="78" spans="1:13" ht="26.25">
      <c r="A78" s="176" t="s">
        <v>768</v>
      </c>
      <c r="H78"/>
      <c r="J78" s="425" t="s">
        <v>65</v>
      </c>
      <c r="K78" s="424">
        <f>SUM(K2:K77)</f>
        <v>2131501</v>
      </c>
    </row>
    <row r="79" spans="1:13" hidden="1">
      <c r="H79"/>
    </row>
    <row r="80" spans="1:13" ht="39" hidden="1" customHeight="1">
      <c r="C80" s="358" t="s">
        <v>769</v>
      </c>
      <c r="F80" s="85">
        <v>4.5</v>
      </c>
      <c r="G80" s="426">
        <v>480793</v>
      </c>
      <c r="H80" s="343">
        <v>0.7</v>
      </c>
      <c r="J80" s="425">
        <v>4</v>
      </c>
      <c r="K80" s="424">
        <f>IF(J80=0,0,G80+(J80-1)*ROUND(G80*H80,0))</f>
        <v>1490458</v>
      </c>
    </row>
    <row r="81" spans="4:11" hidden="1">
      <c r="G81" s="45"/>
      <c r="H81"/>
      <c r="I81" s="374"/>
      <c r="K81" s="420">
        <f>+K73+K70+K63</f>
        <v>0</v>
      </c>
    </row>
    <row r="82" spans="4:11" hidden="1">
      <c r="G82" s="45">
        <f>G80*H80</f>
        <v>336555.1</v>
      </c>
      <c r="H82"/>
      <c r="I82" s="374"/>
      <c r="K82" s="420">
        <f>K3/24*3</f>
        <v>68128.375</v>
      </c>
    </row>
    <row r="83" spans="4:11" hidden="1">
      <c r="K83" s="421"/>
    </row>
    <row r="84" spans="4:11" hidden="1">
      <c r="G84" s="375"/>
      <c r="K84" s="420">
        <f>+K59+K12*2+K3*2</f>
        <v>4263002</v>
      </c>
    </row>
    <row r="85" spans="4:11" hidden="1">
      <c r="H85" s="376"/>
      <c r="K85" s="420"/>
    </row>
    <row r="86" spans="4:11" hidden="1">
      <c r="H86" s="376"/>
    </row>
    <row r="87" spans="4:11" hidden="1"/>
    <row r="89" spans="4:11">
      <c r="D89" s="372">
        <f>4500000*0.7</f>
        <v>3150000</v>
      </c>
    </row>
    <row r="90" spans="4:11">
      <c r="D90" s="422">
        <f>4500000+4*D89</f>
        <v>17100000</v>
      </c>
    </row>
    <row r="91" spans="4:11">
      <c r="D91" s="372"/>
    </row>
  </sheetData>
  <protectedRanges>
    <protectedRange sqref="J2:J77" name="Rango1"/>
  </protectedRanges>
  <autoFilter ref="A1:K82" xr:uid="{475F4D1D-012D-4A41-915C-5A242E7EA63E}"/>
  <mergeCells count="4">
    <mergeCell ref="D59:D62"/>
    <mergeCell ref="E65:E69"/>
    <mergeCell ref="E71:E73"/>
    <mergeCell ref="E75:E7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EB14-93D1-4B12-846D-380CF20C942F}">
  <sheetPr codeName="Hoja28"/>
  <dimension ref="A1:T91"/>
  <sheetViews>
    <sheetView showGridLines="0" zoomScale="80" zoomScaleNormal="80" workbookViewId="0">
      <pane xSplit="3" ySplit="1" topLeftCell="F2" activePane="bottomRight" state="frozen"/>
      <selection activeCell="B44" sqref="B44"/>
      <selection pane="topRight" activeCell="B44" sqref="B44"/>
      <selection pane="bottomLeft" activeCell="B44" sqref="B44"/>
      <selection pane="bottomRight" activeCell="J3" sqref="J3"/>
    </sheetView>
  </sheetViews>
  <sheetFormatPr baseColWidth="10" defaultColWidth="10.85546875" defaultRowHeight="15"/>
  <cols>
    <col min="1" max="1" width="4.7109375" style="1208" customWidth="1"/>
    <col min="2" max="2" width="29.28515625" style="1208" customWidth="1"/>
    <col min="3" max="3" width="50.140625" style="1178" customWidth="1"/>
    <col min="4" max="4" width="49.85546875" style="1152" customWidth="1"/>
    <col min="5" max="5" width="33.28515625" style="1152" customWidth="1"/>
    <col min="6" max="6" width="10.85546875" style="1211" customWidth="1"/>
    <col min="7" max="7" width="13.5703125" style="1152" customWidth="1"/>
    <col min="8" max="8" width="14" style="1183" customWidth="1"/>
    <col min="9" max="9" width="31.28515625" style="1171" customWidth="1"/>
    <col min="10" max="10" width="27.7109375" style="1171" customWidth="1"/>
    <col min="11" max="11" width="26.28515625" style="1171" customWidth="1"/>
    <col min="12" max="12" width="11.42578125" style="1183"/>
    <col min="13" max="14" width="10.85546875" style="1152"/>
    <col min="15" max="15" width="13.140625" style="1152" bestFit="1" customWidth="1"/>
    <col min="16" max="16384" width="10.85546875" style="1152"/>
  </cols>
  <sheetData>
    <row r="1" spans="1:20" ht="58.9" customHeight="1">
      <c r="A1" s="1172" t="s">
        <v>628</v>
      </c>
      <c r="B1" s="1172" t="s">
        <v>629</v>
      </c>
      <c r="C1" s="1172" t="s">
        <v>536</v>
      </c>
      <c r="D1" s="1179" t="s">
        <v>630</v>
      </c>
      <c r="E1" s="1179" t="s">
        <v>631</v>
      </c>
      <c r="F1" s="1179" t="s">
        <v>632</v>
      </c>
      <c r="G1" s="1180" t="s">
        <v>633</v>
      </c>
      <c r="H1" s="1181" t="s">
        <v>558</v>
      </c>
      <c r="I1" s="1179" t="s">
        <v>634</v>
      </c>
      <c r="J1" s="1167" t="s">
        <v>635</v>
      </c>
      <c r="K1" s="1182" t="s">
        <v>636</v>
      </c>
    </row>
    <row r="2" spans="1:20" ht="82.15" customHeight="1">
      <c r="A2" s="1184">
        <v>1</v>
      </c>
      <c r="B2" s="1184" t="s">
        <v>637</v>
      </c>
      <c r="C2" s="1173" t="s">
        <v>583</v>
      </c>
      <c r="D2" s="1185" t="s">
        <v>638</v>
      </c>
      <c r="E2" s="1185"/>
      <c r="F2" s="1169">
        <v>2</v>
      </c>
      <c r="G2" s="1186">
        <v>224910</v>
      </c>
      <c r="H2" s="1187">
        <v>0.6</v>
      </c>
      <c r="I2" s="1169" t="s">
        <v>639</v>
      </c>
      <c r="J2" s="1168">
        <v>0</v>
      </c>
      <c r="K2" s="1188">
        <f>IF(J2=0,0,G2+(J2-1)*ROUND(G2*H2,0))</f>
        <v>0</v>
      </c>
      <c r="L2" s="1189">
        <f t="shared" ref="L2:L4" si="0">IF(J2=0,0,F2+(J2-1)*ROUND(F2*H2,0))</f>
        <v>0</v>
      </c>
    </row>
    <row r="3" spans="1:20" ht="82.15" customHeight="1">
      <c r="A3" s="1184">
        <v>2</v>
      </c>
      <c r="B3" s="1184" t="s">
        <v>637</v>
      </c>
      <c r="C3" s="1174" t="s">
        <v>585</v>
      </c>
      <c r="D3" s="1185" t="s">
        <v>640</v>
      </c>
      <c r="E3" s="1185"/>
      <c r="F3" s="1169">
        <v>3</v>
      </c>
      <c r="G3" s="1186">
        <v>286856</v>
      </c>
      <c r="H3" s="1187">
        <v>0.3</v>
      </c>
      <c r="I3" s="1169" t="s">
        <v>639</v>
      </c>
      <c r="J3" s="1168">
        <v>0</v>
      </c>
      <c r="K3" s="1188">
        <f t="shared" ref="K3:K70" si="1">IF(J3=0,0,G3+(J3-1)*ROUND(G3*H3,0))</f>
        <v>0</v>
      </c>
      <c r="L3" s="1189">
        <f t="shared" si="0"/>
        <v>0</v>
      </c>
      <c r="O3" s="1190"/>
    </row>
    <row r="4" spans="1:20" ht="82.15" customHeight="1">
      <c r="A4" s="1184">
        <v>3</v>
      </c>
      <c r="B4" s="1184" t="s">
        <v>637</v>
      </c>
      <c r="C4" s="1173" t="s">
        <v>641</v>
      </c>
      <c r="D4" s="1185" t="s">
        <v>642</v>
      </c>
      <c r="E4" s="1185"/>
      <c r="F4" s="1169">
        <v>4</v>
      </c>
      <c r="G4" s="1186">
        <v>449820</v>
      </c>
      <c r="H4" s="1187">
        <v>0.3</v>
      </c>
      <c r="I4" s="1169" t="s">
        <v>639</v>
      </c>
      <c r="J4" s="1168">
        <v>0</v>
      </c>
      <c r="K4" s="1188">
        <f t="shared" si="1"/>
        <v>0</v>
      </c>
      <c r="L4" s="1189">
        <f t="shared" si="0"/>
        <v>0</v>
      </c>
    </row>
    <row r="5" spans="1:20" ht="82.15" customHeight="1">
      <c r="A5" s="1184">
        <v>4</v>
      </c>
      <c r="B5" s="1184" t="s">
        <v>637</v>
      </c>
      <c r="C5" s="1173" t="s">
        <v>613</v>
      </c>
      <c r="D5" s="1185" t="s">
        <v>643</v>
      </c>
      <c r="E5" s="1185"/>
      <c r="F5" s="1169">
        <v>3.5</v>
      </c>
      <c r="G5" s="1186">
        <v>317829</v>
      </c>
      <c r="H5" s="1187">
        <v>0.3</v>
      </c>
      <c r="I5" s="1169" t="s">
        <v>639</v>
      </c>
      <c r="J5" s="1168">
        <v>0</v>
      </c>
      <c r="K5" s="1188">
        <f>IF(J5=0,0,G5+(J5-1)*ROUND(G5*H5,0))</f>
        <v>0</v>
      </c>
      <c r="L5" s="1189">
        <f>IF(J5=0,0,F5+(J5-1)*ROUND(F5*H5,0))</f>
        <v>0</v>
      </c>
    </row>
    <row r="6" spans="1:20" ht="82.15" customHeight="1">
      <c r="A6" s="1184">
        <v>5</v>
      </c>
      <c r="B6" s="1184" t="s">
        <v>637</v>
      </c>
      <c r="C6" s="1173" t="s">
        <v>644</v>
      </c>
      <c r="D6" s="1185" t="s">
        <v>642</v>
      </c>
      <c r="E6" s="1185"/>
      <c r="F6" s="1169">
        <v>9</v>
      </c>
      <c r="G6" s="1186">
        <v>759550</v>
      </c>
      <c r="H6" s="1187">
        <v>0.3</v>
      </c>
      <c r="I6" s="1169" t="s">
        <v>639</v>
      </c>
      <c r="J6" s="1168">
        <v>0</v>
      </c>
      <c r="K6" s="1188">
        <f t="shared" ref="K6:K7" si="2">IF(J6=0,0,G6+(J6-1)*ROUND(G6*H6,0))</f>
        <v>0</v>
      </c>
      <c r="L6" s="1189">
        <f t="shared" ref="L6:L69" si="3">IF(J6=0,0,F6+(J6-1)*ROUND(F6*H6,0))</f>
        <v>0</v>
      </c>
    </row>
    <row r="7" spans="1:20" ht="82.15" customHeight="1">
      <c r="A7" s="1184">
        <v>6</v>
      </c>
      <c r="B7" s="1184" t="s">
        <v>637</v>
      </c>
      <c r="C7" s="1173" t="s">
        <v>645</v>
      </c>
      <c r="D7" s="1173" t="s">
        <v>646</v>
      </c>
      <c r="E7" s="1185"/>
      <c r="F7" s="1169">
        <v>30</v>
      </c>
      <c r="G7" s="1186">
        <v>3878740</v>
      </c>
      <c r="H7" s="1187">
        <v>0.3</v>
      </c>
      <c r="I7" s="1169" t="s">
        <v>647</v>
      </c>
      <c r="J7" s="1168">
        <v>0</v>
      </c>
      <c r="K7" s="1188">
        <f t="shared" si="2"/>
        <v>0</v>
      </c>
      <c r="L7" s="1189">
        <f t="shared" si="3"/>
        <v>0</v>
      </c>
    </row>
    <row r="8" spans="1:20" ht="82.15" customHeight="1">
      <c r="A8" s="1184">
        <v>7</v>
      </c>
      <c r="B8" s="1184" t="s">
        <v>637</v>
      </c>
      <c r="C8" s="1173" t="s">
        <v>614</v>
      </c>
      <c r="D8" s="1173" t="s">
        <v>648</v>
      </c>
      <c r="E8" s="1173"/>
      <c r="F8" s="1169">
        <v>10</v>
      </c>
      <c r="G8" s="1186">
        <v>1023532</v>
      </c>
      <c r="H8" s="1187">
        <v>0.5</v>
      </c>
      <c r="I8" s="1169" t="s">
        <v>649</v>
      </c>
      <c r="J8" s="1168">
        <v>0</v>
      </c>
      <c r="K8" s="1188">
        <f t="shared" si="1"/>
        <v>0</v>
      </c>
      <c r="L8" s="1189">
        <f t="shared" si="3"/>
        <v>0</v>
      </c>
    </row>
    <row r="9" spans="1:20" ht="82.15" customHeight="1">
      <c r="A9" s="1184">
        <v>8</v>
      </c>
      <c r="B9" s="1184" t="s">
        <v>637</v>
      </c>
      <c r="C9" s="1173" t="s">
        <v>615</v>
      </c>
      <c r="D9" s="1173" t="s">
        <v>650</v>
      </c>
      <c r="E9" s="1191" t="s">
        <v>651</v>
      </c>
      <c r="F9" s="1169">
        <v>8</v>
      </c>
      <c r="G9" s="1186">
        <v>899640</v>
      </c>
      <c r="H9" s="1187">
        <v>0.5</v>
      </c>
      <c r="I9" s="1169" t="s">
        <v>649</v>
      </c>
      <c r="J9" s="1168">
        <v>0</v>
      </c>
      <c r="K9" s="1188">
        <f>IF(J9=0,0,G9+(J9-1)*ROUND(G9*H9,0))</f>
        <v>0</v>
      </c>
      <c r="L9" s="1189">
        <f t="shared" si="3"/>
        <v>0</v>
      </c>
    </row>
    <row r="10" spans="1:20" ht="82.15" customHeight="1">
      <c r="A10" s="1184">
        <v>9</v>
      </c>
      <c r="B10" s="1184" t="s">
        <v>637</v>
      </c>
      <c r="C10" s="1173" t="s">
        <v>1368</v>
      </c>
      <c r="D10" s="1185" t="s">
        <v>652</v>
      </c>
      <c r="E10" s="1185"/>
      <c r="F10" s="1169">
        <v>2.5</v>
      </c>
      <c r="G10" s="1186">
        <v>356901</v>
      </c>
      <c r="H10" s="1187">
        <v>0.7</v>
      </c>
      <c r="I10" s="1169" t="s">
        <v>639</v>
      </c>
      <c r="J10" s="1168">
        <v>0</v>
      </c>
      <c r="K10" s="1188">
        <f t="shared" si="1"/>
        <v>0</v>
      </c>
      <c r="L10" s="1189">
        <f t="shared" si="3"/>
        <v>0</v>
      </c>
    </row>
    <row r="11" spans="1:20" ht="82.15" customHeight="1">
      <c r="A11" s="1184">
        <v>10</v>
      </c>
      <c r="B11" s="1184" t="s">
        <v>637</v>
      </c>
      <c r="C11" s="1174" t="s">
        <v>653</v>
      </c>
      <c r="D11" s="1192" t="s">
        <v>654</v>
      </c>
      <c r="F11" s="1169">
        <v>3</v>
      </c>
      <c r="G11" s="1186">
        <v>387874</v>
      </c>
      <c r="H11" s="1187">
        <v>0.7</v>
      </c>
      <c r="I11" s="1169" t="s">
        <v>639</v>
      </c>
      <c r="J11" s="1168">
        <v>0</v>
      </c>
      <c r="K11" s="1188">
        <f t="shared" si="1"/>
        <v>0</v>
      </c>
      <c r="L11" s="1189">
        <f t="shared" si="3"/>
        <v>0</v>
      </c>
      <c r="M11" s="1193">
        <v>271512</v>
      </c>
      <c r="N11" s="1194">
        <f>+K11-L11-M11</f>
        <v>-271512</v>
      </c>
      <c r="O11" s="1183">
        <f>+N11*2</f>
        <v>-543024</v>
      </c>
      <c r="P11" s="1183"/>
      <c r="Q11" s="1183"/>
      <c r="R11" s="1183"/>
      <c r="S11" s="1183"/>
      <c r="T11" s="1183"/>
    </row>
    <row r="12" spans="1:20" ht="82.15" customHeight="1">
      <c r="A12" s="1184">
        <v>11</v>
      </c>
      <c r="B12" s="1184" t="s">
        <v>637</v>
      </c>
      <c r="C12" s="1173" t="s">
        <v>655</v>
      </c>
      <c r="D12" s="1185" t="s">
        <v>656</v>
      </c>
      <c r="E12" s="1185"/>
      <c r="F12" s="1169">
        <v>5</v>
      </c>
      <c r="G12" s="1186">
        <v>511766</v>
      </c>
      <c r="H12" s="1187">
        <v>0.7</v>
      </c>
      <c r="I12" s="1169" t="s">
        <v>639</v>
      </c>
      <c r="J12" s="1168">
        <v>0</v>
      </c>
      <c r="K12" s="1188">
        <f t="shared" si="1"/>
        <v>0</v>
      </c>
      <c r="L12" s="1189">
        <f t="shared" si="3"/>
        <v>0</v>
      </c>
      <c r="M12" s="1183"/>
      <c r="N12" s="1183"/>
      <c r="O12" s="1183"/>
      <c r="P12" s="1183"/>
      <c r="Q12" s="1183"/>
      <c r="R12" s="1183"/>
      <c r="S12" s="1183"/>
      <c r="T12" s="1183"/>
    </row>
    <row r="13" spans="1:20" ht="82.15" customHeight="1">
      <c r="A13" s="1184">
        <v>12</v>
      </c>
      <c r="B13" s="1184" t="s">
        <v>637</v>
      </c>
      <c r="C13" s="1173" t="s">
        <v>657</v>
      </c>
      <c r="D13" s="1185" t="s">
        <v>658</v>
      </c>
      <c r="E13" s="1185"/>
      <c r="F13" s="1169">
        <v>5.5</v>
      </c>
      <c r="G13" s="1186">
        <v>542739</v>
      </c>
      <c r="H13" s="1187">
        <v>0.7</v>
      </c>
      <c r="I13" s="1169" t="s">
        <v>639</v>
      </c>
      <c r="J13" s="1168">
        <v>0</v>
      </c>
      <c r="K13" s="1188">
        <f t="shared" si="1"/>
        <v>0</v>
      </c>
      <c r="L13" s="1189">
        <f t="shared" si="3"/>
        <v>0</v>
      </c>
    </row>
    <row r="14" spans="1:20" ht="82.15" customHeight="1">
      <c r="A14" s="1184">
        <v>13</v>
      </c>
      <c r="B14" s="1184" t="s">
        <v>637</v>
      </c>
      <c r="C14" s="1173" t="s">
        <v>581</v>
      </c>
      <c r="D14" s="1173" t="s">
        <v>659</v>
      </c>
      <c r="E14" s="1173"/>
      <c r="F14" s="1169">
        <v>1</v>
      </c>
      <c r="G14" s="1186">
        <v>162964</v>
      </c>
      <c r="H14" s="1187">
        <v>0.7</v>
      </c>
      <c r="I14" s="1169" t="s">
        <v>639</v>
      </c>
      <c r="J14" s="1168">
        <v>0</v>
      </c>
      <c r="K14" s="1188">
        <f t="shared" si="1"/>
        <v>0</v>
      </c>
      <c r="L14" s="1189">
        <f t="shared" si="3"/>
        <v>0</v>
      </c>
    </row>
    <row r="15" spans="1:20" ht="82.15" customHeight="1">
      <c r="A15" s="1184">
        <v>14</v>
      </c>
      <c r="B15" s="1184" t="s">
        <v>637</v>
      </c>
      <c r="C15" s="1173" t="s">
        <v>609</v>
      </c>
      <c r="D15" s="1173" t="s">
        <v>660</v>
      </c>
      <c r="E15" s="1173"/>
      <c r="F15" s="1169">
        <v>4</v>
      </c>
      <c r="G15" s="1186">
        <v>449820</v>
      </c>
      <c r="H15" s="1187">
        <v>0.7</v>
      </c>
      <c r="I15" s="1169" t="s">
        <v>639</v>
      </c>
      <c r="J15" s="1168">
        <v>0</v>
      </c>
      <c r="K15" s="1188">
        <f t="shared" si="1"/>
        <v>0</v>
      </c>
      <c r="L15" s="1189">
        <f t="shared" si="3"/>
        <v>0</v>
      </c>
    </row>
    <row r="16" spans="1:20" ht="82.15" customHeight="1">
      <c r="A16" s="1184">
        <v>15</v>
      </c>
      <c r="B16" s="1184" t="s">
        <v>637</v>
      </c>
      <c r="C16" s="1175" t="s">
        <v>661</v>
      </c>
      <c r="D16" s="1185" t="s">
        <v>662</v>
      </c>
      <c r="E16" s="1185"/>
      <c r="F16" s="1169">
        <v>5</v>
      </c>
      <c r="G16" s="1186">
        <v>511766</v>
      </c>
      <c r="H16" s="1187">
        <v>0.75</v>
      </c>
      <c r="I16" s="1169" t="s">
        <v>639</v>
      </c>
      <c r="J16" s="1168">
        <v>0</v>
      </c>
      <c r="K16" s="1188">
        <f t="shared" si="1"/>
        <v>0</v>
      </c>
      <c r="L16" s="1189">
        <f t="shared" si="3"/>
        <v>0</v>
      </c>
    </row>
    <row r="17" spans="1:12" ht="82.15" customHeight="1">
      <c r="A17" s="1184">
        <v>16</v>
      </c>
      <c r="B17" s="1184" t="s">
        <v>637</v>
      </c>
      <c r="C17" s="1175" t="s">
        <v>663</v>
      </c>
      <c r="D17" s="1185" t="s">
        <v>664</v>
      </c>
      <c r="F17" s="1169">
        <v>13</v>
      </c>
      <c r="G17" s="1186">
        <v>1209370</v>
      </c>
      <c r="H17" s="1187"/>
      <c r="I17" s="1169" t="s">
        <v>665</v>
      </c>
      <c r="J17" s="1168">
        <v>0</v>
      </c>
      <c r="K17" s="1188">
        <f t="shared" si="1"/>
        <v>0</v>
      </c>
      <c r="L17" s="1189">
        <f t="shared" si="3"/>
        <v>0</v>
      </c>
    </row>
    <row r="18" spans="1:12" ht="82.15" customHeight="1">
      <c r="A18" s="1184">
        <v>17</v>
      </c>
      <c r="B18" s="1184" t="s">
        <v>637</v>
      </c>
      <c r="C18" s="1175" t="s">
        <v>666</v>
      </c>
      <c r="D18" s="1185" t="s">
        <v>667</v>
      </c>
      <c r="E18" s="1185"/>
      <c r="F18" s="1169">
        <v>8</v>
      </c>
      <c r="G18" s="1186">
        <v>899640</v>
      </c>
      <c r="H18" s="1187">
        <v>0.75</v>
      </c>
      <c r="I18" s="1169" t="s">
        <v>649</v>
      </c>
      <c r="J18" s="1168">
        <v>0</v>
      </c>
      <c r="K18" s="1188">
        <f t="shared" si="1"/>
        <v>0</v>
      </c>
      <c r="L18" s="1189">
        <f t="shared" si="3"/>
        <v>0</v>
      </c>
    </row>
    <row r="19" spans="1:12" ht="82.15" customHeight="1">
      <c r="A19" s="1184">
        <v>18</v>
      </c>
      <c r="B19" s="1184" t="s">
        <v>637</v>
      </c>
      <c r="C19" s="1175" t="s">
        <v>668</v>
      </c>
      <c r="D19" s="1185" t="s">
        <v>669</v>
      </c>
      <c r="E19" s="1185"/>
      <c r="F19" s="1169">
        <v>11</v>
      </c>
      <c r="G19" s="1186">
        <v>1085478</v>
      </c>
      <c r="H19" s="1187">
        <v>0.75</v>
      </c>
      <c r="I19" s="1169" t="s">
        <v>649</v>
      </c>
      <c r="J19" s="1168">
        <v>0</v>
      </c>
      <c r="K19" s="1188">
        <f t="shared" si="1"/>
        <v>0</v>
      </c>
      <c r="L19" s="1189">
        <f t="shared" si="3"/>
        <v>0</v>
      </c>
    </row>
    <row r="20" spans="1:12" ht="82.15" customHeight="1">
      <c r="A20" s="1184">
        <v>19</v>
      </c>
      <c r="B20" s="1184" t="s">
        <v>637</v>
      </c>
      <c r="C20" s="1175" t="s">
        <v>670</v>
      </c>
      <c r="D20" s="1185" t="s">
        <v>671</v>
      </c>
      <c r="E20" s="1185"/>
      <c r="F20" s="1169">
        <v>11</v>
      </c>
      <c r="G20" s="1186">
        <v>1085478</v>
      </c>
      <c r="H20" s="1187"/>
      <c r="I20" s="1169" t="s">
        <v>649</v>
      </c>
      <c r="J20" s="1168">
        <v>0</v>
      </c>
      <c r="K20" s="1188">
        <f t="shared" si="1"/>
        <v>0</v>
      </c>
      <c r="L20" s="1189">
        <f t="shared" si="3"/>
        <v>0</v>
      </c>
    </row>
    <row r="21" spans="1:12" ht="82.15" customHeight="1">
      <c r="A21" s="1184">
        <v>20</v>
      </c>
      <c r="B21" s="1184" t="s">
        <v>637</v>
      </c>
      <c r="C21" s="1174" t="s">
        <v>575</v>
      </c>
      <c r="D21" s="1185" t="s">
        <v>672</v>
      </c>
      <c r="E21" s="1185"/>
      <c r="F21" s="1169">
        <v>2</v>
      </c>
      <c r="G21" s="1186">
        <v>224910</v>
      </c>
      <c r="H21" s="1187">
        <v>0.5</v>
      </c>
      <c r="I21" s="1169" t="s">
        <v>673</v>
      </c>
      <c r="J21" s="1168">
        <v>0</v>
      </c>
      <c r="K21" s="1188">
        <f t="shared" si="1"/>
        <v>0</v>
      </c>
      <c r="L21" s="1189">
        <f t="shared" si="3"/>
        <v>0</v>
      </c>
    </row>
    <row r="22" spans="1:12" ht="82.15" customHeight="1">
      <c r="A22" s="1184">
        <v>21</v>
      </c>
      <c r="B22" s="1184" t="s">
        <v>637</v>
      </c>
      <c r="C22" s="1173" t="s">
        <v>674</v>
      </c>
      <c r="D22" s="1185" t="s">
        <v>675</v>
      </c>
      <c r="E22" s="1185"/>
      <c r="F22" s="1169">
        <v>3</v>
      </c>
      <c r="G22" s="1186">
        <v>387874</v>
      </c>
      <c r="H22" s="1187">
        <v>0.5</v>
      </c>
      <c r="I22" s="1169" t="s">
        <v>639</v>
      </c>
      <c r="J22" s="1168">
        <v>0</v>
      </c>
      <c r="K22" s="1188">
        <f t="shared" si="1"/>
        <v>0</v>
      </c>
      <c r="L22" s="1189">
        <f t="shared" si="3"/>
        <v>0</v>
      </c>
    </row>
    <row r="23" spans="1:12" ht="82.15" customHeight="1">
      <c r="A23" s="1184">
        <v>22</v>
      </c>
      <c r="B23" s="1184" t="s">
        <v>637</v>
      </c>
      <c r="C23" s="1173" t="s">
        <v>676</v>
      </c>
      <c r="D23" s="1192" t="s">
        <v>677</v>
      </c>
      <c r="E23" s="1192"/>
      <c r="F23" s="1169">
        <v>4</v>
      </c>
      <c r="G23" s="1186">
        <v>449820</v>
      </c>
      <c r="H23" s="1187">
        <v>0.7</v>
      </c>
      <c r="I23" s="1169" t="s">
        <v>639</v>
      </c>
      <c r="J23" s="1168">
        <v>0</v>
      </c>
      <c r="K23" s="1188">
        <f t="shared" si="1"/>
        <v>0</v>
      </c>
      <c r="L23" s="1189">
        <f t="shared" si="3"/>
        <v>0</v>
      </c>
    </row>
    <row r="24" spans="1:12" ht="82.15" customHeight="1">
      <c r="A24" s="1184">
        <v>23</v>
      </c>
      <c r="B24" s="1184" t="s">
        <v>637</v>
      </c>
      <c r="C24" s="1173" t="s">
        <v>678</v>
      </c>
      <c r="D24" s="1173" t="s">
        <v>679</v>
      </c>
      <c r="E24" s="1173"/>
      <c r="F24" s="1169">
        <v>5</v>
      </c>
      <c r="G24" s="1186">
        <v>612784</v>
      </c>
      <c r="H24" s="1187">
        <v>0.7</v>
      </c>
      <c r="I24" s="1169" t="s">
        <v>649</v>
      </c>
      <c r="J24" s="1168">
        <v>0</v>
      </c>
      <c r="K24" s="1188">
        <f t="shared" si="1"/>
        <v>0</v>
      </c>
      <c r="L24" s="1189">
        <f t="shared" si="3"/>
        <v>0</v>
      </c>
    </row>
    <row r="25" spans="1:12" ht="82.15" customHeight="1">
      <c r="A25" s="1184">
        <v>24</v>
      </c>
      <c r="B25" s="1184" t="s">
        <v>637</v>
      </c>
      <c r="C25" s="1173" t="s">
        <v>624</v>
      </c>
      <c r="D25" s="1173" t="s">
        <v>680</v>
      </c>
      <c r="E25" s="1173"/>
      <c r="F25" s="1169">
        <v>3</v>
      </c>
      <c r="G25" s="1186">
        <v>286856</v>
      </c>
      <c r="H25" s="1187">
        <v>0.7</v>
      </c>
      <c r="I25" s="1169" t="s">
        <v>639</v>
      </c>
      <c r="J25" s="1168">
        <v>0</v>
      </c>
      <c r="K25" s="1188">
        <f t="shared" si="1"/>
        <v>0</v>
      </c>
      <c r="L25" s="1189">
        <f t="shared" si="3"/>
        <v>0</v>
      </c>
    </row>
    <row r="26" spans="1:12" ht="82.15" customHeight="1">
      <c r="A26" s="1184">
        <v>25</v>
      </c>
      <c r="B26" s="1184" t="s">
        <v>637</v>
      </c>
      <c r="C26" s="1173" t="s">
        <v>579</v>
      </c>
      <c r="D26" s="1185" t="s">
        <v>681</v>
      </c>
      <c r="E26" s="1185"/>
      <c r="F26" s="1169">
        <v>4.5</v>
      </c>
      <c r="G26" s="1186">
        <v>480793</v>
      </c>
      <c r="H26" s="1187">
        <v>0.7</v>
      </c>
      <c r="I26" s="1169" t="s">
        <v>639</v>
      </c>
      <c r="J26" s="1168">
        <v>0</v>
      </c>
      <c r="K26" s="1188">
        <f t="shared" si="1"/>
        <v>0</v>
      </c>
      <c r="L26" s="1189">
        <f t="shared" si="3"/>
        <v>0</v>
      </c>
    </row>
    <row r="27" spans="1:12" ht="82.15" customHeight="1">
      <c r="A27" s="1184">
        <v>26</v>
      </c>
      <c r="B27" s="1184" t="s">
        <v>637</v>
      </c>
      <c r="C27" s="1176" t="s">
        <v>682</v>
      </c>
      <c r="D27" s="1173" t="s">
        <v>683</v>
      </c>
      <c r="E27" s="1173"/>
      <c r="F27" s="1169">
        <v>5.5</v>
      </c>
      <c r="G27" s="1186">
        <v>542739</v>
      </c>
      <c r="H27" s="1187">
        <v>0.7</v>
      </c>
      <c r="I27" s="1169" t="s">
        <v>649</v>
      </c>
      <c r="J27" s="1168">
        <v>0</v>
      </c>
      <c r="K27" s="1188">
        <f t="shared" si="1"/>
        <v>0</v>
      </c>
      <c r="L27" s="1189">
        <f t="shared" si="3"/>
        <v>0</v>
      </c>
    </row>
    <row r="28" spans="1:12" ht="82.15" customHeight="1">
      <c r="A28" s="1184">
        <v>27</v>
      </c>
      <c r="B28" s="1184" t="s">
        <v>637</v>
      </c>
      <c r="C28" s="1173" t="s">
        <v>684</v>
      </c>
      <c r="D28" s="1173" t="s">
        <v>685</v>
      </c>
      <c r="E28" s="1173"/>
      <c r="F28" s="1169">
        <v>3</v>
      </c>
      <c r="G28" s="1186">
        <v>286856</v>
      </c>
      <c r="H28" s="1187">
        <v>0.8</v>
      </c>
      <c r="I28" s="1169" t="s">
        <v>639</v>
      </c>
      <c r="J28" s="1168">
        <v>0</v>
      </c>
      <c r="K28" s="1188">
        <f t="shared" si="1"/>
        <v>0</v>
      </c>
      <c r="L28" s="1189">
        <f t="shared" si="3"/>
        <v>0</v>
      </c>
    </row>
    <row r="29" spans="1:12" ht="82.15" customHeight="1">
      <c r="A29" s="1184">
        <v>28</v>
      </c>
      <c r="B29" s="1184" t="s">
        <v>637</v>
      </c>
      <c r="C29" s="1173" t="s">
        <v>686</v>
      </c>
      <c r="D29" s="1185" t="s">
        <v>687</v>
      </c>
      <c r="E29" s="1185"/>
      <c r="F29" s="1169">
        <v>14</v>
      </c>
      <c r="G29" s="1186">
        <v>1271316</v>
      </c>
      <c r="H29" s="1187">
        <v>0.9</v>
      </c>
      <c r="I29" s="1169" t="s">
        <v>649</v>
      </c>
      <c r="J29" s="1168">
        <v>0</v>
      </c>
      <c r="K29" s="1188">
        <f t="shared" si="1"/>
        <v>0</v>
      </c>
      <c r="L29" s="1189">
        <f t="shared" si="3"/>
        <v>0</v>
      </c>
    </row>
    <row r="30" spans="1:12" ht="82.15" customHeight="1">
      <c r="A30" s="1184">
        <v>29</v>
      </c>
      <c r="B30" s="1184" t="s">
        <v>637</v>
      </c>
      <c r="C30" s="1173" t="s">
        <v>620</v>
      </c>
      <c r="D30" s="1185" t="s">
        <v>688</v>
      </c>
      <c r="E30" s="1185"/>
      <c r="F30" s="1169">
        <v>28</v>
      </c>
      <c r="G30" s="1186">
        <v>2542632</v>
      </c>
      <c r="H30" s="1187"/>
      <c r="I30" s="1169" t="s">
        <v>689</v>
      </c>
      <c r="J30" s="1168">
        <v>0</v>
      </c>
      <c r="K30" s="1188">
        <f t="shared" si="1"/>
        <v>0</v>
      </c>
      <c r="L30" s="1189">
        <f t="shared" si="3"/>
        <v>0</v>
      </c>
    </row>
    <row r="31" spans="1:12" ht="82.15" customHeight="1">
      <c r="A31" s="1184">
        <v>30</v>
      </c>
      <c r="B31" s="1184" t="s">
        <v>637</v>
      </c>
      <c r="C31" s="1173" t="s">
        <v>690</v>
      </c>
      <c r="D31" s="1185" t="s">
        <v>570</v>
      </c>
      <c r="E31" s="1185"/>
      <c r="F31" s="1169">
        <v>30</v>
      </c>
      <c r="G31" s="1186">
        <v>2666524</v>
      </c>
      <c r="H31" s="1187">
        <v>0.9</v>
      </c>
      <c r="I31" s="1169" t="s">
        <v>691</v>
      </c>
      <c r="J31" s="1168">
        <v>0</v>
      </c>
      <c r="K31" s="1188">
        <f t="shared" si="1"/>
        <v>0</v>
      </c>
      <c r="L31" s="1189">
        <f t="shared" si="3"/>
        <v>0</v>
      </c>
    </row>
    <row r="32" spans="1:12" ht="82.15" customHeight="1">
      <c r="A32" s="1184">
        <v>31</v>
      </c>
      <c r="B32" s="1184" t="s">
        <v>637</v>
      </c>
      <c r="C32" s="1173" t="s">
        <v>599</v>
      </c>
      <c r="D32" s="1185" t="s">
        <v>692</v>
      </c>
      <c r="E32" s="1185"/>
      <c r="F32" s="1169">
        <v>2.5</v>
      </c>
      <c r="G32" s="1186">
        <v>255883</v>
      </c>
      <c r="H32" s="1187">
        <v>0.4</v>
      </c>
      <c r="I32" s="1169" t="s">
        <v>639</v>
      </c>
      <c r="J32" s="1168">
        <v>0</v>
      </c>
      <c r="K32" s="1188">
        <f t="shared" si="1"/>
        <v>0</v>
      </c>
      <c r="L32" s="1189">
        <f t="shared" si="3"/>
        <v>0</v>
      </c>
    </row>
    <row r="33" spans="1:12" ht="82.15" customHeight="1">
      <c r="A33" s="1184">
        <v>32</v>
      </c>
      <c r="B33" s="1184" t="s">
        <v>637</v>
      </c>
      <c r="C33" s="1173" t="s">
        <v>586</v>
      </c>
      <c r="D33" s="1185" t="s">
        <v>693</v>
      </c>
      <c r="E33" s="1185"/>
      <c r="F33" s="1169">
        <v>2</v>
      </c>
      <c r="G33" s="1186">
        <v>224910</v>
      </c>
      <c r="H33" s="1187">
        <v>0.5</v>
      </c>
      <c r="I33" s="1169" t="s">
        <v>639</v>
      </c>
      <c r="J33" s="1168">
        <v>0</v>
      </c>
      <c r="K33" s="1188">
        <f t="shared" si="1"/>
        <v>0</v>
      </c>
      <c r="L33" s="1189">
        <f t="shared" si="3"/>
        <v>0</v>
      </c>
    </row>
    <row r="34" spans="1:12" ht="82.15" customHeight="1">
      <c r="A34" s="1184">
        <v>33</v>
      </c>
      <c r="B34" s="1184" t="s">
        <v>637</v>
      </c>
      <c r="C34" s="1173" t="s">
        <v>608</v>
      </c>
      <c r="D34" s="1195" t="s">
        <v>694</v>
      </c>
      <c r="E34" s="1195"/>
      <c r="F34" s="1169">
        <v>2.5</v>
      </c>
      <c r="G34" s="1186">
        <v>255883</v>
      </c>
      <c r="H34" s="1187">
        <v>0.9</v>
      </c>
      <c r="I34" s="1169" t="s">
        <v>639</v>
      </c>
      <c r="J34" s="1168">
        <v>0</v>
      </c>
      <c r="K34" s="1188">
        <f t="shared" si="1"/>
        <v>0</v>
      </c>
      <c r="L34" s="1189">
        <f t="shared" si="3"/>
        <v>0</v>
      </c>
    </row>
    <row r="35" spans="1:12" ht="82.15" customHeight="1">
      <c r="A35" s="1184">
        <v>34</v>
      </c>
      <c r="B35" s="1184" t="s">
        <v>637</v>
      </c>
      <c r="C35" s="1173" t="s">
        <v>601</v>
      </c>
      <c r="D35" s="1185" t="s">
        <v>695</v>
      </c>
      <c r="E35" s="1185"/>
      <c r="F35" s="1169">
        <v>5</v>
      </c>
      <c r="G35" s="1186">
        <v>511766</v>
      </c>
      <c r="H35" s="1187">
        <v>0.6</v>
      </c>
      <c r="I35" s="1169" t="s">
        <v>639</v>
      </c>
      <c r="J35" s="1168">
        <v>0</v>
      </c>
      <c r="K35" s="1188">
        <f t="shared" si="1"/>
        <v>0</v>
      </c>
      <c r="L35" s="1189">
        <f t="shared" si="3"/>
        <v>0</v>
      </c>
    </row>
    <row r="36" spans="1:12" ht="82.15" customHeight="1">
      <c r="A36" s="1184">
        <v>35</v>
      </c>
      <c r="B36" s="1184" t="s">
        <v>637</v>
      </c>
      <c r="C36" s="1173" t="s">
        <v>696</v>
      </c>
      <c r="D36" s="1196" t="s">
        <v>697</v>
      </c>
      <c r="E36" s="1196"/>
      <c r="F36" s="1169">
        <v>4</v>
      </c>
      <c r="G36" s="1186">
        <v>449820</v>
      </c>
      <c r="H36" s="1187">
        <v>0.3</v>
      </c>
      <c r="I36" s="1169" t="s">
        <v>639</v>
      </c>
      <c r="J36" s="1168">
        <v>0</v>
      </c>
      <c r="K36" s="1188">
        <f t="shared" si="1"/>
        <v>0</v>
      </c>
      <c r="L36" s="1189">
        <f t="shared" si="3"/>
        <v>0</v>
      </c>
    </row>
    <row r="37" spans="1:12" ht="82.15" customHeight="1">
      <c r="A37" s="1184">
        <v>36</v>
      </c>
      <c r="B37" s="1184" t="s">
        <v>637</v>
      </c>
      <c r="C37" s="1173" t="s">
        <v>622</v>
      </c>
      <c r="D37" s="1196" t="s">
        <v>698</v>
      </c>
      <c r="E37" s="1196"/>
      <c r="F37" s="1169">
        <v>3</v>
      </c>
      <c r="G37" s="1186">
        <v>286856</v>
      </c>
      <c r="H37" s="1187">
        <v>0.75</v>
      </c>
      <c r="I37" s="1169" t="s">
        <v>673</v>
      </c>
      <c r="J37" s="1168">
        <v>0</v>
      </c>
      <c r="K37" s="1188">
        <f t="shared" si="1"/>
        <v>0</v>
      </c>
      <c r="L37" s="1189">
        <f t="shared" si="3"/>
        <v>0</v>
      </c>
    </row>
    <row r="38" spans="1:12" ht="82.15" customHeight="1">
      <c r="A38" s="1184">
        <v>37</v>
      </c>
      <c r="B38" s="1184" t="s">
        <v>637</v>
      </c>
      <c r="C38" s="1176" t="s">
        <v>699</v>
      </c>
      <c r="D38" s="1185" t="s">
        <v>700</v>
      </c>
      <c r="E38" s="1185"/>
      <c r="F38" s="1169">
        <v>3.5</v>
      </c>
      <c r="G38" s="1186">
        <v>418847</v>
      </c>
      <c r="H38" s="1197">
        <v>0.75</v>
      </c>
      <c r="I38" s="1169" t="s">
        <v>639</v>
      </c>
      <c r="J38" s="1168">
        <v>0</v>
      </c>
      <c r="K38" s="1188">
        <f>IF(J38=0,0,G38+(J38-1)*ROUND(G38*H38,0))</f>
        <v>0</v>
      </c>
      <c r="L38" s="1189">
        <f t="shared" si="3"/>
        <v>0</v>
      </c>
    </row>
    <row r="39" spans="1:12" ht="82.15" customHeight="1">
      <c r="A39" s="1184">
        <v>38</v>
      </c>
      <c r="B39" s="1184" t="s">
        <v>637</v>
      </c>
      <c r="C39" s="1173" t="s">
        <v>701</v>
      </c>
      <c r="D39" s="1185" t="s">
        <v>702</v>
      </c>
      <c r="E39" s="1185"/>
      <c r="F39" s="1169">
        <v>2.5</v>
      </c>
      <c r="G39" s="1186">
        <v>255883</v>
      </c>
      <c r="H39" s="1197">
        <v>0.75</v>
      </c>
      <c r="I39" s="1169" t="s">
        <v>639</v>
      </c>
      <c r="J39" s="1168">
        <v>0</v>
      </c>
      <c r="K39" s="1188">
        <f t="shared" si="1"/>
        <v>0</v>
      </c>
      <c r="L39" s="1189">
        <f t="shared" si="3"/>
        <v>0</v>
      </c>
    </row>
    <row r="40" spans="1:12" ht="82.15" customHeight="1">
      <c r="A40" s="1184">
        <v>39</v>
      </c>
      <c r="B40" s="1184" t="s">
        <v>637</v>
      </c>
      <c r="C40" s="1173" t="s">
        <v>703</v>
      </c>
      <c r="D40" s="1185" t="s">
        <v>704</v>
      </c>
      <c r="E40" s="1198"/>
      <c r="F40" s="1169">
        <v>13</v>
      </c>
      <c r="G40" s="1186">
        <v>1209370</v>
      </c>
      <c r="H40" s="1199">
        <v>0.5</v>
      </c>
      <c r="I40" s="1169" t="s">
        <v>665</v>
      </c>
      <c r="J40" s="1168">
        <v>0</v>
      </c>
      <c r="K40" s="1188">
        <f t="shared" si="1"/>
        <v>0</v>
      </c>
      <c r="L40" s="1189">
        <f t="shared" si="3"/>
        <v>0</v>
      </c>
    </row>
    <row r="41" spans="1:12" ht="82.15" customHeight="1">
      <c r="A41" s="1184">
        <v>40</v>
      </c>
      <c r="B41" s="1184" t="s">
        <v>637</v>
      </c>
      <c r="C41" s="1173" t="s">
        <v>592</v>
      </c>
      <c r="D41" s="1185" t="s">
        <v>705</v>
      </c>
      <c r="E41" s="1185"/>
      <c r="F41" s="1169">
        <v>3.5</v>
      </c>
      <c r="G41" s="1186">
        <v>317829</v>
      </c>
      <c r="H41" s="1199">
        <v>0.6</v>
      </c>
      <c r="I41" s="1169" t="s">
        <v>639</v>
      </c>
      <c r="J41" s="1168">
        <v>0</v>
      </c>
      <c r="K41" s="1188">
        <f t="shared" si="1"/>
        <v>0</v>
      </c>
      <c r="L41" s="1189">
        <f t="shared" si="3"/>
        <v>0</v>
      </c>
    </row>
    <row r="42" spans="1:12" ht="82.15" customHeight="1">
      <c r="A42" s="1184">
        <v>41</v>
      </c>
      <c r="B42" s="1184" t="s">
        <v>637</v>
      </c>
      <c r="C42" s="1173" t="s">
        <v>706</v>
      </c>
      <c r="D42" s="1196" t="s">
        <v>707</v>
      </c>
      <c r="E42" s="1198"/>
      <c r="F42" s="1169">
        <v>5</v>
      </c>
      <c r="G42" s="1186">
        <v>511766</v>
      </c>
      <c r="H42" s="1199">
        <v>0.9</v>
      </c>
      <c r="I42" s="1169" t="s">
        <v>649</v>
      </c>
      <c r="J42" s="1168">
        <v>0</v>
      </c>
      <c r="K42" s="1188">
        <f t="shared" si="1"/>
        <v>0</v>
      </c>
      <c r="L42" s="1189">
        <f t="shared" si="3"/>
        <v>0</v>
      </c>
    </row>
    <row r="43" spans="1:12" ht="82.15" customHeight="1">
      <c r="A43" s="1184">
        <v>42</v>
      </c>
      <c r="B43" s="1184" t="s">
        <v>637</v>
      </c>
      <c r="C43" s="1173" t="s">
        <v>708</v>
      </c>
      <c r="D43" s="1185" t="s">
        <v>709</v>
      </c>
      <c r="E43" s="1185"/>
      <c r="F43" s="1169">
        <v>7</v>
      </c>
      <c r="G43" s="1186">
        <v>837694</v>
      </c>
      <c r="H43" s="1199">
        <v>0.95</v>
      </c>
      <c r="I43" s="1169" t="s">
        <v>639</v>
      </c>
      <c r="J43" s="1168">
        <v>0</v>
      </c>
      <c r="K43" s="1188">
        <f t="shared" si="1"/>
        <v>0</v>
      </c>
      <c r="L43" s="1189">
        <f t="shared" si="3"/>
        <v>0</v>
      </c>
    </row>
    <row r="44" spans="1:12" ht="82.15" customHeight="1">
      <c r="A44" s="1184">
        <v>43</v>
      </c>
      <c r="B44" s="1184" t="s">
        <v>637</v>
      </c>
      <c r="C44" s="1173" t="s">
        <v>607</v>
      </c>
      <c r="D44" s="1185" t="s">
        <v>710</v>
      </c>
      <c r="E44" s="1185"/>
      <c r="F44" s="1169">
        <v>8</v>
      </c>
      <c r="G44" s="1186">
        <v>899640</v>
      </c>
      <c r="H44" s="1199">
        <v>0.9</v>
      </c>
      <c r="I44" s="1169" t="s">
        <v>649</v>
      </c>
      <c r="J44" s="1168">
        <v>0</v>
      </c>
      <c r="K44" s="1188">
        <f t="shared" si="1"/>
        <v>0</v>
      </c>
      <c r="L44" s="1189">
        <f t="shared" si="3"/>
        <v>0</v>
      </c>
    </row>
    <row r="45" spans="1:12" ht="82.15" customHeight="1">
      <c r="A45" s="1184">
        <v>44</v>
      </c>
      <c r="B45" s="1184" t="s">
        <v>637</v>
      </c>
      <c r="C45" s="1173" t="s">
        <v>619</v>
      </c>
      <c r="D45" s="1196" t="s">
        <v>711</v>
      </c>
      <c r="E45" s="1198"/>
      <c r="F45" s="1169">
        <v>5</v>
      </c>
      <c r="G45" s="1186">
        <v>511766</v>
      </c>
      <c r="H45" s="1187">
        <v>0.8</v>
      </c>
      <c r="I45" s="1169" t="s">
        <v>639</v>
      </c>
      <c r="J45" s="1168">
        <v>0</v>
      </c>
      <c r="K45" s="1188">
        <f t="shared" si="1"/>
        <v>0</v>
      </c>
      <c r="L45" s="1189">
        <f t="shared" si="3"/>
        <v>0</v>
      </c>
    </row>
    <row r="46" spans="1:12" ht="82.15" customHeight="1">
      <c r="A46" s="1184">
        <v>45</v>
      </c>
      <c r="B46" s="1184" t="s">
        <v>637</v>
      </c>
      <c r="C46" s="1173" t="s">
        <v>712</v>
      </c>
      <c r="D46" s="1196" t="s">
        <v>713</v>
      </c>
      <c r="E46" s="1198"/>
      <c r="F46" s="1169">
        <v>8</v>
      </c>
      <c r="G46" s="1186">
        <v>697604</v>
      </c>
      <c r="H46" s="1187"/>
      <c r="I46" s="1169" t="s">
        <v>649</v>
      </c>
      <c r="J46" s="1169">
        <v>0</v>
      </c>
      <c r="K46" s="1188">
        <f t="shared" si="1"/>
        <v>0</v>
      </c>
      <c r="L46" s="1189">
        <f t="shared" si="3"/>
        <v>0</v>
      </c>
    </row>
    <row r="47" spans="1:12" ht="113.65" customHeight="1">
      <c r="A47" s="1184">
        <v>46</v>
      </c>
      <c r="B47" s="1184" t="s">
        <v>637</v>
      </c>
      <c r="C47" s="1173" t="s">
        <v>714</v>
      </c>
      <c r="D47" s="1196" t="s">
        <v>715</v>
      </c>
      <c r="E47" s="1198"/>
      <c r="F47" s="1169">
        <v>16</v>
      </c>
      <c r="G47" s="1186">
        <v>1395208</v>
      </c>
      <c r="H47" s="1187"/>
      <c r="I47" s="1169" t="s">
        <v>665</v>
      </c>
      <c r="J47" s="1169">
        <v>0</v>
      </c>
      <c r="K47" s="1188">
        <f t="shared" si="1"/>
        <v>0</v>
      </c>
      <c r="L47" s="1189">
        <f t="shared" si="3"/>
        <v>0</v>
      </c>
    </row>
    <row r="48" spans="1:12" ht="82.15" customHeight="1">
      <c r="A48" s="1184">
        <v>47</v>
      </c>
      <c r="B48" s="1184" t="s">
        <v>637</v>
      </c>
      <c r="C48" s="1173" t="s">
        <v>594</v>
      </c>
      <c r="D48" s="1185" t="s">
        <v>716</v>
      </c>
      <c r="E48" s="1185"/>
      <c r="F48" s="1169">
        <v>5</v>
      </c>
      <c r="G48" s="1186">
        <v>511766</v>
      </c>
      <c r="H48" s="1187">
        <v>0.9</v>
      </c>
      <c r="I48" s="1169" t="s">
        <v>639</v>
      </c>
      <c r="J48" s="1169">
        <v>0</v>
      </c>
      <c r="K48" s="1188">
        <f t="shared" si="1"/>
        <v>0</v>
      </c>
      <c r="L48" s="1189">
        <f t="shared" si="3"/>
        <v>0</v>
      </c>
    </row>
    <row r="49" spans="1:12" ht="82.15" customHeight="1">
      <c r="A49" s="1184">
        <v>48</v>
      </c>
      <c r="B49" s="1184" t="s">
        <v>637</v>
      </c>
      <c r="C49" s="1173" t="s">
        <v>617</v>
      </c>
      <c r="D49" s="1196" t="s">
        <v>717</v>
      </c>
      <c r="E49" s="1198"/>
      <c r="F49" s="1169">
        <v>5.5</v>
      </c>
      <c r="G49" s="1186">
        <v>542739</v>
      </c>
      <c r="H49" s="1187">
        <v>0.9</v>
      </c>
      <c r="I49" s="1169" t="s">
        <v>639</v>
      </c>
      <c r="J49" s="1169">
        <v>0</v>
      </c>
      <c r="K49" s="1188">
        <f t="shared" si="1"/>
        <v>0</v>
      </c>
      <c r="L49" s="1189">
        <f t="shared" si="3"/>
        <v>0</v>
      </c>
    </row>
    <row r="50" spans="1:12" ht="82.15" customHeight="1">
      <c r="A50" s="1184">
        <v>49</v>
      </c>
      <c r="B50" s="1184" t="s">
        <v>637</v>
      </c>
      <c r="C50" s="1173" t="s">
        <v>571</v>
      </c>
      <c r="D50" s="1185" t="s">
        <v>718</v>
      </c>
      <c r="E50" s="1185"/>
      <c r="F50" s="1169">
        <v>18</v>
      </c>
      <c r="G50" s="1186">
        <v>1519100</v>
      </c>
      <c r="H50" s="1187">
        <v>0.9</v>
      </c>
      <c r="I50" s="1169" t="s">
        <v>647</v>
      </c>
      <c r="J50" s="1169">
        <v>0</v>
      </c>
      <c r="K50" s="1188">
        <f t="shared" si="1"/>
        <v>0</v>
      </c>
      <c r="L50" s="1189">
        <f t="shared" si="3"/>
        <v>0</v>
      </c>
    </row>
    <row r="51" spans="1:12" ht="82.15" customHeight="1">
      <c r="A51" s="1184">
        <v>50</v>
      </c>
      <c r="B51" s="1184" t="s">
        <v>637</v>
      </c>
      <c r="C51" s="1173" t="s">
        <v>565</v>
      </c>
      <c r="D51" s="1185" t="s">
        <v>719</v>
      </c>
      <c r="E51" s="1185"/>
      <c r="F51" s="1169">
        <v>18</v>
      </c>
      <c r="G51" s="1186">
        <v>1519100</v>
      </c>
      <c r="H51" s="1187">
        <v>0.75</v>
      </c>
      <c r="I51" s="1169" t="s">
        <v>649</v>
      </c>
      <c r="J51" s="1169">
        <v>0</v>
      </c>
      <c r="K51" s="1188">
        <f t="shared" si="1"/>
        <v>0</v>
      </c>
      <c r="L51" s="1189">
        <f t="shared" si="3"/>
        <v>0</v>
      </c>
    </row>
    <row r="52" spans="1:12" ht="82.15" customHeight="1">
      <c r="A52" s="1184">
        <v>51</v>
      </c>
      <c r="B52" s="1184" t="s">
        <v>637</v>
      </c>
      <c r="C52" s="1173" t="s">
        <v>577</v>
      </c>
      <c r="D52" s="1185" t="s">
        <v>578</v>
      </c>
      <c r="E52" s="1185"/>
      <c r="F52" s="1169">
        <v>4</v>
      </c>
      <c r="G52" s="1186">
        <v>449820</v>
      </c>
      <c r="H52" s="1187">
        <v>0.9</v>
      </c>
      <c r="I52" s="1169" t="s">
        <v>639</v>
      </c>
      <c r="J52" s="1169">
        <v>0</v>
      </c>
      <c r="K52" s="1188">
        <f t="shared" si="1"/>
        <v>0</v>
      </c>
      <c r="L52" s="1189">
        <f t="shared" si="3"/>
        <v>0</v>
      </c>
    </row>
    <row r="53" spans="1:12" ht="82.15" customHeight="1">
      <c r="A53" s="1184">
        <v>52</v>
      </c>
      <c r="B53" s="1184" t="s">
        <v>637</v>
      </c>
      <c r="C53" s="1173" t="s">
        <v>605</v>
      </c>
      <c r="D53" s="1185" t="s">
        <v>720</v>
      </c>
      <c r="E53" s="1185"/>
      <c r="F53" s="1169">
        <v>4</v>
      </c>
      <c r="G53" s="1186">
        <v>449820</v>
      </c>
      <c r="H53" s="1187">
        <v>0.9</v>
      </c>
      <c r="I53" s="1169" t="s">
        <v>639</v>
      </c>
      <c r="J53" s="1169">
        <v>0</v>
      </c>
      <c r="K53" s="1188">
        <f t="shared" si="1"/>
        <v>0</v>
      </c>
      <c r="L53" s="1189">
        <f t="shared" si="3"/>
        <v>0</v>
      </c>
    </row>
    <row r="54" spans="1:12" ht="82.15" customHeight="1">
      <c r="A54" s="1184">
        <v>53</v>
      </c>
      <c r="B54" s="1184" t="s">
        <v>637</v>
      </c>
      <c r="C54" s="1173" t="s">
        <v>610</v>
      </c>
      <c r="D54" s="1200" t="s">
        <v>721</v>
      </c>
      <c r="E54" s="1200"/>
      <c r="F54" s="1169">
        <v>25</v>
      </c>
      <c r="G54" s="1186">
        <v>2154758</v>
      </c>
      <c r="H54" s="1187">
        <v>0.95</v>
      </c>
      <c r="I54" s="1169" t="s">
        <v>649</v>
      </c>
      <c r="J54" s="1169">
        <v>0</v>
      </c>
      <c r="K54" s="1188">
        <f t="shared" si="1"/>
        <v>0</v>
      </c>
      <c r="L54" s="1189">
        <f t="shared" si="3"/>
        <v>0</v>
      </c>
    </row>
    <row r="55" spans="1:12" ht="82.15" customHeight="1">
      <c r="A55" s="1184">
        <v>54</v>
      </c>
      <c r="B55" s="1184" t="s">
        <v>637</v>
      </c>
      <c r="C55" s="1177" t="s">
        <v>611</v>
      </c>
      <c r="D55" s="1200" t="s">
        <v>722</v>
      </c>
      <c r="E55" s="1200"/>
      <c r="F55" s="1169">
        <v>42</v>
      </c>
      <c r="G55" s="1186">
        <v>3813948</v>
      </c>
      <c r="H55" s="1187">
        <v>0.95</v>
      </c>
      <c r="I55" s="1169" t="s">
        <v>665</v>
      </c>
      <c r="J55" s="1169">
        <v>0</v>
      </c>
      <c r="K55" s="1188">
        <f t="shared" si="1"/>
        <v>0</v>
      </c>
      <c r="L55" s="1189">
        <f t="shared" si="3"/>
        <v>0</v>
      </c>
    </row>
    <row r="56" spans="1:12" ht="87" customHeight="1">
      <c r="A56" s="1184">
        <v>55</v>
      </c>
      <c r="B56" s="1184" t="s">
        <v>637</v>
      </c>
      <c r="C56" s="1177" t="s">
        <v>723</v>
      </c>
      <c r="D56" s="1192" t="s">
        <v>724</v>
      </c>
      <c r="E56" s="1201"/>
      <c r="F56" s="1169">
        <v>26</v>
      </c>
      <c r="G56" s="1186">
        <v>3226884</v>
      </c>
      <c r="H56" s="1187">
        <v>1</v>
      </c>
      <c r="I56" s="1169" t="s">
        <v>689</v>
      </c>
      <c r="J56" s="1169">
        <v>0</v>
      </c>
      <c r="K56" s="1188">
        <f t="shared" si="1"/>
        <v>0</v>
      </c>
      <c r="L56" s="1189">
        <f t="shared" si="3"/>
        <v>0</v>
      </c>
    </row>
    <row r="57" spans="1:12" ht="82.15" customHeight="1">
      <c r="A57" s="1184">
        <v>56</v>
      </c>
      <c r="B57" s="1184" t="s">
        <v>637</v>
      </c>
      <c r="C57" s="1177" t="s">
        <v>725</v>
      </c>
      <c r="D57" s="1202" t="s">
        <v>726</v>
      </c>
      <c r="E57" s="1203"/>
      <c r="F57" s="1169">
        <v>39</v>
      </c>
      <c r="G57" s="1186">
        <v>3224038</v>
      </c>
      <c r="H57" s="1187">
        <v>0.5</v>
      </c>
      <c r="I57" s="1169" t="s">
        <v>691</v>
      </c>
      <c r="J57" s="1169">
        <v>0</v>
      </c>
      <c r="K57" s="1188">
        <f t="shared" si="1"/>
        <v>0</v>
      </c>
      <c r="L57" s="1189">
        <f t="shared" si="3"/>
        <v>0</v>
      </c>
    </row>
    <row r="58" spans="1:12" ht="82.15" customHeight="1">
      <c r="A58" s="1184">
        <v>57</v>
      </c>
      <c r="B58" s="1184" t="s">
        <v>637</v>
      </c>
      <c r="C58" s="1177" t="s">
        <v>727</v>
      </c>
      <c r="D58" s="1202" t="s">
        <v>728</v>
      </c>
      <c r="E58" s="1203"/>
      <c r="F58" s="1169">
        <v>5</v>
      </c>
      <c r="G58" s="1186">
        <v>511766</v>
      </c>
      <c r="H58" s="1187">
        <v>1</v>
      </c>
      <c r="I58" s="1169" t="s">
        <v>639</v>
      </c>
      <c r="J58" s="1169">
        <v>0</v>
      </c>
      <c r="K58" s="1188">
        <f t="shared" si="1"/>
        <v>0</v>
      </c>
      <c r="L58" s="1189">
        <f t="shared" si="3"/>
        <v>0</v>
      </c>
    </row>
    <row r="59" spans="1:12" ht="82.15" customHeight="1">
      <c r="A59" s="1184">
        <v>58</v>
      </c>
      <c r="B59" s="1184" t="s">
        <v>729</v>
      </c>
      <c r="C59" s="1173" t="s">
        <v>730</v>
      </c>
      <c r="D59" s="1306" t="s">
        <v>731</v>
      </c>
      <c r="E59" s="1204"/>
      <c r="F59" s="1169">
        <v>3</v>
      </c>
      <c r="G59" s="1186">
        <v>255883</v>
      </c>
      <c r="H59" s="1187">
        <v>1</v>
      </c>
      <c r="I59" s="1169" t="s">
        <v>673</v>
      </c>
      <c r="J59" s="1169">
        <v>0</v>
      </c>
      <c r="K59" s="1188">
        <f t="shared" si="1"/>
        <v>0</v>
      </c>
      <c r="L59" s="1189">
        <f t="shared" si="3"/>
        <v>0</v>
      </c>
    </row>
    <row r="60" spans="1:12" ht="82.15" customHeight="1">
      <c r="A60" s="1184">
        <v>59</v>
      </c>
      <c r="B60" s="1184" t="s">
        <v>729</v>
      </c>
      <c r="C60" s="1173" t="s">
        <v>732</v>
      </c>
      <c r="D60" s="1307"/>
      <c r="E60" s="1205"/>
      <c r="F60" s="1169">
        <v>4.5</v>
      </c>
      <c r="G60" s="1186">
        <v>480793</v>
      </c>
      <c r="H60" s="1187">
        <v>1</v>
      </c>
      <c r="I60" s="1169" t="s">
        <v>673</v>
      </c>
      <c r="J60" s="1169">
        <v>0</v>
      </c>
      <c r="K60" s="1188">
        <f t="shared" si="1"/>
        <v>0</v>
      </c>
      <c r="L60" s="1189">
        <f t="shared" si="3"/>
        <v>0</v>
      </c>
    </row>
    <row r="61" spans="1:12" ht="82.15" customHeight="1">
      <c r="A61" s="1184">
        <v>60</v>
      </c>
      <c r="B61" s="1184" t="s">
        <v>729</v>
      </c>
      <c r="C61" s="1173" t="s">
        <v>733</v>
      </c>
      <c r="D61" s="1307"/>
      <c r="E61" s="1205"/>
      <c r="F61" s="1169">
        <v>9</v>
      </c>
      <c r="G61" s="1186">
        <v>759550</v>
      </c>
      <c r="H61" s="1187">
        <v>1</v>
      </c>
      <c r="I61" s="1169" t="s">
        <v>673</v>
      </c>
      <c r="J61" s="1169">
        <v>0</v>
      </c>
      <c r="K61" s="1188">
        <f t="shared" si="1"/>
        <v>0</v>
      </c>
      <c r="L61" s="1189">
        <f t="shared" si="3"/>
        <v>0</v>
      </c>
    </row>
    <row r="62" spans="1:12" ht="82.15" customHeight="1">
      <c r="A62" s="1184">
        <v>61</v>
      </c>
      <c r="B62" s="1184" t="s">
        <v>729</v>
      </c>
      <c r="C62" s="1173" t="s">
        <v>734</v>
      </c>
      <c r="D62" s="1308"/>
      <c r="E62" s="1206"/>
      <c r="F62" s="1169">
        <v>14</v>
      </c>
      <c r="G62" s="1186">
        <v>1271316</v>
      </c>
      <c r="H62" s="1187">
        <v>1</v>
      </c>
      <c r="I62" s="1169" t="s">
        <v>649</v>
      </c>
      <c r="J62" s="1169">
        <v>0</v>
      </c>
      <c r="K62" s="1188">
        <f t="shared" si="1"/>
        <v>0</v>
      </c>
      <c r="L62" s="1189">
        <f t="shared" si="3"/>
        <v>0</v>
      </c>
    </row>
    <row r="63" spans="1:12" ht="109.15" customHeight="1">
      <c r="A63" s="1184">
        <v>62</v>
      </c>
      <c r="B63" s="1184" t="s">
        <v>729</v>
      </c>
      <c r="C63" s="1173" t="s">
        <v>735</v>
      </c>
      <c r="D63" s="1207" t="s">
        <v>736</v>
      </c>
      <c r="E63" s="1207"/>
      <c r="F63" s="1169">
        <v>19</v>
      </c>
      <c r="G63" s="1186">
        <v>1581046</v>
      </c>
      <c r="H63" s="1187">
        <v>1</v>
      </c>
      <c r="I63" s="1169" t="s">
        <v>649</v>
      </c>
      <c r="J63" s="1169">
        <v>0</v>
      </c>
      <c r="K63" s="1188">
        <f t="shared" si="1"/>
        <v>0</v>
      </c>
      <c r="L63" s="1189">
        <f t="shared" si="3"/>
        <v>0</v>
      </c>
    </row>
    <row r="64" spans="1:12" ht="109.15" customHeight="1">
      <c r="A64" s="1184">
        <v>63</v>
      </c>
      <c r="B64" s="1184" t="s">
        <v>729</v>
      </c>
      <c r="C64" s="1173" t="s">
        <v>737</v>
      </c>
      <c r="D64" s="1207" t="s">
        <v>738</v>
      </c>
      <c r="E64" s="1207"/>
      <c r="F64" s="1169">
        <v>56</v>
      </c>
      <c r="G64" s="1186">
        <v>5489336</v>
      </c>
      <c r="H64" s="1187">
        <v>1</v>
      </c>
      <c r="I64" s="1169" t="s">
        <v>665</v>
      </c>
      <c r="J64" s="1169">
        <v>0</v>
      </c>
      <c r="K64" s="1188">
        <f>IF(J64=0,0,G64+(J64-1)*ROUND(G64*H64,0))</f>
        <v>0</v>
      </c>
      <c r="L64" s="1189">
        <f t="shared" si="3"/>
        <v>0</v>
      </c>
    </row>
    <row r="65" spans="1:13" s="1208" customFormat="1" ht="82.15" customHeight="1">
      <c r="A65" s="1184">
        <v>64</v>
      </c>
      <c r="B65" s="1184" t="s">
        <v>739</v>
      </c>
      <c r="C65" s="1173" t="s">
        <v>740</v>
      </c>
      <c r="D65" s="1173" t="s">
        <v>741</v>
      </c>
      <c r="E65" s="1309"/>
      <c r="F65" s="1169">
        <v>5</v>
      </c>
      <c r="G65" s="1186">
        <v>511766</v>
      </c>
      <c r="H65" s="1187">
        <v>1</v>
      </c>
      <c r="I65" s="1169" t="s">
        <v>639</v>
      </c>
      <c r="J65" s="1169">
        <v>0</v>
      </c>
      <c r="K65" s="1188">
        <f t="shared" si="1"/>
        <v>0</v>
      </c>
      <c r="L65" s="1189">
        <f t="shared" si="3"/>
        <v>0</v>
      </c>
    </row>
    <row r="66" spans="1:13" ht="82.15" customHeight="1">
      <c r="A66" s="1184">
        <v>65</v>
      </c>
      <c r="B66" s="1184" t="s">
        <v>739</v>
      </c>
      <c r="C66" s="1173" t="s">
        <v>742</v>
      </c>
      <c r="D66" s="1173" t="s">
        <v>743</v>
      </c>
      <c r="E66" s="1310"/>
      <c r="F66" s="1169">
        <v>4.5</v>
      </c>
      <c r="G66" s="1186">
        <v>278757</v>
      </c>
      <c r="H66" s="1187">
        <v>1</v>
      </c>
      <c r="I66" s="1169" t="s">
        <v>639</v>
      </c>
      <c r="J66" s="1169">
        <v>0</v>
      </c>
      <c r="K66" s="1188">
        <f t="shared" si="1"/>
        <v>0</v>
      </c>
      <c r="L66" s="1189">
        <f t="shared" si="3"/>
        <v>0</v>
      </c>
    </row>
    <row r="67" spans="1:13" ht="82.15" customHeight="1">
      <c r="A67" s="1184">
        <v>66</v>
      </c>
      <c r="B67" s="1184" t="s">
        <v>739</v>
      </c>
      <c r="C67" s="1173" t="s">
        <v>744</v>
      </c>
      <c r="D67" s="1173" t="s">
        <v>743</v>
      </c>
      <c r="E67" s="1310"/>
      <c r="F67" s="1169">
        <v>7.5</v>
      </c>
      <c r="G67" s="1186">
        <v>464595</v>
      </c>
      <c r="H67" s="1187">
        <v>1</v>
      </c>
      <c r="I67" s="1169" t="s">
        <v>639</v>
      </c>
      <c r="J67" s="1169">
        <v>0</v>
      </c>
      <c r="K67" s="1188">
        <f t="shared" si="1"/>
        <v>0</v>
      </c>
      <c r="L67" s="1189">
        <f t="shared" si="3"/>
        <v>0</v>
      </c>
    </row>
    <row r="68" spans="1:13" ht="82.15" customHeight="1">
      <c r="A68" s="1184">
        <v>67</v>
      </c>
      <c r="B68" s="1184" t="s">
        <v>739</v>
      </c>
      <c r="C68" s="1173" t="s">
        <v>745</v>
      </c>
      <c r="D68" s="1173" t="s">
        <v>743</v>
      </c>
      <c r="E68" s="1310"/>
      <c r="F68" s="1169">
        <v>11</v>
      </c>
      <c r="G68" s="1186">
        <v>883442</v>
      </c>
      <c r="H68" s="1187">
        <v>1</v>
      </c>
      <c r="I68" s="1169" t="s">
        <v>649</v>
      </c>
      <c r="J68" s="1169">
        <v>0</v>
      </c>
      <c r="K68" s="1188">
        <f t="shared" si="1"/>
        <v>0</v>
      </c>
      <c r="L68" s="1189">
        <f t="shared" si="3"/>
        <v>0</v>
      </c>
    </row>
    <row r="69" spans="1:13" s="1208" customFormat="1" ht="82.15" customHeight="1">
      <c r="A69" s="1184">
        <v>68</v>
      </c>
      <c r="B69" s="1184" t="s">
        <v>739</v>
      </c>
      <c r="C69" s="1173" t="s">
        <v>746</v>
      </c>
      <c r="D69" s="1173" t="s">
        <v>747</v>
      </c>
      <c r="E69" s="1311"/>
      <c r="F69" s="1169">
        <v>2</v>
      </c>
      <c r="G69" s="1186">
        <v>184502.8</v>
      </c>
      <c r="H69" s="1187">
        <v>1</v>
      </c>
      <c r="I69" s="1209" t="s">
        <v>748</v>
      </c>
      <c r="J69" s="1169">
        <v>0</v>
      </c>
      <c r="K69" s="1188">
        <f t="shared" si="1"/>
        <v>0</v>
      </c>
      <c r="L69" s="1189">
        <f t="shared" si="3"/>
        <v>0</v>
      </c>
      <c r="M69" s="1210"/>
    </row>
    <row r="70" spans="1:13" ht="82.15" customHeight="1">
      <c r="A70" s="1184">
        <v>69</v>
      </c>
      <c r="B70" s="1184" t="s">
        <v>739</v>
      </c>
      <c r="C70" s="1173" t="s">
        <v>749</v>
      </c>
      <c r="D70" s="1184" t="s">
        <v>750</v>
      </c>
      <c r="E70" s="1162"/>
      <c r="F70" s="1169">
        <v>3</v>
      </c>
      <c r="G70" s="1186">
        <v>185838</v>
      </c>
      <c r="H70" s="1187">
        <v>0.7</v>
      </c>
      <c r="I70" s="1169" t="s">
        <v>673</v>
      </c>
      <c r="J70" s="1169">
        <v>0</v>
      </c>
      <c r="K70" s="1188">
        <f t="shared" si="1"/>
        <v>0</v>
      </c>
      <c r="L70" s="1189">
        <f t="shared" ref="L70:L77" si="4">IF(J70=0,0,F70+(J70-1)*ROUND(F70*H70,0))</f>
        <v>0</v>
      </c>
    </row>
    <row r="71" spans="1:13" ht="82.15" customHeight="1">
      <c r="A71" s="1184">
        <v>70</v>
      </c>
      <c r="B71" s="1184" t="s">
        <v>751</v>
      </c>
      <c r="C71" s="1173" t="s">
        <v>752</v>
      </c>
      <c r="D71" s="1173" t="s">
        <v>753</v>
      </c>
      <c r="E71" s="1312"/>
      <c r="F71" s="1169">
        <v>2</v>
      </c>
      <c r="G71" s="1186">
        <v>224910</v>
      </c>
      <c r="H71" s="1187">
        <v>0.5</v>
      </c>
      <c r="I71" s="1169" t="s">
        <v>673</v>
      </c>
      <c r="J71" s="1169">
        <v>0</v>
      </c>
      <c r="K71" s="1188">
        <f t="shared" ref="K71:K77" si="5">IF(J71=0,0,G71+(J71-1)*ROUND(G71*H71,0))</f>
        <v>0</v>
      </c>
      <c r="L71" s="1189">
        <f t="shared" si="4"/>
        <v>0</v>
      </c>
    </row>
    <row r="72" spans="1:13" ht="82.15" customHeight="1">
      <c r="A72" s="1184">
        <v>71</v>
      </c>
      <c r="B72" s="1184" t="s">
        <v>751</v>
      </c>
      <c r="C72" s="1173" t="s">
        <v>754</v>
      </c>
      <c r="D72" s="1173" t="s">
        <v>755</v>
      </c>
      <c r="E72" s="1313"/>
      <c r="F72" s="1169">
        <v>5</v>
      </c>
      <c r="G72" s="1186">
        <v>511766</v>
      </c>
      <c r="H72" s="1187">
        <v>0.5</v>
      </c>
      <c r="I72" s="1169" t="s">
        <v>673</v>
      </c>
      <c r="J72" s="1169">
        <v>0</v>
      </c>
      <c r="K72" s="1188">
        <f t="shared" si="5"/>
        <v>0</v>
      </c>
      <c r="L72" s="1189">
        <f t="shared" si="4"/>
        <v>0</v>
      </c>
    </row>
    <row r="73" spans="1:13" ht="82.15" customHeight="1">
      <c r="A73" s="1184">
        <v>72</v>
      </c>
      <c r="B73" s="1184" t="s">
        <v>751</v>
      </c>
      <c r="C73" s="1173" t="s">
        <v>756</v>
      </c>
      <c r="D73" s="1173" t="s">
        <v>757</v>
      </c>
      <c r="E73" s="1314"/>
      <c r="F73" s="1169">
        <v>10</v>
      </c>
      <c r="G73" s="1186">
        <v>1023532</v>
      </c>
      <c r="H73" s="1187">
        <v>0.5</v>
      </c>
      <c r="I73" s="1169" t="s">
        <v>639</v>
      </c>
      <c r="J73" s="1169">
        <v>0</v>
      </c>
      <c r="K73" s="1188">
        <f t="shared" si="5"/>
        <v>0</v>
      </c>
      <c r="L73" s="1189">
        <f t="shared" si="4"/>
        <v>0</v>
      </c>
    </row>
    <row r="74" spans="1:13" ht="82.15" customHeight="1">
      <c r="A74" s="1184">
        <v>73</v>
      </c>
      <c r="B74" s="1184" t="s">
        <v>758</v>
      </c>
      <c r="C74" s="1173" t="s">
        <v>759</v>
      </c>
      <c r="D74" s="1173" t="s">
        <v>760</v>
      </c>
      <c r="E74" s="1207"/>
      <c r="F74" s="1169">
        <v>7</v>
      </c>
      <c r="G74" s="1186">
        <v>635658</v>
      </c>
      <c r="H74" s="1187">
        <v>0.5</v>
      </c>
      <c r="I74" s="1169" t="s">
        <v>639</v>
      </c>
      <c r="J74" s="1169">
        <v>0</v>
      </c>
      <c r="K74" s="1188">
        <f t="shared" si="5"/>
        <v>0</v>
      </c>
      <c r="L74" s="1189">
        <f t="shared" si="4"/>
        <v>0</v>
      </c>
    </row>
    <row r="75" spans="1:13" ht="82.15" customHeight="1">
      <c r="A75" s="1184">
        <v>74</v>
      </c>
      <c r="B75" s="1184" t="s">
        <v>758</v>
      </c>
      <c r="C75" s="1173" t="s">
        <v>761</v>
      </c>
      <c r="D75" s="1173" t="s">
        <v>762</v>
      </c>
      <c r="E75" s="1312"/>
      <c r="F75" s="1169">
        <v>70</v>
      </c>
      <c r="G75" s="1186">
        <v>8376940</v>
      </c>
      <c r="H75" s="1187"/>
      <c r="I75" s="1169" t="s">
        <v>763</v>
      </c>
      <c r="J75" s="1169">
        <v>0</v>
      </c>
      <c r="K75" s="1188">
        <f t="shared" si="5"/>
        <v>0</v>
      </c>
      <c r="L75" s="1189">
        <f t="shared" si="4"/>
        <v>0</v>
      </c>
    </row>
    <row r="76" spans="1:13" ht="82.15" customHeight="1">
      <c r="A76" s="1184">
        <v>75</v>
      </c>
      <c r="B76" s="1184" t="s">
        <v>758</v>
      </c>
      <c r="C76" s="1173" t="s">
        <v>764</v>
      </c>
      <c r="D76" s="1173" t="s">
        <v>765</v>
      </c>
      <c r="E76" s="1314"/>
      <c r="F76" s="1169">
        <v>120</v>
      </c>
      <c r="G76" s="1186">
        <v>11474240</v>
      </c>
      <c r="H76" s="1187"/>
      <c r="I76" s="1169" t="s">
        <v>763</v>
      </c>
      <c r="J76" s="1169">
        <v>0</v>
      </c>
      <c r="K76" s="1188">
        <f t="shared" si="5"/>
        <v>0</v>
      </c>
      <c r="L76" s="1189">
        <f t="shared" si="4"/>
        <v>0</v>
      </c>
    </row>
    <row r="77" spans="1:13" ht="82.15" customHeight="1">
      <c r="A77" s="1184">
        <v>76</v>
      </c>
      <c r="B77" s="1184" t="s">
        <v>637</v>
      </c>
      <c r="C77" s="1173" t="s">
        <v>766</v>
      </c>
      <c r="D77" s="1173" t="s">
        <v>767</v>
      </c>
      <c r="E77" s="1207"/>
      <c r="F77" s="1169">
        <v>50</v>
      </c>
      <c r="G77" s="1186">
        <v>5117660</v>
      </c>
      <c r="H77" s="1187">
        <v>1</v>
      </c>
      <c r="I77" s="1169" t="s">
        <v>763</v>
      </c>
      <c r="J77" s="1169">
        <v>0</v>
      </c>
      <c r="K77" s="1188">
        <f t="shared" si="5"/>
        <v>0</v>
      </c>
      <c r="L77" s="1189">
        <f t="shared" si="4"/>
        <v>0</v>
      </c>
    </row>
    <row r="78" spans="1:13" ht="26.25">
      <c r="A78" s="1208" t="s">
        <v>768</v>
      </c>
      <c r="H78" s="1152"/>
      <c r="J78" s="1170" t="s">
        <v>65</v>
      </c>
      <c r="K78" s="1212">
        <f>SUM(K2:K77)</f>
        <v>0</v>
      </c>
    </row>
    <row r="79" spans="1:13">
      <c r="H79" s="1152"/>
    </row>
    <row r="80" spans="1:13" ht="39" customHeight="1">
      <c r="C80" s="1176" t="s">
        <v>769</v>
      </c>
      <c r="F80" s="1211">
        <v>4.5</v>
      </c>
      <c r="G80" s="1213">
        <v>480793</v>
      </c>
      <c r="H80" s="1197">
        <v>0.7</v>
      </c>
      <c r="J80" s="1170">
        <v>4</v>
      </c>
      <c r="K80" s="1212">
        <f>IF(J80=0,0,G80+(J80-1)*ROUND(G80*H80,0))</f>
        <v>1490458</v>
      </c>
    </row>
    <row r="81" spans="4:11">
      <c r="G81" s="1214"/>
      <c r="H81" s="1152"/>
      <c r="I81" s="1215"/>
      <c r="K81" s="1216">
        <f>+K73+K70+K63</f>
        <v>0</v>
      </c>
    </row>
    <row r="82" spans="4:11">
      <c r="G82" s="1214">
        <f>G80*H80</f>
        <v>336555.1</v>
      </c>
      <c r="H82" s="1152"/>
      <c r="I82" s="1215"/>
      <c r="K82" s="1216">
        <f>K3/24*3</f>
        <v>0</v>
      </c>
    </row>
    <row r="83" spans="4:11" hidden="1">
      <c r="K83" s="1217"/>
    </row>
    <row r="84" spans="4:11" hidden="1">
      <c r="G84" s="1218"/>
      <c r="K84" s="1216">
        <f>+K59+K12*2+K3*2</f>
        <v>0</v>
      </c>
    </row>
    <row r="85" spans="4:11" hidden="1">
      <c r="H85" s="1219"/>
      <c r="K85" s="1216"/>
    </row>
    <row r="86" spans="4:11" hidden="1">
      <c r="H86" s="1219"/>
    </row>
    <row r="87" spans="4:11" hidden="1"/>
    <row r="89" spans="4:11">
      <c r="D89" s="1183">
        <f>4500000*0.7</f>
        <v>3150000</v>
      </c>
    </row>
    <row r="90" spans="4:11">
      <c r="D90" s="1220">
        <f>4500000+4*D89</f>
        <v>17100000</v>
      </c>
    </row>
    <row r="91" spans="4:11">
      <c r="D91" s="1183"/>
    </row>
  </sheetData>
  <protectedRanges>
    <protectedRange sqref="J2:J77" name="Rango1"/>
  </protectedRanges>
  <autoFilter ref="A1:K82" xr:uid="{475F4D1D-012D-4A41-915C-5A242E7EA63E}"/>
  <mergeCells count="4">
    <mergeCell ref="D59:D62"/>
    <mergeCell ref="E65:E69"/>
    <mergeCell ref="E71:E73"/>
    <mergeCell ref="E75:E7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4CCE2-6551-4291-A36F-7EFE700F137E}">
  <sheetPr codeName="Hoja16" filterMode="1"/>
  <dimension ref="A1:AN223"/>
  <sheetViews>
    <sheetView showGridLines="0" topLeftCell="A15" workbookViewId="0">
      <selection activeCell="J24" sqref="A1:AN223"/>
    </sheetView>
  </sheetViews>
  <sheetFormatPr baseColWidth="10" defaultRowHeight="15"/>
  <cols>
    <col min="1" max="1" width="13.5703125" bestFit="1" customWidth="1"/>
    <col min="2" max="2" width="34.42578125" customWidth="1"/>
    <col min="3" max="3" width="13" bestFit="1" customWidth="1"/>
    <col min="4" max="4" width="12" bestFit="1" customWidth="1"/>
    <col min="5" max="5" width="12.140625" bestFit="1" customWidth="1"/>
    <col min="6" max="6" width="12" bestFit="1" customWidth="1"/>
    <col min="7" max="7" width="13" bestFit="1" customWidth="1"/>
    <col min="8" max="8" width="14.5703125" bestFit="1" customWidth="1"/>
    <col min="9" max="9" width="13.140625" bestFit="1" customWidth="1"/>
    <col min="10" max="10" width="19.140625" bestFit="1" customWidth="1"/>
    <col min="11" max="11" width="15.7109375" customWidth="1"/>
    <col min="12" max="12" width="14.140625" bestFit="1" customWidth="1"/>
    <col min="13" max="13" width="16.85546875" bestFit="1" customWidth="1"/>
    <col min="14" max="14" width="14.5703125" bestFit="1" customWidth="1"/>
    <col min="17" max="17" width="14.140625" bestFit="1" customWidth="1"/>
  </cols>
  <sheetData>
    <row r="1" spans="1:19">
      <c r="A1" s="1137"/>
      <c r="B1" s="1137"/>
      <c r="C1" s="1137"/>
      <c r="D1" s="1137"/>
      <c r="E1" s="1137"/>
      <c r="F1" s="1137"/>
      <c r="G1" s="1137"/>
      <c r="H1" s="1137"/>
      <c r="I1" s="1137"/>
      <c r="J1" s="1137"/>
      <c r="K1" s="1137"/>
      <c r="L1" s="1137"/>
      <c r="M1" s="1137"/>
      <c r="N1" s="1137"/>
      <c r="O1" s="1137"/>
      <c r="P1" s="1137"/>
      <c r="Q1" s="1137"/>
      <c r="R1" s="1137"/>
      <c r="S1" s="1137"/>
    </row>
    <row r="2" spans="1:19">
      <c r="A2" s="1137"/>
      <c r="B2" s="1137"/>
      <c r="C2" s="1138" t="s">
        <v>15</v>
      </c>
      <c r="D2" s="1138" t="s">
        <v>16</v>
      </c>
      <c r="E2" s="1138" t="s">
        <v>17</v>
      </c>
      <c r="F2" s="1138" t="s">
        <v>18</v>
      </c>
      <c r="G2" s="1138" t="s">
        <v>19</v>
      </c>
      <c r="H2" s="1138" t="s">
        <v>20</v>
      </c>
      <c r="I2" s="1139" t="s">
        <v>65</v>
      </c>
      <c r="J2" s="1137"/>
      <c r="K2" s="1137"/>
      <c r="L2" s="1137"/>
      <c r="M2" s="1137"/>
      <c r="N2" s="1137"/>
      <c r="O2" s="1137"/>
      <c r="P2" s="1137"/>
      <c r="Q2" s="1137"/>
      <c r="R2" s="1137"/>
      <c r="S2" s="1137"/>
    </row>
    <row r="3" spans="1:19" ht="15.75" thickBot="1">
      <c r="A3" s="1137"/>
      <c r="B3" s="1140" t="s">
        <v>885</v>
      </c>
      <c r="C3" s="1141">
        <v>175822</v>
      </c>
      <c r="D3" s="1142">
        <v>772989</v>
      </c>
      <c r="E3" s="1142">
        <v>808409</v>
      </c>
      <c r="F3" s="1142">
        <v>325667</v>
      </c>
      <c r="G3" s="1142">
        <v>106394</v>
      </c>
      <c r="H3" s="1142">
        <v>83335</v>
      </c>
      <c r="I3" s="1142">
        <f>SUM(C3:H3)</f>
        <v>2272616</v>
      </c>
      <c r="J3" s="1137"/>
      <c r="K3" s="1137"/>
      <c r="L3" s="1137"/>
      <c r="M3" s="1137"/>
      <c r="N3" s="1137"/>
      <c r="O3" s="1137"/>
      <c r="P3" s="1137"/>
      <c r="Q3" s="1137"/>
      <c r="R3" s="1137"/>
      <c r="S3" s="1137"/>
    </row>
    <row r="4" spans="1:19" ht="15.75" thickBot="1">
      <c r="A4" s="1137"/>
      <c r="B4" s="1140" t="s">
        <v>887</v>
      </c>
      <c r="C4" s="1141">
        <v>120736</v>
      </c>
      <c r="D4" s="1142">
        <v>72430</v>
      </c>
      <c r="E4" s="1142">
        <v>82028</v>
      </c>
      <c r="F4" s="1142">
        <v>48172</v>
      </c>
      <c r="G4" s="1142">
        <v>17448</v>
      </c>
      <c r="H4" s="1142">
        <v>13225</v>
      </c>
      <c r="I4" s="1142">
        <f t="shared" ref="I4:I9" si="0">SUM(C4:H4)</f>
        <v>354039</v>
      </c>
      <c r="J4" s="1137"/>
      <c r="K4" s="1137"/>
      <c r="L4" s="1137"/>
      <c r="M4" s="1137"/>
      <c r="N4" s="1137"/>
      <c r="O4" s="1137"/>
      <c r="P4" s="1137"/>
      <c r="Q4" s="1137"/>
      <c r="R4" s="1137"/>
      <c r="S4" s="1137"/>
    </row>
    <row r="5" spans="1:19" ht="15.75" thickBot="1">
      <c r="A5" s="1137"/>
      <c r="B5" s="1140" t="s">
        <v>886</v>
      </c>
      <c r="C5" s="1141">
        <v>135532</v>
      </c>
      <c r="D5" s="1142">
        <v>319438</v>
      </c>
      <c r="E5" s="1142">
        <v>265934</v>
      </c>
      <c r="F5" s="1142">
        <v>105602</v>
      </c>
      <c r="G5" s="1142">
        <v>77322</v>
      </c>
      <c r="H5" s="1142">
        <v>40911</v>
      </c>
      <c r="I5" s="1142">
        <f t="shared" si="0"/>
        <v>944739</v>
      </c>
      <c r="J5" s="1137"/>
      <c r="K5" s="1137"/>
      <c r="L5" s="1137"/>
      <c r="M5" s="1137"/>
      <c r="N5" s="1137"/>
      <c r="O5" s="1137"/>
      <c r="P5" s="1137"/>
      <c r="Q5" s="1137"/>
      <c r="R5" s="1137"/>
      <c r="S5" s="1137"/>
    </row>
    <row r="6" spans="1:19" ht="15.75" thickBot="1">
      <c r="A6" s="1137"/>
      <c r="B6" s="1140" t="s">
        <v>24</v>
      </c>
      <c r="C6" s="1141">
        <v>120201</v>
      </c>
      <c r="D6" s="1142">
        <v>168508</v>
      </c>
      <c r="E6" s="1142">
        <v>195620</v>
      </c>
      <c r="F6" s="1142">
        <v>98481</v>
      </c>
      <c r="G6" s="1142">
        <v>62130</v>
      </c>
      <c r="H6" s="1142">
        <v>23429</v>
      </c>
      <c r="I6" s="1142">
        <f t="shared" si="0"/>
        <v>668369</v>
      </c>
      <c r="J6" s="1137"/>
      <c r="K6" s="1137"/>
      <c r="L6" s="1137"/>
      <c r="M6" s="1137"/>
      <c r="N6" s="1137"/>
      <c r="O6" s="1137"/>
      <c r="P6" s="1137"/>
      <c r="Q6" s="1137"/>
      <c r="R6" s="1137"/>
      <c r="S6" s="1137"/>
    </row>
    <row r="7" spans="1:19" ht="15.75" thickBot="1">
      <c r="A7" s="1137"/>
      <c r="B7" s="1140" t="s">
        <v>25</v>
      </c>
      <c r="C7" s="1141">
        <v>38127</v>
      </c>
      <c r="D7" s="1142">
        <v>33305</v>
      </c>
      <c r="E7" s="1142">
        <v>45924</v>
      </c>
      <c r="F7" s="1142">
        <v>61562</v>
      </c>
      <c r="G7" s="1142">
        <v>6002</v>
      </c>
      <c r="H7" s="1142">
        <v>10180</v>
      </c>
      <c r="I7" s="1142">
        <f t="shared" si="0"/>
        <v>195100</v>
      </c>
      <c r="J7" s="1137"/>
      <c r="K7" s="1137"/>
      <c r="L7" s="1137"/>
      <c r="M7" s="1137"/>
      <c r="N7" s="1137"/>
      <c r="O7" s="1137"/>
      <c r="P7" s="1137"/>
      <c r="Q7" s="1137"/>
      <c r="R7" s="1137"/>
      <c r="S7" s="1137"/>
    </row>
    <row r="8" spans="1:19" ht="15.75" thickBot="1">
      <c r="A8" s="1137"/>
      <c r="B8" s="1143" t="s">
        <v>26</v>
      </c>
      <c r="C8" s="1141">
        <v>117585</v>
      </c>
      <c r="D8" s="1142">
        <v>83838</v>
      </c>
      <c r="E8" s="1142">
        <v>57300</v>
      </c>
      <c r="F8" s="1142">
        <v>20294</v>
      </c>
      <c r="G8" s="1142">
        <v>12086</v>
      </c>
      <c r="H8" s="1142">
        <v>13328</v>
      </c>
      <c r="I8" s="1142">
        <f t="shared" si="0"/>
        <v>304431</v>
      </c>
      <c r="J8" s="1137"/>
      <c r="K8" s="1137"/>
      <c r="L8" s="1137"/>
      <c r="M8" s="1137"/>
      <c r="N8" s="1137"/>
      <c r="O8" s="1137"/>
      <c r="P8" s="1137"/>
      <c r="Q8" s="1137"/>
      <c r="R8" s="1137"/>
      <c r="S8" s="1137"/>
    </row>
    <row r="9" spans="1:19" ht="15.75" thickBot="1">
      <c r="A9" s="1137"/>
      <c r="B9" s="1140" t="s">
        <v>27</v>
      </c>
      <c r="C9" s="1141">
        <v>755665</v>
      </c>
      <c r="D9" s="1142">
        <v>737405</v>
      </c>
      <c r="E9" s="1142">
        <v>504312</v>
      </c>
      <c r="F9" s="1142">
        <v>200497</v>
      </c>
      <c r="G9" s="1142">
        <v>79576</v>
      </c>
      <c r="H9" s="1142">
        <v>45633</v>
      </c>
      <c r="I9" s="1142">
        <f t="shared" si="0"/>
        <v>2323088</v>
      </c>
      <c r="J9" s="1137"/>
      <c r="K9" s="1137"/>
      <c r="L9" s="1137"/>
      <c r="M9" s="1137"/>
      <c r="N9" s="1137"/>
      <c r="O9" s="1137"/>
      <c r="P9" s="1137"/>
      <c r="Q9" s="1137"/>
      <c r="R9" s="1137"/>
      <c r="S9" s="1137"/>
    </row>
    <row r="10" spans="1:19">
      <c r="A10" s="1137"/>
      <c r="B10" s="1144"/>
      <c r="C10" s="1137"/>
      <c r="D10" s="1137"/>
      <c r="E10" s="1137"/>
      <c r="F10" s="1137"/>
      <c r="G10" s="1137"/>
      <c r="H10" s="1137"/>
      <c r="I10" s="1137"/>
      <c r="J10" s="1137"/>
      <c r="K10" s="1137"/>
      <c r="L10" s="1137"/>
      <c r="M10" s="1137"/>
      <c r="N10" s="1137"/>
      <c r="O10" s="1137"/>
      <c r="P10" s="1137"/>
      <c r="Q10" s="1137"/>
      <c r="R10" s="1137"/>
      <c r="S10" s="1137"/>
    </row>
    <row r="11" spans="1:19">
      <c r="A11" s="1137"/>
      <c r="B11" s="1140" t="s">
        <v>885</v>
      </c>
      <c r="C11" s="1145">
        <f>+C3/$I$3</f>
        <v>7.736546781330414E-2</v>
      </c>
      <c r="D11" s="1145">
        <f t="shared" ref="D11:H11" si="1">+D3/$I$3</f>
        <v>0.34013181285355731</v>
      </c>
      <c r="E11" s="1145">
        <f t="shared" si="1"/>
        <v>0.35571737592272518</v>
      </c>
      <c r="F11" s="1145">
        <f t="shared" si="1"/>
        <v>0.14330049599228378</v>
      </c>
      <c r="G11" s="1145">
        <f t="shared" si="1"/>
        <v>4.6815652094326539E-2</v>
      </c>
      <c r="H11" s="1145">
        <f t="shared" si="1"/>
        <v>3.6669195323803055E-2</v>
      </c>
      <c r="I11" s="1146">
        <f>SUM(C11:H11)</f>
        <v>1</v>
      </c>
      <c r="J11" s="1137"/>
      <c r="K11" s="1315" t="s">
        <v>1435</v>
      </c>
      <c r="L11" s="1315"/>
      <c r="M11" s="1315"/>
      <c r="N11" s="1137"/>
      <c r="O11" s="1137"/>
      <c r="P11" s="1137"/>
      <c r="Q11" s="1137"/>
      <c r="R11" s="1137"/>
      <c r="S11" s="1137"/>
    </row>
    <row r="12" spans="1:19">
      <c r="A12" s="1137"/>
      <c r="B12" s="1147" t="s">
        <v>887</v>
      </c>
      <c r="C12" s="1148">
        <f>+C4/$I$4</f>
        <v>0.341024576388477</v>
      </c>
      <c r="D12" s="1148">
        <f t="shared" ref="D12:H12" si="2">+D4/$I$4</f>
        <v>0.20458198108118031</v>
      </c>
      <c r="E12" s="1148">
        <f t="shared" si="2"/>
        <v>0.23169198873570426</v>
      </c>
      <c r="F12" s="1148">
        <f t="shared" si="2"/>
        <v>0.13606410593183238</v>
      </c>
      <c r="G12" s="1148">
        <f t="shared" si="2"/>
        <v>4.9282706142543618E-2</v>
      </c>
      <c r="H12" s="1148">
        <f t="shared" si="2"/>
        <v>3.7354641720262455E-2</v>
      </c>
      <c r="I12" s="1149">
        <f>SUM(C12:H12)</f>
        <v>1</v>
      </c>
      <c r="J12" s="1137"/>
      <c r="K12" s="1315"/>
      <c r="L12" s="1315"/>
      <c r="M12" s="1315"/>
      <c r="N12" s="1137"/>
      <c r="O12" s="1137"/>
      <c r="P12" s="1137"/>
      <c r="Q12" s="1137"/>
      <c r="R12" s="1137"/>
      <c r="S12" s="1137"/>
    </row>
    <row r="13" spans="1:19">
      <c r="A13" s="1137"/>
      <c r="B13" s="1150" t="s">
        <v>886</v>
      </c>
      <c r="C13" s="1148">
        <f>+C5/$I$5</f>
        <v>0.14345972803070478</v>
      </c>
      <c r="D13" s="1148">
        <f t="shared" ref="D13:H13" si="3">+D5/$I$5</f>
        <v>0.33812301598642586</v>
      </c>
      <c r="E13" s="1148">
        <f t="shared" si="3"/>
        <v>0.28148938489889802</v>
      </c>
      <c r="F13" s="1148">
        <f t="shared" si="3"/>
        <v>0.11177902044903407</v>
      </c>
      <c r="G13" s="1148">
        <f t="shared" si="3"/>
        <v>8.1844826983960645E-2</v>
      </c>
      <c r="H13" s="1148">
        <f t="shared" si="3"/>
        <v>4.3304023650976617E-2</v>
      </c>
      <c r="I13" s="1149">
        <f>SUM(C13:H13)</f>
        <v>1</v>
      </c>
      <c r="J13" s="1137"/>
      <c r="K13" s="1315"/>
      <c r="L13" s="1315"/>
      <c r="M13" s="1315"/>
      <c r="N13" s="1137"/>
      <c r="O13" s="1137"/>
      <c r="P13" s="1137"/>
      <c r="Q13" s="1137"/>
      <c r="R13" s="1137"/>
      <c r="S13" s="1137"/>
    </row>
    <row r="14" spans="1:19">
      <c r="A14" s="1137"/>
      <c r="B14" s="1140" t="s">
        <v>24</v>
      </c>
      <c r="C14" s="1148">
        <f>+C6/$I$6</f>
        <v>0.17984227275651624</v>
      </c>
      <c r="D14" s="1148">
        <f t="shared" ref="D14:H14" si="4">+D6/$I$6</f>
        <v>0.25211821613509905</v>
      </c>
      <c r="E14" s="1148">
        <f t="shared" si="4"/>
        <v>0.29268263489180379</v>
      </c>
      <c r="F14" s="1148">
        <f t="shared" si="4"/>
        <v>0.14734525389418121</v>
      </c>
      <c r="G14" s="1148">
        <f t="shared" si="4"/>
        <v>9.2957632684939007E-2</v>
      </c>
      <c r="H14" s="1148">
        <f t="shared" si="4"/>
        <v>3.5053989637460745E-2</v>
      </c>
      <c r="I14" s="1149">
        <f t="shared" ref="I14:I17" si="5">SUM(C14:H14)</f>
        <v>1</v>
      </c>
      <c r="J14" s="1137"/>
      <c r="K14" s="1315"/>
      <c r="L14" s="1315"/>
      <c r="M14" s="1315"/>
      <c r="N14" s="1137"/>
      <c r="O14" s="1137"/>
      <c r="P14" s="1137"/>
      <c r="Q14" s="1137"/>
      <c r="R14" s="1137"/>
      <c r="S14" s="1137"/>
    </row>
    <row r="15" spans="1:19">
      <c r="A15" s="1137"/>
      <c r="B15" s="1140" t="s">
        <v>25</v>
      </c>
      <c r="C15" s="1148">
        <f>+C7/$I$7</f>
        <v>0.19542286007175808</v>
      </c>
      <c r="D15" s="1148">
        <f t="shared" ref="D15:H15" si="6">+D7/$I$7</f>
        <v>0.17070732957457713</v>
      </c>
      <c r="E15" s="1148">
        <f t="shared" si="6"/>
        <v>0.23538698103536648</v>
      </c>
      <c r="F15" s="1148">
        <f t="shared" si="6"/>
        <v>0.3155407483341876</v>
      </c>
      <c r="G15" s="1148">
        <f t="shared" si="6"/>
        <v>3.0763710917478215E-2</v>
      </c>
      <c r="H15" s="1148">
        <f t="shared" si="6"/>
        <v>5.2178370066632493E-2</v>
      </c>
      <c r="I15" s="1149">
        <f t="shared" si="5"/>
        <v>1</v>
      </c>
      <c r="J15" s="1137"/>
      <c r="K15" s="1315"/>
      <c r="L15" s="1315"/>
      <c r="M15" s="1315"/>
      <c r="N15" s="1137"/>
      <c r="O15" s="1137"/>
      <c r="P15" s="1137"/>
      <c r="Q15" s="1137"/>
      <c r="R15" s="1137"/>
      <c r="S15" s="1137"/>
    </row>
    <row r="16" spans="1:19">
      <c r="A16" s="1137"/>
      <c r="B16" s="1140" t="s">
        <v>26</v>
      </c>
      <c r="C16" s="1145">
        <f>+C8/$I$8</f>
        <v>0.38624515900154716</v>
      </c>
      <c r="D16" s="1145">
        <f t="shared" ref="D16:H16" si="7">+D8/$I$8</f>
        <v>0.27539245346236091</v>
      </c>
      <c r="E16" s="1145">
        <f t="shared" si="7"/>
        <v>0.18821999073681722</v>
      </c>
      <c r="F16" s="1145">
        <f t="shared" si="7"/>
        <v>6.6662067923437499E-2</v>
      </c>
      <c r="G16" s="1145">
        <f t="shared" si="7"/>
        <v>3.9700293334121686E-2</v>
      </c>
      <c r="H16" s="1145">
        <f t="shared" si="7"/>
        <v>4.3780035541715528E-2</v>
      </c>
      <c r="I16" s="1149">
        <f t="shared" si="5"/>
        <v>1</v>
      </c>
      <c r="J16" s="1137"/>
      <c r="K16" s="1315"/>
      <c r="L16" s="1315"/>
      <c r="M16" s="1315"/>
      <c r="N16" s="1137"/>
      <c r="O16" s="1137"/>
      <c r="P16" s="1137"/>
      <c r="Q16" s="1137"/>
      <c r="R16" s="1137"/>
      <c r="S16" s="1137"/>
    </row>
    <row r="17" spans="1:40">
      <c r="A17" s="1137"/>
      <c r="B17" s="1140" t="s">
        <v>1434</v>
      </c>
      <c r="C17" s="1148">
        <f>+C9/$I$9</f>
        <v>0.32528470725172703</v>
      </c>
      <c r="D17" s="1148">
        <f t="shared" ref="D17:H17" si="8">+D9/$I$9</f>
        <v>0.31742447983029487</v>
      </c>
      <c r="E17" s="1148">
        <f t="shared" si="8"/>
        <v>0.21708691190346643</v>
      </c>
      <c r="F17" s="1148">
        <f t="shared" si="8"/>
        <v>8.6306244102677121E-2</v>
      </c>
      <c r="G17" s="1148">
        <f t="shared" si="8"/>
        <v>3.4254406204155846E-2</v>
      </c>
      <c r="H17" s="1148">
        <f t="shared" si="8"/>
        <v>1.9643250707678746E-2</v>
      </c>
      <c r="I17" s="1149">
        <f t="shared" si="5"/>
        <v>1</v>
      </c>
      <c r="J17" s="1137"/>
      <c r="K17" s="1315"/>
      <c r="L17" s="1315"/>
      <c r="M17" s="1315"/>
      <c r="N17" s="1137"/>
      <c r="O17" s="1137"/>
      <c r="P17" s="1137"/>
      <c r="Q17" s="1137"/>
      <c r="R17" s="1137"/>
      <c r="S17" s="1137"/>
    </row>
    <row r="18" spans="1:40">
      <c r="A18" s="1137"/>
      <c r="B18" s="1137"/>
      <c r="C18" s="1137"/>
      <c r="D18" s="1137"/>
      <c r="E18" s="1137"/>
      <c r="F18" s="1137"/>
      <c r="G18" s="1137"/>
      <c r="H18" s="1137"/>
      <c r="I18" s="1137"/>
      <c r="J18" s="1137"/>
      <c r="K18" s="1137"/>
      <c r="L18" s="1137"/>
      <c r="M18" s="1137"/>
      <c r="N18" s="1137"/>
      <c r="O18" s="1137"/>
      <c r="P18" s="1137"/>
      <c r="Q18" s="1137"/>
      <c r="R18" s="1137"/>
      <c r="S18" s="1137"/>
    </row>
    <row r="20" spans="1:40">
      <c r="B20" s="127" t="s">
        <v>1429</v>
      </c>
    </row>
    <row r="21" spans="1:40">
      <c r="B21" s="288" t="s">
        <v>13</v>
      </c>
      <c r="C21" s="297">
        <f>COUNTIF(A23:A29,"VERDADERO")</f>
        <v>0</v>
      </c>
      <c r="D21" s="297">
        <f>SUM(D23:D29)</f>
        <v>30.946187125321657</v>
      </c>
      <c r="E21" s="297">
        <f>SUM(E23:E29)</f>
        <v>136.05272514142291</v>
      </c>
      <c r="F21" s="297">
        <f t="shared" ref="F21:I21" si="9">SUM(F23:F29)</f>
        <v>142.28695036909008</v>
      </c>
      <c r="G21" s="297">
        <f t="shared" si="9"/>
        <v>57.320198396913511</v>
      </c>
      <c r="H21" s="297">
        <f t="shared" si="9"/>
        <v>18.726260837730617</v>
      </c>
      <c r="I21" s="297">
        <f t="shared" si="9"/>
        <v>14.667678129521223</v>
      </c>
      <c r="J21" s="486" t="s">
        <v>1431</v>
      </c>
      <c r="K21" s="1152"/>
      <c r="L21" s="1152"/>
      <c r="M21" s="1152"/>
      <c r="N21" s="1152"/>
      <c r="O21" s="1152"/>
      <c r="P21" s="1152"/>
      <c r="Q21" s="1152"/>
      <c r="R21" s="1152"/>
      <c r="S21" s="1152"/>
      <c r="T21" s="1152"/>
      <c r="U21" s="1152"/>
      <c r="V21" s="1152"/>
      <c r="W21" s="1152"/>
      <c r="X21" s="1152"/>
      <c r="Y21" s="1152"/>
      <c r="Z21" s="1152"/>
      <c r="AA21" s="1152"/>
      <c r="AB21" s="1152"/>
      <c r="AC21" s="1152"/>
      <c r="AD21" s="1152"/>
      <c r="AE21" s="1152"/>
      <c r="AF21" s="1152"/>
      <c r="AG21" s="1152"/>
      <c r="AH21" s="1152"/>
      <c r="AI21" s="1152"/>
      <c r="AJ21" s="1152"/>
      <c r="AK21" s="1152"/>
      <c r="AL21" s="1152"/>
      <c r="AM21" s="1152"/>
      <c r="AN21" s="1152"/>
    </row>
    <row r="22" spans="1:40">
      <c r="B22" s="283" t="s">
        <v>14</v>
      </c>
      <c r="C22" s="693">
        <f>SUM(C23:C29)</f>
        <v>399.99999999999994</v>
      </c>
      <c r="D22" s="290" t="s">
        <v>15</v>
      </c>
      <c r="E22" s="290" t="s">
        <v>16</v>
      </c>
      <c r="F22" s="290" t="s">
        <v>17</v>
      </c>
      <c r="G22" s="290" t="s">
        <v>18</v>
      </c>
      <c r="H22" s="290" t="s">
        <v>19</v>
      </c>
      <c r="I22" s="290" t="s">
        <v>20</v>
      </c>
      <c r="J22" s="487">
        <f>SUM(J23:J29)</f>
        <v>400</v>
      </c>
      <c r="K22" s="1153" t="s">
        <v>1432</v>
      </c>
      <c r="L22" s="1152"/>
      <c r="M22" s="1152"/>
      <c r="N22" s="1152"/>
      <c r="O22" s="1152"/>
      <c r="P22" s="1152"/>
      <c r="Q22" s="1152"/>
      <c r="R22" s="1152"/>
      <c r="S22" s="1152"/>
      <c r="T22" s="1152"/>
      <c r="U22" s="1152"/>
      <c r="V22" s="1152"/>
      <c r="W22" s="1152"/>
      <c r="X22" s="1152"/>
      <c r="Y22" s="1152"/>
      <c r="Z22" s="1152"/>
      <c r="AA22" s="1152"/>
      <c r="AB22" s="1152"/>
      <c r="AC22" s="1152"/>
      <c r="AD22" s="1152"/>
      <c r="AE22" s="1152"/>
      <c r="AF22" s="1152"/>
      <c r="AG22" s="1152"/>
      <c r="AH22" s="1152"/>
      <c r="AI22" s="1152"/>
      <c r="AJ22" s="1152"/>
      <c r="AK22" s="1152"/>
      <c r="AL22" s="1152"/>
      <c r="AM22" s="1152"/>
      <c r="AN22" s="1152"/>
    </row>
    <row r="23" spans="1:40">
      <c r="B23" s="312" t="s">
        <v>21</v>
      </c>
      <c r="C23" s="296">
        <f t="shared" ref="C23" si="10">SUM(D23:I23)</f>
        <v>399.99999999999994</v>
      </c>
      <c r="D23" s="1224">
        <f>+$J$23*C11</f>
        <v>30.946187125321657</v>
      </c>
      <c r="E23" s="1224">
        <f t="shared" ref="E23:I23" si="11">+$J$23*D11</f>
        <v>136.05272514142291</v>
      </c>
      <c r="F23" s="1224">
        <f t="shared" si="11"/>
        <v>142.28695036909008</v>
      </c>
      <c r="G23" s="1224">
        <f t="shared" si="11"/>
        <v>57.320198396913511</v>
      </c>
      <c r="H23" s="1224">
        <f t="shared" si="11"/>
        <v>18.726260837730617</v>
      </c>
      <c r="I23" s="1224">
        <f t="shared" si="11"/>
        <v>14.667678129521223</v>
      </c>
      <c r="J23" s="1151">
        <v>400</v>
      </c>
      <c r="K23" s="1152"/>
      <c r="L23" s="1152"/>
      <c r="M23" s="1152"/>
      <c r="N23" s="1152"/>
      <c r="O23" s="1152"/>
      <c r="P23" s="1152"/>
      <c r="Q23" s="1152"/>
      <c r="R23" s="1152"/>
      <c r="S23" s="1152"/>
      <c r="T23" s="1152"/>
      <c r="U23" s="1152"/>
      <c r="V23" s="1152"/>
      <c r="W23" s="1152"/>
      <c r="X23" s="1152"/>
      <c r="Y23" s="1152"/>
      <c r="Z23" s="1152"/>
      <c r="AA23" s="1152"/>
      <c r="AB23" s="1152"/>
      <c r="AC23" s="1152"/>
      <c r="AD23" s="1152"/>
      <c r="AE23" s="1152"/>
      <c r="AF23" s="1152"/>
      <c r="AG23" s="1152"/>
      <c r="AH23" s="1152"/>
      <c r="AI23" s="1152"/>
      <c r="AJ23" s="1152"/>
      <c r="AK23" s="1152"/>
      <c r="AL23" s="1152"/>
      <c r="AM23" s="1152"/>
      <c r="AN23" s="1152"/>
    </row>
    <row r="24" spans="1:40">
      <c r="B24" s="312" t="s">
        <v>22</v>
      </c>
      <c r="C24" s="296">
        <f t="shared" ref="C24:C29" si="12">SUM(D24:I24)</f>
        <v>0</v>
      </c>
      <c r="D24" s="1224">
        <f>+$J$24*C12</f>
        <v>0</v>
      </c>
      <c r="E24" s="1224">
        <f t="shared" ref="E24:I24" si="13">+$J$24*D12</f>
        <v>0</v>
      </c>
      <c r="F24" s="1224">
        <f t="shared" si="13"/>
        <v>0</v>
      </c>
      <c r="G24" s="1224">
        <f t="shared" si="13"/>
        <v>0</v>
      </c>
      <c r="H24" s="1224">
        <f t="shared" si="13"/>
        <v>0</v>
      </c>
      <c r="I24" s="1224">
        <f t="shared" si="13"/>
        <v>0</v>
      </c>
      <c r="J24" s="1151"/>
      <c r="K24" s="1152"/>
      <c r="L24" s="1152"/>
      <c r="M24" s="1152"/>
      <c r="N24" s="1152"/>
      <c r="O24" s="1152"/>
      <c r="P24" s="1152"/>
      <c r="Q24" s="1152"/>
      <c r="R24" s="1152"/>
      <c r="S24" s="1152"/>
      <c r="T24" s="1152"/>
      <c r="U24" s="1152"/>
      <c r="V24" s="1152"/>
      <c r="W24" s="1152"/>
      <c r="X24" s="1152"/>
      <c r="Y24" s="1152"/>
      <c r="Z24" s="1152"/>
      <c r="AA24" s="1152"/>
      <c r="AB24" s="1152"/>
      <c r="AC24" s="1152"/>
      <c r="AD24" s="1152"/>
      <c r="AE24" s="1152"/>
      <c r="AF24" s="1152"/>
      <c r="AG24" s="1152"/>
      <c r="AH24" s="1152"/>
      <c r="AI24" s="1152"/>
      <c r="AJ24" s="1152"/>
      <c r="AK24" s="1152"/>
      <c r="AL24" s="1152"/>
      <c r="AM24" s="1152"/>
      <c r="AN24" s="1152"/>
    </row>
    <row r="25" spans="1:40">
      <c r="B25" s="312" t="s">
        <v>23</v>
      </c>
      <c r="C25" s="296">
        <f t="shared" si="12"/>
        <v>0</v>
      </c>
      <c r="D25" s="1224">
        <f>+$J$25*C13</f>
        <v>0</v>
      </c>
      <c r="E25" s="1224">
        <f t="shared" ref="E25:I25" si="14">+$J$25*D13</f>
        <v>0</v>
      </c>
      <c r="F25" s="1224">
        <f t="shared" si="14"/>
        <v>0</v>
      </c>
      <c r="G25" s="1224">
        <f t="shared" si="14"/>
        <v>0</v>
      </c>
      <c r="H25" s="1224">
        <f t="shared" si="14"/>
        <v>0</v>
      </c>
      <c r="I25" s="1224">
        <f t="shared" si="14"/>
        <v>0</v>
      </c>
      <c r="J25" s="1151"/>
      <c r="K25" s="1152"/>
      <c r="L25" s="1152"/>
      <c r="M25" s="1152"/>
      <c r="N25" s="1152"/>
      <c r="O25" s="1152"/>
      <c r="P25" s="1152"/>
      <c r="Q25" s="1152"/>
      <c r="R25" s="1152"/>
      <c r="S25" s="1152"/>
      <c r="T25" s="1152"/>
      <c r="U25" s="1152"/>
      <c r="V25" s="1152"/>
      <c r="W25" s="1152"/>
      <c r="X25" s="1152"/>
      <c r="Y25" s="1152"/>
      <c r="Z25" s="1152"/>
      <c r="AA25" s="1152"/>
      <c r="AB25" s="1152"/>
      <c r="AC25" s="1152"/>
      <c r="AD25" s="1152"/>
      <c r="AE25" s="1152"/>
      <c r="AF25" s="1152"/>
      <c r="AG25" s="1152"/>
      <c r="AH25" s="1152"/>
      <c r="AI25" s="1152"/>
      <c r="AJ25" s="1152"/>
      <c r="AK25" s="1152"/>
      <c r="AL25" s="1152"/>
      <c r="AM25" s="1152"/>
      <c r="AN25" s="1152"/>
    </row>
    <row r="26" spans="1:40">
      <c r="B26" s="312" t="s">
        <v>24</v>
      </c>
      <c r="C26" s="296">
        <f t="shared" si="12"/>
        <v>0</v>
      </c>
      <c r="D26" s="1224">
        <f>+$J$26*C14</f>
        <v>0</v>
      </c>
      <c r="E26" s="1224">
        <f t="shared" ref="E26:I26" si="15">+$J$26*D14</f>
        <v>0</v>
      </c>
      <c r="F26" s="1224">
        <f t="shared" si="15"/>
        <v>0</v>
      </c>
      <c r="G26" s="1224">
        <f t="shared" si="15"/>
        <v>0</v>
      </c>
      <c r="H26" s="1224">
        <f t="shared" si="15"/>
        <v>0</v>
      </c>
      <c r="I26" s="1224">
        <f t="shared" si="15"/>
        <v>0</v>
      </c>
      <c r="J26" s="1151"/>
      <c r="K26" s="1152"/>
      <c r="L26" s="1152"/>
      <c r="M26" s="1152"/>
      <c r="N26" s="1152"/>
      <c r="O26" s="1152"/>
      <c r="P26" s="1152"/>
      <c r="Q26" s="1152"/>
      <c r="R26" s="1152"/>
      <c r="S26" s="1152"/>
      <c r="T26" s="1152"/>
      <c r="U26" s="1152"/>
      <c r="V26" s="1152"/>
      <c r="W26" s="1152"/>
      <c r="X26" s="1152"/>
      <c r="Y26" s="1152"/>
      <c r="Z26" s="1152"/>
      <c r="AA26" s="1152"/>
      <c r="AB26" s="1152"/>
      <c r="AC26" s="1152"/>
      <c r="AD26" s="1152"/>
      <c r="AE26" s="1152"/>
      <c r="AF26" s="1152"/>
      <c r="AG26" s="1152"/>
      <c r="AH26" s="1152"/>
      <c r="AI26" s="1152"/>
      <c r="AJ26" s="1152"/>
      <c r="AK26" s="1152"/>
      <c r="AL26" s="1152"/>
      <c r="AM26" s="1152"/>
      <c r="AN26" s="1152"/>
    </row>
    <row r="27" spans="1:40">
      <c r="B27" s="312" t="s">
        <v>25</v>
      </c>
      <c r="C27" s="296">
        <f t="shared" si="12"/>
        <v>0</v>
      </c>
      <c r="D27" s="1224">
        <f>+$J$27*C15</f>
        <v>0</v>
      </c>
      <c r="E27" s="1224">
        <f t="shared" ref="E27:I27" si="16">+$J$27*D15</f>
        <v>0</v>
      </c>
      <c r="F27" s="1224">
        <f t="shared" si="16"/>
        <v>0</v>
      </c>
      <c r="G27" s="1224">
        <f t="shared" si="16"/>
        <v>0</v>
      </c>
      <c r="H27" s="1224">
        <f t="shared" si="16"/>
        <v>0</v>
      </c>
      <c r="I27" s="1224">
        <f t="shared" si="16"/>
        <v>0</v>
      </c>
      <c r="J27" s="1151"/>
      <c r="K27" s="1152"/>
      <c r="L27" s="1152"/>
      <c r="M27" s="1152"/>
      <c r="N27" s="1152"/>
      <c r="O27" s="1152"/>
      <c r="P27" s="1152"/>
      <c r="Q27" s="1152"/>
      <c r="R27" s="1152"/>
      <c r="S27" s="1152"/>
      <c r="T27" s="1152"/>
      <c r="U27" s="1152"/>
      <c r="V27" s="1152"/>
      <c r="W27" s="1152"/>
      <c r="X27" s="1152"/>
      <c r="Y27" s="1152"/>
      <c r="Z27" s="1152"/>
      <c r="AA27" s="1152"/>
      <c r="AB27" s="1152"/>
      <c r="AC27" s="1152"/>
      <c r="AD27" s="1152"/>
      <c r="AE27" s="1152"/>
      <c r="AF27" s="1152"/>
      <c r="AG27" s="1152"/>
      <c r="AH27" s="1152"/>
      <c r="AI27" s="1152"/>
      <c r="AJ27" s="1152"/>
      <c r="AK27" s="1152"/>
      <c r="AL27" s="1152"/>
      <c r="AM27" s="1152"/>
      <c r="AN27" s="1152"/>
    </row>
    <row r="28" spans="1:40">
      <c r="B28" s="312" t="s">
        <v>26</v>
      </c>
      <c r="C28" s="296">
        <f t="shared" si="12"/>
        <v>0</v>
      </c>
      <c r="D28" s="1224">
        <f>+$J$28*C16</f>
        <v>0</v>
      </c>
      <c r="E28" s="1224">
        <f t="shared" ref="E28:I28" si="17">+$J$28*D16</f>
        <v>0</v>
      </c>
      <c r="F28" s="1224">
        <f t="shared" si="17"/>
        <v>0</v>
      </c>
      <c r="G28" s="1224">
        <f t="shared" si="17"/>
        <v>0</v>
      </c>
      <c r="H28" s="1224">
        <f t="shared" si="17"/>
        <v>0</v>
      </c>
      <c r="I28" s="1224">
        <f t="shared" si="17"/>
        <v>0</v>
      </c>
      <c r="J28" s="1151"/>
      <c r="K28" s="1152"/>
      <c r="L28" s="1152"/>
      <c r="M28" s="1152"/>
      <c r="N28" s="1152"/>
      <c r="O28" s="1152"/>
      <c r="P28" s="1152"/>
      <c r="Q28" s="1152"/>
      <c r="R28" s="1152"/>
      <c r="S28" s="1152"/>
      <c r="T28" s="1152"/>
      <c r="U28" s="1152"/>
      <c r="V28" s="1152"/>
      <c r="W28" s="1152"/>
      <c r="X28" s="1152"/>
      <c r="Y28" s="1152"/>
      <c r="Z28" s="1152"/>
      <c r="AA28" s="1152"/>
      <c r="AB28" s="1152"/>
      <c r="AC28" s="1152"/>
      <c r="AD28" s="1152"/>
      <c r="AE28" s="1152"/>
      <c r="AF28" s="1152"/>
      <c r="AG28" s="1152"/>
      <c r="AH28" s="1152"/>
      <c r="AI28" s="1152"/>
      <c r="AJ28" s="1152"/>
      <c r="AK28" s="1152"/>
      <c r="AL28" s="1152"/>
      <c r="AM28" s="1152"/>
      <c r="AN28" s="1152"/>
    </row>
    <row r="29" spans="1:40" ht="27" customHeight="1">
      <c r="B29" s="312" t="s">
        <v>27</v>
      </c>
      <c r="C29" s="296">
        <f t="shared" si="12"/>
        <v>0</v>
      </c>
      <c r="D29" s="1224">
        <f>+$J$29*C17</f>
        <v>0</v>
      </c>
      <c r="E29" s="1224">
        <f t="shared" ref="E29:I29" si="18">+$J$29*D17</f>
        <v>0</v>
      </c>
      <c r="F29" s="1224">
        <f t="shared" si="18"/>
        <v>0</v>
      </c>
      <c r="G29" s="1224">
        <f t="shared" si="18"/>
        <v>0</v>
      </c>
      <c r="H29" s="1224">
        <f t="shared" si="18"/>
        <v>0</v>
      </c>
      <c r="I29" s="1224">
        <f t="shared" si="18"/>
        <v>0</v>
      </c>
      <c r="J29" s="1232"/>
      <c r="K29" s="1237" t="s">
        <v>2235</v>
      </c>
      <c r="L29" s="1156">
        <v>2</v>
      </c>
      <c r="M29" s="1152"/>
      <c r="N29" s="1152"/>
      <c r="O29" s="1152"/>
      <c r="P29" s="1152"/>
      <c r="Q29" s="1152"/>
      <c r="R29" s="1152"/>
      <c r="S29" s="1152"/>
      <c r="T29" s="1152"/>
      <c r="U29" s="1152"/>
      <c r="V29" s="1152"/>
      <c r="W29" s="1152"/>
      <c r="X29" s="1152"/>
      <c r="Y29" s="1152"/>
      <c r="Z29" s="1152"/>
      <c r="AA29" s="1152"/>
      <c r="AB29" s="1152"/>
      <c r="AC29" s="1152"/>
      <c r="AD29" s="1152"/>
      <c r="AE29" s="1152"/>
      <c r="AF29" s="1152"/>
      <c r="AG29" s="1152"/>
      <c r="AH29" s="1152"/>
      <c r="AI29" s="1152"/>
      <c r="AJ29" s="1152"/>
      <c r="AK29" s="1152"/>
      <c r="AL29" s="1152"/>
      <c r="AM29" s="1152"/>
      <c r="AN29" s="1152"/>
    </row>
    <row r="30" spans="1:40" ht="23.25">
      <c r="B30" s="695"/>
      <c r="C30" s="694"/>
      <c r="D30" s="694"/>
      <c r="E30" s="694"/>
      <c r="F30" s="694"/>
      <c r="G30" s="694"/>
      <c r="H30" s="694"/>
      <c r="I30" s="694"/>
      <c r="J30" s="1152"/>
      <c r="K30" s="1237" t="s">
        <v>2233</v>
      </c>
      <c r="L30" s="1156">
        <v>6</v>
      </c>
      <c r="M30" s="1152"/>
      <c r="N30" s="1152"/>
      <c r="O30" s="1152"/>
      <c r="P30" s="1152"/>
      <c r="Q30" s="1152"/>
      <c r="R30" s="1152"/>
      <c r="S30" s="1152"/>
      <c r="T30" s="1152"/>
      <c r="U30" s="1152"/>
      <c r="V30" s="1152"/>
      <c r="W30" s="1152"/>
      <c r="X30" s="1152"/>
      <c r="Y30" s="1152"/>
      <c r="Z30" s="1152"/>
      <c r="AA30" s="1152"/>
      <c r="AB30" s="1152"/>
      <c r="AC30" s="1152"/>
      <c r="AD30" s="1152"/>
      <c r="AE30" s="1152"/>
      <c r="AF30" s="1152"/>
      <c r="AG30" s="1152"/>
      <c r="AH30" s="1152"/>
      <c r="AI30" s="1152"/>
      <c r="AJ30" s="1152"/>
      <c r="AK30" s="1152"/>
      <c r="AL30" s="1152"/>
      <c r="AM30" s="1152"/>
      <c r="AN30" s="1152"/>
    </row>
    <row r="31" spans="1:40" s="1152" customFormat="1"/>
    <row r="32" spans="1:40" s="1152" customFormat="1"/>
    <row r="33" spans="1:18" s="1152" customFormat="1">
      <c r="B33" s="1154" t="s">
        <v>2200</v>
      </c>
      <c r="C33" s="1154">
        <v>4</v>
      </c>
      <c r="F33" s="1154">
        <v>4</v>
      </c>
      <c r="J33" s="1154">
        <v>5</v>
      </c>
      <c r="N33" s="1154">
        <v>5</v>
      </c>
    </row>
    <row r="34" spans="1:18" s="1152" customFormat="1">
      <c r="B34" s="1154" t="s">
        <v>2201</v>
      </c>
      <c r="C34" s="1155">
        <v>3</v>
      </c>
      <c r="F34" s="1155">
        <v>3</v>
      </c>
      <c r="J34" s="1155">
        <v>2</v>
      </c>
      <c r="N34" s="1155">
        <v>2</v>
      </c>
    </row>
    <row r="35" spans="1:18" s="1152" customFormat="1">
      <c r="B35" s="1156" t="s">
        <v>2144</v>
      </c>
      <c r="C35" s="1156" t="s">
        <v>79</v>
      </c>
      <c r="D35" s="1156" t="s">
        <v>2202</v>
      </c>
      <c r="E35" s="1156" t="s">
        <v>2203</v>
      </c>
      <c r="F35" s="1156" t="s">
        <v>2145</v>
      </c>
      <c r="G35" s="1156" t="s">
        <v>79</v>
      </c>
      <c r="H35" s="1156" t="s">
        <v>2202</v>
      </c>
      <c r="I35" s="1156" t="s">
        <v>2203</v>
      </c>
      <c r="J35" s="1156" t="s">
        <v>2146</v>
      </c>
      <c r="K35" s="1156" t="s">
        <v>79</v>
      </c>
      <c r="L35" s="1156" t="s">
        <v>2202</v>
      </c>
      <c r="M35" s="1156" t="s">
        <v>2203</v>
      </c>
      <c r="N35" s="1156" t="s">
        <v>2147</v>
      </c>
      <c r="O35" s="1156" t="s">
        <v>79</v>
      </c>
      <c r="P35" s="1156" t="s">
        <v>2202</v>
      </c>
      <c r="Q35" s="1156" t="s">
        <v>2203</v>
      </c>
    </row>
    <row r="36" spans="1:18" s="1152" customFormat="1">
      <c r="A36" s="1231"/>
      <c r="B36" s="1248" t="s">
        <v>2300</v>
      </c>
      <c r="C36" s="1157">
        <v>100</v>
      </c>
      <c r="D36" s="1157">
        <v>10</v>
      </c>
      <c r="E36" s="1158">
        <f>+((E70*D36)+(F70*D36*C34))</f>
        <v>550000</v>
      </c>
      <c r="F36" s="11" t="s">
        <v>2246</v>
      </c>
      <c r="G36" s="1157">
        <v>50</v>
      </c>
      <c r="H36" s="1157">
        <v>8</v>
      </c>
      <c r="I36" s="1158">
        <f>+((H36*E84)+(F84*H36*F34))</f>
        <v>1240000</v>
      </c>
      <c r="J36" s="11" t="s">
        <v>2294</v>
      </c>
      <c r="K36" s="1157">
        <v>150</v>
      </c>
      <c r="L36" s="1157"/>
      <c r="M36" s="1158"/>
      <c r="N36" s="1157"/>
      <c r="O36" s="1244" t="s">
        <v>2272</v>
      </c>
      <c r="P36" s="1157">
        <v>50</v>
      </c>
      <c r="Q36" s="1158"/>
    </row>
    <row r="37" spans="1:18" s="1152" customFormat="1" ht="15.75" thickBot="1">
      <c r="A37" s="1231"/>
      <c r="B37" s="1244" t="s">
        <v>2280</v>
      </c>
      <c r="C37" s="1157">
        <v>100</v>
      </c>
      <c r="D37" s="1157">
        <v>5</v>
      </c>
      <c r="E37" s="1158">
        <f>+(+E80*D37)+(D37*C34*F80)</f>
        <v>835000</v>
      </c>
      <c r="F37" s="11" t="s">
        <v>2247</v>
      </c>
      <c r="G37" s="1157">
        <v>50</v>
      </c>
      <c r="H37" s="1157">
        <v>6</v>
      </c>
      <c r="I37" s="1158">
        <f>+((H37*F34)*(E71+F71))</f>
        <v>1602000</v>
      </c>
      <c r="J37" s="1263" t="s">
        <v>2262</v>
      </c>
      <c r="K37" s="1157">
        <v>50</v>
      </c>
      <c r="L37" s="1157"/>
      <c r="M37" s="1158"/>
      <c r="N37" s="1159"/>
      <c r="O37" s="1244" t="s">
        <v>2256</v>
      </c>
      <c r="P37" s="1157">
        <v>100</v>
      </c>
      <c r="Q37" s="1158"/>
    </row>
    <row r="38" spans="1:18" s="1152" customFormat="1">
      <c r="A38" s="1231"/>
      <c r="B38" s="1162" t="s">
        <v>2259</v>
      </c>
      <c r="C38" s="1157">
        <v>100</v>
      </c>
      <c r="D38" s="1157">
        <v>5</v>
      </c>
      <c r="E38" s="1158">
        <f>+((D38*E81)+(F81*D38*C34))</f>
        <v>1510000</v>
      </c>
      <c r="F38" s="1162" t="s">
        <v>2405</v>
      </c>
      <c r="G38" s="1157">
        <v>50</v>
      </c>
      <c r="H38" s="1157">
        <v>3</v>
      </c>
      <c r="I38" s="1158">
        <f>16000*3*H38*2</f>
        <v>288000</v>
      </c>
      <c r="J38" s="1244" t="s">
        <v>2278</v>
      </c>
      <c r="K38" s="1157">
        <v>50</v>
      </c>
      <c r="L38" s="1157"/>
      <c r="M38" s="1158"/>
      <c r="N38" s="1159"/>
      <c r="O38" s="11" t="s">
        <v>2304</v>
      </c>
      <c r="P38" s="1157">
        <v>100</v>
      </c>
      <c r="Q38" s="1158"/>
    </row>
    <row r="39" spans="1:18" s="1152" customFormat="1">
      <c r="A39" s="1231"/>
      <c r="B39" s="1244" t="s">
        <v>2269</v>
      </c>
      <c r="C39" s="1157">
        <v>100</v>
      </c>
      <c r="D39" s="1157">
        <v>8</v>
      </c>
      <c r="E39" s="1158">
        <f>+((D39*E82)+(F82*D39*C34))</f>
        <v>1160000</v>
      </c>
      <c r="F39" s="1162" t="s">
        <v>2248</v>
      </c>
      <c r="G39" s="1157">
        <v>50</v>
      </c>
      <c r="H39" s="1157">
        <v>3</v>
      </c>
      <c r="I39" s="1158">
        <f>28000*3*H39*2</f>
        <v>504000</v>
      </c>
      <c r="J39" s="11" t="s">
        <v>2257</v>
      </c>
      <c r="K39" s="1157">
        <v>50</v>
      </c>
      <c r="L39" s="1157"/>
      <c r="M39" s="1158"/>
      <c r="N39" s="1159"/>
      <c r="O39" s="1157"/>
      <c r="P39" s="1157"/>
      <c r="Q39" s="1158"/>
    </row>
    <row r="40" spans="1:18" s="1152" customFormat="1">
      <c r="A40" s="1231"/>
      <c r="B40" s="1244" t="s">
        <v>2250</v>
      </c>
      <c r="C40" s="1160">
        <v>50</v>
      </c>
      <c r="D40" s="1160">
        <v>5</v>
      </c>
      <c r="E40" s="1158">
        <f>+((D40*E83)+(F83*D40*C34))</f>
        <v>685000</v>
      </c>
      <c r="F40" s="11" t="s">
        <v>2295</v>
      </c>
      <c r="G40" s="1157">
        <v>50</v>
      </c>
      <c r="H40" s="1160"/>
      <c r="I40" s="1158">
        <f>+I38+I39</f>
        <v>792000</v>
      </c>
      <c r="J40" s="1244" t="s">
        <v>2263</v>
      </c>
      <c r="K40" s="1157">
        <v>50</v>
      </c>
      <c r="L40" s="1160"/>
      <c r="M40" s="1158"/>
      <c r="N40" s="1161"/>
      <c r="O40" s="1157"/>
      <c r="P40" s="1160"/>
      <c r="Q40" s="1158"/>
    </row>
    <row r="41" spans="1:18" s="1152" customFormat="1">
      <c r="B41" s="1157" t="s">
        <v>65</v>
      </c>
      <c r="C41" s="1162">
        <f>SUM(C36:C40)</f>
        <v>450</v>
      </c>
      <c r="D41" s="1162">
        <f>SUM(D36:D40)</f>
        <v>33</v>
      </c>
      <c r="E41" s="1163">
        <f>SUM(E36:E40)</f>
        <v>4740000</v>
      </c>
      <c r="F41" s="1162"/>
      <c r="G41" s="1162">
        <f>SUM(G36:G40)</f>
        <v>250</v>
      </c>
      <c r="H41" s="1162">
        <f>SUM(H36:H40)</f>
        <v>20</v>
      </c>
      <c r="I41" s="1163">
        <f>SUM(I36:I40)</f>
        <v>4426000</v>
      </c>
      <c r="J41" s="1162"/>
      <c r="K41" s="1162">
        <f>SUM(K36:K40)</f>
        <v>350</v>
      </c>
      <c r="L41" s="1162">
        <f>SUM(L36:L40)</f>
        <v>0</v>
      </c>
      <c r="M41" s="1163">
        <f>SUM(M36:M40)</f>
        <v>0</v>
      </c>
      <c r="N41" s="1162"/>
      <c r="O41" s="1162">
        <f>SUM(O36:O40)</f>
        <v>0</v>
      </c>
      <c r="P41" s="1162">
        <f>SUM(P36:P40)</f>
        <v>250</v>
      </c>
      <c r="Q41" s="1163">
        <f>SUM(Q36:Q40)</f>
        <v>0</v>
      </c>
      <c r="R41" s="1152">
        <f>+O41+K41+G41+C41</f>
        <v>1050</v>
      </c>
    </row>
    <row r="42" spans="1:18" s="1152" customFormat="1">
      <c r="L42" s="1152">
        <f>+L36*J33*J34</f>
        <v>0</v>
      </c>
      <c r="P42" s="1152">
        <f>+P36*N33*N34</f>
        <v>500</v>
      </c>
    </row>
    <row r="43" spans="1:18" s="1152" customFormat="1">
      <c r="O43" s="1316" t="s">
        <v>2206</v>
      </c>
      <c r="P43" s="1316"/>
      <c r="Q43" s="1164">
        <f>+Q41+M41+I41+E41</f>
        <v>9166000</v>
      </c>
    </row>
    <row r="44" spans="1:18" s="1152" customFormat="1"/>
    <row r="45" spans="1:18" s="1152" customFormat="1"/>
    <row r="46" spans="1:18" s="1152" customFormat="1"/>
    <row r="47" spans="1:18" s="1152" customFormat="1">
      <c r="H47" s="1190"/>
      <c r="K47" s="1228">
        <v>60800</v>
      </c>
      <c r="L47" s="1228">
        <v>42000</v>
      </c>
    </row>
    <row r="48" spans="1:18" s="1152" customFormat="1">
      <c r="J48" s="1162"/>
      <c r="K48" s="1155" t="s">
        <v>2204</v>
      </c>
      <c r="L48" s="1155" t="s">
        <v>2205</v>
      </c>
    </row>
    <row r="49" spans="1:14" s="1152" customFormat="1">
      <c r="J49" s="1162"/>
      <c r="K49" s="1165">
        <f>+$K$47*D36*$C$34</f>
        <v>1824000</v>
      </c>
      <c r="L49" s="1165">
        <f>+$L$47*$C$34*D36</f>
        <v>1260000</v>
      </c>
      <c r="M49" s="1214"/>
    </row>
    <row r="50" spans="1:14" s="1152" customFormat="1">
      <c r="J50" s="1162"/>
      <c r="K50" s="1165">
        <f>+$K$47*D37*$C$34</f>
        <v>912000</v>
      </c>
      <c r="L50" s="1165">
        <f t="shared" ref="L50:L53" si="19">+$L$47*$C$34*D37</f>
        <v>630000</v>
      </c>
      <c r="M50" s="1214"/>
    </row>
    <row r="51" spans="1:14" s="1152" customFormat="1">
      <c r="J51" s="1162"/>
      <c r="K51" s="1165">
        <f>+$K$47*D38*$C$34</f>
        <v>912000</v>
      </c>
      <c r="L51" s="1165">
        <f t="shared" si="19"/>
        <v>630000</v>
      </c>
    </row>
    <row r="52" spans="1:14" s="1152" customFormat="1">
      <c r="J52" s="1162"/>
      <c r="K52" s="1165">
        <f>+$K$47*D39*$C$34</f>
        <v>1459200</v>
      </c>
      <c r="L52" s="1165">
        <f t="shared" si="19"/>
        <v>1008000</v>
      </c>
    </row>
    <row r="53" spans="1:14" s="1152" customFormat="1">
      <c r="J53" s="1162"/>
      <c r="K53" s="1165">
        <f>+$K$47*D40*$C$34</f>
        <v>912000</v>
      </c>
      <c r="L53" s="1165">
        <f t="shared" si="19"/>
        <v>630000</v>
      </c>
    </row>
    <row r="54" spans="1:14" s="1152" customFormat="1">
      <c r="J54" s="1162"/>
      <c r="K54" s="1165">
        <f>+K47*H36*F34</f>
        <v>1459200</v>
      </c>
      <c r="L54" s="1165">
        <f>+L47*F34*H36</f>
        <v>1008000</v>
      </c>
    </row>
    <row r="55" spans="1:14" s="1152" customFormat="1">
      <c r="J55" s="1162"/>
      <c r="K55" s="1165"/>
      <c r="L55" s="1165"/>
    </row>
    <row r="56" spans="1:14" s="1152" customFormat="1">
      <c r="J56" s="1162"/>
      <c r="K56" s="1165"/>
      <c r="L56" s="1165"/>
    </row>
    <row r="57" spans="1:14" s="1152" customFormat="1">
      <c r="J57" s="1162"/>
      <c r="K57" s="1163">
        <f>SUM(K49:K56)</f>
        <v>7478400</v>
      </c>
      <c r="L57" s="1163">
        <f>SUM(L49:L56)</f>
        <v>5166000</v>
      </c>
      <c r="M57" s="1166" t="s">
        <v>2207</v>
      </c>
      <c r="N57" s="1164">
        <f>+K57+L57</f>
        <v>12644400</v>
      </c>
    </row>
    <row r="58" spans="1:14" s="1152" customFormat="1">
      <c r="M58" s="1155" t="s">
        <v>2208</v>
      </c>
      <c r="N58" s="1164">
        <f>+N57+Q43</f>
        <v>21810400</v>
      </c>
    </row>
    <row r="59" spans="1:14" s="1152" customFormat="1"/>
    <row r="60" spans="1:14" s="1152" customFormat="1"/>
    <row r="61" spans="1:14" s="1152" customFormat="1" ht="30">
      <c r="A61" s="1229" t="s">
        <v>2393</v>
      </c>
      <c r="B61" s="1229" t="s">
        <v>2220</v>
      </c>
      <c r="C61" s="1230" t="s">
        <v>2228</v>
      </c>
      <c r="D61" s="1229" t="s">
        <v>2229</v>
      </c>
      <c r="E61" s="1229" t="s">
        <v>65</v>
      </c>
      <c r="F61" s="1229" t="s">
        <v>2221</v>
      </c>
      <c r="G61" s="1229" t="s">
        <v>2352</v>
      </c>
    </row>
    <row r="62" spans="1:14" s="1152" customFormat="1" hidden="1">
      <c r="A62" s="1162" t="s">
        <v>2346</v>
      </c>
      <c r="B62" s="1248" t="s">
        <v>2347</v>
      </c>
      <c r="C62" s="37">
        <v>250000</v>
      </c>
      <c r="D62" s="1165">
        <v>26000</v>
      </c>
      <c r="E62" s="1165">
        <f>SUM(C62:D62)</f>
        <v>276000</v>
      </c>
      <c r="F62" s="1165">
        <v>13000</v>
      </c>
      <c r="G62" s="1165">
        <v>40000</v>
      </c>
    </row>
    <row r="63" spans="1:14" s="1152" customFormat="1" hidden="1">
      <c r="A63" s="1162" t="s">
        <v>2264</v>
      </c>
      <c r="B63" s="1162" t="s">
        <v>2367</v>
      </c>
      <c r="C63" s="1165">
        <v>20000</v>
      </c>
      <c r="D63" s="1165">
        <v>8000</v>
      </c>
      <c r="E63" s="1165">
        <f>+C63+D63</f>
        <v>28000</v>
      </c>
      <c r="F63" s="1165">
        <v>8000</v>
      </c>
      <c r="G63" s="1165">
        <v>40000</v>
      </c>
    </row>
    <row r="64" spans="1:14" s="1152" customFormat="1" hidden="1">
      <c r="A64" s="3" t="s">
        <v>2264</v>
      </c>
      <c r="B64" s="11" t="s">
        <v>2265</v>
      </c>
      <c r="C64" s="37">
        <v>80000</v>
      </c>
      <c r="D64" s="1165">
        <v>26000</v>
      </c>
      <c r="E64" s="1165">
        <f t="shared" ref="E64:E76" si="20">SUM(C64:D64)</f>
        <v>106000</v>
      </c>
      <c r="F64" s="1165">
        <v>13000</v>
      </c>
      <c r="G64" s="1165">
        <v>40000</v>
      </c>
    </row>
    <row r="65" spans="1:7" s="1152" customFormat="1" hidden="1">
      <c r="A65" s="3" t="s">
        <v>2264</v>
      </c>
      <c r="B65" s="1243" t="s">
        <v>2266</v>
      </c>
      <c r="C65" s="37">
        <v>8000</v>
      </c>
      <c r="D65" s="1165">
        <v>8000</v>
      </c>
      <c r="E65" s="1165">
        <f t="shared" si="20"/>
        <v>16000</v>
      </c>
      <c r="F65" s="1165">
        <v>13000</v>
      </c>
      <c r="G65" s="1165">
        <v>40000</v>
      </c>
    </row>
    <row r="66" spans="1:7" s="1152" customFormat="1" hidden="1">
      <c r="A66" s="3" t="s">
        <v>2264</v>
      </c>
      <c r="B66" s="1243" t="s">
        <v>2394</v>
      </c>
      <c r="C66" s="37">
        <v>30000</v>
      </c>
      <c r="D66" s="1165">
        <v>8000</v>
      </c>
      <c r="E66" s="1165">
        <f t="shared" si="20"/>
        <v>38000</v>
      </c>
      <c r="F66" s="1165">
        <v>13000</v>
      </c>
      <c r="G66" s="1165">
        <v>40000</v>
      </c>
    </row>
    <row r="67" spans="1:7" s="1152" customFormat="1" hidden="1">
      <c r="A67" s="3" t="s">
        <v>2264</v>
      </c>
      <c r="B67" s="1243" t="s">
        <v>2395</v>
      </c>
      <c r="C67" s="37">
        <v>80000</v>
      </c>
      <c r="D67" s="1165">
        <v>26000</v>
      </c>
      <c r="E67" s="1165">
        <f t="shared" si="20"/>
        <v>106000</v>
      </c>
      <c r="F67" s="1165">
        <v>13000</v>
      </c>
      <c r="G67" s="1165">
        <v>40000</v>
      </c>
    </row>
    <row r="68" spans="1:7" s="1152" customFormat="1" hidden="1">
      <c r="A68" s="3" t="s">
        <v>2264</v>
      </c>
      <c r="B68" s="11" t="s">
        <v>2249</v>
      </c>
      <c r="C68" s="37">
        <v>8000</v>
      </c>
      <c r="D68" s="1165">
        <v>8000</v>
      </c>
      <c r="E68" s="1165">
        <f t="shared" si="20"/>
        <v>16000</v>
      </c>
      <c r="F68" s="1165">
        <v>13000</v>
      </c>
      <c r="G68" s="1165">
        <v>40000</v>
      </c>
    </row>
    <row r="69" spans="1:7" s="1152" customFormat="1" hidden="1">
      <c r="A69" s="3" t="s">
        <v>2264</v>
      </c>
      <c r="B69" s="11" t="s">
        <v>2267</v>
      </c>
      <c r="C69" s="37">
        <v>8000</v>
      </c>
      <c r="D69" s="1165">
        <v>26000</v>
      </c>
      <c r="E69" s="1165">
        <f t="shared" si="20"/>
        <v>34000</v>
      </c>
      <c r="F69" s="1165">
        <v>13000</v>
      </c>
      <c r="G69" s="1165">
        <v>40000</v>
      </c>
    </row>
    <row r="70" spans="1:7" s="1152" customFormat="1" hidden="1">
      <c r="A70" s="3" t="s">
        <v>2264</v>
      </c>
      <c r="B70" s="11" t="s">
        <v>2375</v>
      </c>
      <c r="C70" s="1165">
        <v>8000</v>
      </c>
      <c r="D70" s="1165">
        <v>8000</v>
      </c>
      <c r="E70" s="1165">
        <f t="shared" si="20"/>
        <v>16000</v>
      </c>
      <c r="F70" s="1165">
        <v>13000</v>
      </c>
      <c r="G70" s="1165">
        <v>40000</v>
      </c>
    </row>
    <row r="71" spans="1:7" s="1152" customFormat="1" hidden="1">
      <c r="A71" s="3" t="s">
        <v>2264</v>
      </c>
      <c r="B71" s="11" t="s">
        <v>2396</v>
      </c>
      <c r="C71" s="1165">
        <v>50000</v>
      </c>
      <c r="D71" s="1165">
        <v>26000</v>
      </c>
      <c r="E71" s="1165">
        <f t="shared" si="20"/>
        <v>76000</v>
      </c>
      <c r="F71" s="1165">
        <v>13000</v>
      </c>
      <c r="G71" s="1165">
        <v>40000</v>
      </c>
    </row>
    <row r="72" spans="1:7" s="1152" customFormat="1" hidden="1">
      <c r="A72" s="1162" t="s">
        <v>2264</v>
      </c>
      <c r="B72" s="1248" t="s">
        <v>2333</v>
      </c>
      <c r="C72" s="37">
        <v>100000</v>
      </c>
      <c r="D72" s="1165">
        <v>26000</v>
      </c>
      <c r="E72" s="1165">
        <f t="shared" si="20"/>
        <v>126000</v>
      </c>
      <c r="F72" s="1165">
        <v>13000</v>
      </c>
      <c r="G72" s="1165">
        <v>40000</v>
      </c>
    </row>
    <row r="73" spans="1:7" s="1152" customFormat="1" hidden="1">
      <c r="A73" s="1162" t="s">
        <v>2264</v>
      </c>
      <c r="B73" s="1248" t="s">
        <v>2397</v>
      </c>
      <c r="C73" s="37">
        <v>90000</v>
      </c>
      <c r="D73" s="1165">
        <v>26000</v>
      </c>
      <c r="E73" s="1165">
        <f t="shared" si="20"/>
        <v>116000</v>
      </c>
      <c r="F73" s="1165">
        <v>13000</v>
      </c>
      <c r="G73" s="1165">
        <v>40000</v>
      </c>
    </row>
    <row r="74" spans="1:7" s="1152" customFormat="1" hidden="1">
      <c r="A74" s="1162" t="s">
        <v>2264</v>
      </c>
      <c r="B74" s="1248" t="s">
        <v>2335</v>
      </c>
      <c r="C74" s="37">
        <v>80000</v>
      </c>
      <c r="D74" s="1165">
        <v>26000</v>
      </c>
      <c r="E74" s="1165">
        <f t="shared" si="20"/>
        <v>106000</v>
      </c>
      <c r="F74" s="1165">
        <v>13000</v>
      </c>
      <c r="G74" s="1165">
        <v>40000</v>
      </c>
    </row>
    <row r="75" spans="1:7" s="1152" customFormat="1" hidden="1">
      <c r="A75" s="3" t="s">
        <v>2314</v>
      </c>
      <c r="B75" s="11" t="s">
        <v>2314</v>
      </c>
      <c r="C75" s="37">
        <v>230000</v>
      </c>
      <c r="D75" s="1165">
        <v>26000</v>
      </c>
      <c r="E75" s="1165">
        <f t="shared" si="20"/>
        <v>256000</v>
      </c>
      <c r="F75" s="1165">
        <v>13000</v>
      </c>
      <c r="G75" s="1165">
        <v>40000</v>
      </c>
    </row>
    <row r="76" spans="1:7" s="1152" customFormat="1" hidden="1">
      <c r="A76" s="3" t="s">
        <v>2314</v>
      </c>
      <c r="B76" s="11" t="s">
        <v>2315</v>
      </c>
      <c r="C76" s="37">
        <v>230000</v>
      </c>
      <c r="D76" s="1165">
        <v>26000</v>
      </c>
      <c r="E76" s="1165">
        <f t="shared" si="20"/>
        <v>256000</v>
      </c>
      <c r="F76" s="1165">
        <v>13000</v>
      </c>
      <c r="G76" s="1165">
        <v>40000</v>
      </c>
    </row>
    <row r="77" spans="1:7" s="1152" customFormat="1" hidden="1">
      <c r="A77" s="1162" t="s">
        <v>2376</v>
      </c>
      <c r="B77" s="1162" t="s">
        <v>2377</v>
      </c>
      <c r="C77" s="1165">
        <v>24000</v>
      </c>
      <c r="D77" s="1165">
        <v>8000</v>
      </c>
      <c r="E77" s="1165">
        <f>+C77+D77</f>
        <v>32000</v>
      </c>
      <c r="F77" s="1165">
        <v>13000</v>
      </c>
      <c r="G77" s="1165">
        <v>40000</v>
      </c>
    </row>
    <row r="78" spans="1:7" s="1152" customFormat="1" hidden="1">
      <c r="A78" s="3" t="s">
        <v>2275</v>
      </c>
      <c r="B78" s="11" t="s">
        <v>2276</v>
      </c>
      <c r="C78" s="1165">
        <v>34000</v>
      </c>
      <c r="D78" s="1165">
        <v>8000</v>
      </c>
      <c r="E78" s="1165">
        <f t="shared" ref="E78:E111" si="21">SUM(C78:D78)</f>
        <v>42000</v>
      </c>
      <c r="F78" s="1165">
        <v>13000</v>
      </c>
      <c r="G78" s="1165">
        <v>40000</v>
      </c>
    </row>
    <row r="79" spans="1:7" s="1152" customFormat="1" hidden="1">
      <c r="A79" s="3" t="s">
        <v>2275</v>
      </c>
      <c r="B79" s="11" t="s">
        <v>2398</v>
      </c>
      <c r="C79" s="1165">
        <v>40000</v>
      </c>
      <c r="D79" s="1165">
        <v>8000</v>
      </c>
      <c r="E79" s="1165">
        <f t="shared" si="21"/>
        <v>48000</v>
      </c>
      <c r="F79" s="1165">
        <v>13000</v>
      </c>
      <c r="G79" s="1165">
        <v>40000</v>
      </c>
    </row>
    <row r="80" spans="1:7" s="1152" customFormat="1" hidden="1">
      <c r="A80" s="3" t="s">
        <v>2279</v>
      </c>
      <c r="B80" s="1244" t="s">
        <v>2280</v>
      </c>
      <c r="C80" s="37">
        <v>102000</v>
      </c>
      <c r="D80" s="1165">
        <v>26000</v>
      </c>
      <c r="E80" s="1165">
        <f t="shared" si="21"/>
        <v>128000</v>
      </c>
      <c r="F80" s="1165">
        <v>13000</v>
      </c>
      <c r="G80" s="1165">
        <v>40000</v>
      </c>
    </row>
    <row r="81" spans="1:7" s="1152" customFormat="1" hidden="1">
      <c r="A81" s="3" t="s">
        <v>2279</v>
      </c>
      <c r="B81" s="11" t="s">
        <v>2281</v>
      </c>
      <c r="C81" s="37">
        <f>212000+25000</f>
        <v>237000</v>
      </c>
      <c r="D81" s="1165">
        <v>26000</v>
      </c>
      <c r="E81" s="1165">
        <f t="shared" si="21"/>
        <v>263000</v>
      </c>
      <c r="F81" s="1165">
        <v>13000</v>
      </c>
      <c r="G81" s="1165">
        <v>40000</v>
      </c>
    </row>
    <row r="82" spans="1:7" s="1152" customFormat="1" hidden="1">
      <c r="A82" s="1162" t="s">
        <v>2279</v>
      </c>
      <c r="B82" s="1248" t="s">
        <v>2339</v>
      </c>
      <c r="C82" s="37">
        <v>80000</v>
      </c>
      <c r="D82" s="1165">
        <v>26000</v>
      </c>
      <c r="E82" s="1165">
        <f t="shared" si="21"/>
        <v>106000</v>
      </c>
      <c r="F82" s="1165">
        <v>13000</v>
      </c>
      <c r="G82" s="1165">
        <v>40000</v>
      </c>
    </row>
    <row r="83" spans="1:7" s="1152" customFormat="1" hidden="1">
      <c r="A83" s="1162" t="s">
        <v>2291</v>
      </c>
      <c r="B83" s="1162" t="s">
        <v>2259</v>
      </c>
      <c r="C83" s="1165">
        <f>36000*2</f>
        <v>72000</v>
      </c>
      <c r="D83" s="1165">
        <v>26000</v>
      </c>
      <c r="E83" s="1165">
        <f t="shared" si="21"/>
        <v>98000</v>
      </c>
      <c r="F83" s="1165">
        <v>13000</v>
      </c>
      <c r="G83" s="1165">
        <v>40000</v>
      </c>
    </row>
    <row r="84" spans="1:7" s="1152" customFormat="1" hidden="1">
      <c r="A84" s="1162" t="s">
        <v>2291</v>
      </c>
      <c r="B84" s="1162" t="s">
        <v>2260</v>
      </c>
      <c r="C84" s="1165">
        <f>45000*2</f>
        <v>90000</v>
      </c>
      <c r="D84" s="1165">
        <v>26000</v>
      </c>
      <c r="E84" s="1165">
        <f t="shared" si="21"/>
        <v>116000</v>
      </c>
      <c r="F84" s="1165">
        <v>13000</v>
      </c>
      <c r="G84" s="1165">
        <v>40000</v>
      </c>
    </row>
    <row r="85" spans="1:7" s="1152" customFormat="1" hidden="1">
      <c r="A85" s="1162" t="s">
        <v>2291</v>
      </c>
      <c r="B85" s="1162" t="s">
        <v>2261</v>
      </c>
      <c r="C85" s="1165">
        <f>45000*2</f>
        <v>90000</v>
      </c>
      <c r="D85" s="1165">
        <v>26000</v>
      </c>
      <c r="E85" s="1165">
        <f t="shared" si="21"/>
        <v>116000</v>
      </c>
      <c r="F85" s="1165">
        <v>13000</v>
      </c>
      <c r="G85" s="1165">
        <v>40000</v>
      </c>
    </row>
    <row r="86" spans="1:7" s="1152" customFormat="1" hidden="1">
      <c r="A86" s="3" t="s">
        <v>2291</v>
      </c>
      <c r="B86" s="11" t="s">
        <v>2259</v>
      </c>
      <c r="C86" s="37">
        <v>98000</v>
      </c>
      <c r="D86" s="1165">
        <v>26000</v>
      </c>
      <c r="E86" s="1165">
        <f t="shared" si="21"/>
        <v>124000</v>
      </c>
      <c r="F86" s="1165">
        <v>13000</v>
      </c>
      <c r="G86" s="1165">
        <v>40000</v>
      </c>
    </row>
    <row r="87" spans="1:7" s="1152" customFormat="1" hidden="1">
      <c r="A87" s="3" t="s">
        <v>2291</v>
      </c>
      <c r="B87" s="11" t="s">
        <v>2260</v>
      </c>
      <c r="C87" s="37">
        <v>116000</v>
      </c>
      <c r="D87" s="1165">
        <v>26000</v>
      </c>
      <c r="E87" s="1165">
        <f t="shared" si="21"/>
        <v>142000</v>
      </c>
      <c r="F87" s="1165">
        <v>13000</v>
      </c>
      <c r="G87" s="1165">
        <v>40000</v>
      </c>
    </row>
    <row r="88" spans="1:7" s="1152" customFormat="1" hidden="1">
      <c r="A88" s="3" t="s">
        <v>2268</v>
      </c>
      <c r="B88" s="1244" t="s">
        <v>2269</v>
      </c>
      <c r="C88" s="37">
        <v>166000</v>
      </c>
      <c r="D88" s="1165">
        <v>26000</v>
      </c>
      <c r="E88" s="1165">
        <f t="shared" si="21"/>
        <v>192000</v>
      </c>
      <c r="F88" s="1165">
        <v>13000</v>
      </c>
      <c r="G88" s="1165">
        <v>40000</v>
      </c>
    </row>
    <row r="89" spans="1:7" s="1152" customFormat="1" hidden="1">
      <c r="A89" s="3" t="s">
        <v>2268</v>
      </c>
      <c r="B89" s="11" t="s">
        <v>2399</v>
      </c>
      <c r="C89" s="37">
        <v>160000</v>
      </c>
      <c r="D89" s="1165">
        <v>26000</v>
      </c>
      <c r="E89" s="1165">
        <f t="shared" si="21"/>
        <v>186000</v>
      </c>
      <c r="F89" s="1165">
        <v>13000</v>
      </c>
      <c r="G89" s="1165">
        <v>40000</v>
      </c>
    </row>
    <row r="90" spans="1:7" s="1152" customFormat="1" hidden="1">
      <c r="A90" s="3" t="s">
        <v>2268</v>
      </c>
      <c r="B90" s="11" t="s">
        <v>2270</v>
      </c>
      <c r="C90" s="37">
        <v>140000</v>
      </c>
      <c r="D90" s="1165">
        <v>26000</v>
      </c>
      <c r="E90" s="1165">
        <f t="shared" si="21"/>
        <v>166000</v>
      </c>
      <c r="F90" s="1165">
        <v>13000</v>
      </c>
      <c r="G90" s="1165">
        <v>40000</v>
      </c>
    </row>
    <row r="91" spans="1:7" s="1152" customFormat="1" hidden="1">
      <c r="A91" s="3" t="s">
        <v>2268</v>
      </c>
      <c r="B91" s="11" t="s">
        <v>2453</v>
      </c>
      <c r="C91" s="37">
        <v>140000</v>
      </c>
      <c r="D91" s="1165">
        <v>26000</v>
      </c>
      <c r="E91" s="1165">
        <f t="shared" si="21"/>
        <v>166000</v>
      </c>
      <c r="F91" s="1165">
        <v>13000</v>
      </c>
      <c r="G91" s="1165">
        <v>40000</v>
      </c>
    </row>
    <row r="92" spans="1:7" s="1152" customFormat="1" hidden="1">
      <c r="A92" s="3" t="s">
        <v>2307</v>
      </c>
      <c r="B92" s="11" t="s">
        <v>2308</v>
      </c>
      <c r="C92" s="37">
        <v>246000</v>
      </c>
      <c r="D92" s="1165">
        <v>26000</v>
      </c>
      <c r="E92" s="1165">
        <f t="shared" si="21"/>
        <v>272000</v>
      </c>
      <c r="F92" s="1165">
        <v>13000</v>
      </c>
      <c r="G92" s="1165">
        <v>40000</v>
      </c>
    </row>
    <row r="93" spans="1:7" s="1152" customFormat="1" hidden="1">
      <c r="A93" s="1162" t="s">
        <v>2307</v>
      </c>
      <c r="B93" s="1248" t="s">
        <v>2349</v>
      </c>
      <c r="C93" s="37">
        <f>160000*2</f>
        <v>320000</v>
      </c>
      <c r="D93" s="1165">
        <v>26000</v>
      </c>
      <c r="E93" s="1165">
        <f t="shared" si="21"/>
        <v>346000</v>
      </c>
      <c r="F93" s="1165">
        <v>13000</v>
      </c>
      <c r="G93" s="1165">
        <v>40000</v>
      </c>
    </row>
    <row r="94" spans="1:7" s="1152" customFormat="1" hidden="1">
      <c r="A94" s="1162" t="s">
        <v>2307</v>
      </c>
      <c r="B94" s="1248" t="s">
        <v>2400</v>
      </c>
      <c r="C94" s="37">
        <v>100000</v>
      </c>
      <c r="D94" s="1165">
        <v>26000</v>
      </c>
      <c r="E94" s="1165">
        <f t="shared" si="21"/>
        <v>126000</v>
      </c>
      <c r="F94" s="1165">
        <v>13000</v>
      </c>
      <c r="G94" s="1165">
        <v>40000</v>
      </c>
    </row>
    <row r="95" spans="1:7" s="1152" customFormat="1" hidden="1">
      <c r="A95" s="3" t="s">
        <v>2316</v>
      </c>
      <c r="B95" s="11" t="s">
        <v>2317</v>
      </c>
      <c r="C95" s="37">
        <v>186000</v>
      </c>
      <c r="D95" s="1165">
        <v>26000</v>
      </c>
      <c r="E95" s="1165">
        <f t="shared" si="21"/>
        <v>212000</v>
      </c>
      <c r="F95" s="1165">
        <v>13000</v>
      </c>
      <c r="G95" s="1165">
        <v>40000</v>
      </c>
    </row>
    <row r="96" spans="1:7" s="1152" customFormat="1" hidden="1">
      <c r="A96" s="3" t="s">
        <v>2316</v>
      </c>
      <c r="B96" s="11" t="s">
        <v>2318</v>
      </c>
      <c r="C96" s="37">
        <v>179000</v>
      </c>
      <c r="D96" s="1165">
        <v>26000</v>
      </c>
      <c r="E96" s="1165">
        <f t="shared" si="21"/>
        <v>205000</v>
      </c>
      <c r="F96" s="1165">
        <v>13000</v>
      </c>
      <c r="G96" s="1165">
        <v>40000</v>
      </c>
    </row>
    <row r="97" spans="1:8" s="1152" customFormat="1" hidden="1">
      <c r="A97" s="1162" t="s">
        <v>2319</v>
      </c>
      <c r="B97" s="1162" t="s">
        <v>2401</v>
      </c>
      <c r="C97" s="1165">
        <f>81000*2</f>
        <v>162000</v>
      </c>
      <c r="D97" s="1165">
        <v>26000</v>
      </c>
      <c r="E97" s="1165">
        <f t="shared" si="21"/>
        <v>188000</v>
      </c>
      <c r="F97" s="1165">
        <v>13000</v>
      </c>
      <c r="G97" s="1165">
        <v>40000</v>
      </c>
    </row>
    <row r="98" spans="1:8" s="1152" customFormat="1" hidden="1">
      <c r="A98" s="3" t="s">
        <v>2319</v>
      </c>
      <c r="B98" s="1244" t="s">
        <v>2250</v>
      </c>
      <c r="C98" s="37">
        <v>106000</v>
      </c>
      <c r="D98" s="1165">
        <v>26000</v>
      </c>
      <c r="E98" s="1165">
        <f t="shared" si="21"/>
        <v>132000</v>
      </c>
      <c r="F98" s="1165">
        <v>13000</v>
      </c>
      <c r="G98" s="1165">
        <v>40000</v>
      </c>
    </row>
    <row r="99" spans="1:8" s="1152" customFormat="1" hidden="1">
      <c r="A99" s="3" t="s">
        <v>2319</v>
      </c>
      <c r="B99" s="11" t="s">
        <v>2320</v>
      </c>
      <c r="C99" s="37">
        <f>166000*2</f>
        <v>332000</v>
      </c>
      <c r="D99" s="1165">
        <v>26000</v>
      </c>
      <c r="E99" s="1165">
        <f t="shared" si="21"/>
        <v>358000</v>
      </c>
      <c r="F99" s="1165">
        <v>13000</v>
      </c>
      <c r="G99" s="1165">
        <v>40000</v>
      </c>
    </row>
    <row r="100" spans="1:8" s="1152" customFormat="1" hidden="1">
      <c r="A100" s="1162" t="s">
        <v>2282</v>
      </c>
      <c r="B100" s="1162" t="s">
        <v>2246</v>
      </c>
      <c r="C100" s="1165">
        <f>60000*2</f>
        <v>120000</v>
      </c>
      <c r="D100" s="1165">
        <v>26000</v>
      </c>
      <c r="E100" s="1165">
        <f t="shared" si="21"/>
        <v>146000</v>
      </c>
      <c r="F100" s="1165">
        <v>13000</v>
      </c>
      <c r="G100" s="1165">
        <v>40000</v>
      </c>
    </row>
    <row r="101" spans="1:8" s="1152" customFormat="1" hidden="1">
      <c r="A101" s="3" t="s">
        <v>2282</v>
      </c>
      <c r="B101" s="11" t="s">
        <v>2246</v>
      </c>
      <c r="C101" s="37">
        <v>146000</v>
      </c>
      <c r="D101" s="1165">
        <v>26000</v>
      </c>
      <c r="E101" s="1165">
        <f t="shared" si="21"/>
        <v>172000</v>
      </c>
      <c r="F101" s="1165">
        <v>13000</v>
      </c>
      <c r="G101" s="1165">
        <v>40000</v>
      </c>
    </row>
    <row r="102" spans="1:8" s="1152" customFormat="1" hidden="1">
      <c r="A102" s="3" t="s">
        <v>2282</v>
      </c>
      <c r="B102" s="11" t="s">
        <v>2283</v>
      </c>
      <c r="C102" s="37">
        <f>40000+20000</f>
        <v>60000</v>
      </c>
      <c r="D102" s="1165">
        <v>26000</v>
      </c>
      <c r="E102" s="1165">
        <f t="shared" si="21"/>
        <v>86000</v>
      </c>
      <c r="F102" s="1165">
        <v>13000</v>
      </c>
      <c r="G102" s="1165">
        <v>40000</v>
      </c>
    </row>
    <row r="103" spans="1:8" s="1152" customFormat="1" hidden="1">
      <c r="A103" s="3" t="s">
        <v>2322</v>
      </c>
      <c r="B103" s="11" t="s">
        <v>2323</v>
      </c>
      <c r="C103" s="1247">
        <v>246000</v>
      </c>
      <c r="D103" s="1165">
        <v>26000</v>
      </c>
      <c r="E103" s="1165">
        <f t="shared" si="21"/>
        <v>272000</v>
      </c>
      <c r="F103" s="1165">
        <v>13000</v>
      </c>
      <c r="G103" s="1165">
        <v>40000</v>
      </c>
    </row>
    <row r="104" spans="1:8" s="1152" customFormat="1" hidden="1">
      <c r="A104" s="3" t="s">
        <v>2322</v>
      </c>
      <c r="B104" s="11" t="s">
        <v>2324</v>
      </c>
      <c r="C104" s="37">
        <v>292000</v>
      </c>
      <c r="D104" s="1165">
        <v>26000</v>
      </c>
      <c r="E104" s="1165">
        <f t="shared" si="21"/>
        <v>318000</v>
      </c>
      <c r="F104" s="1165">
        <v>13000</v>
      </c>
      <c r="G104" s="1165">
        <v>40000</v>
      </c>
    </row>
    <row r="105" spans="1:8" s="1152" customFormat="1" hidden="1">
      <c r="A105" s="3" t="s">
        <v>2322</v>
      </c>
      <c r="B105" s="1248" t="s">
        <v>2334</v>
      </c>
      <c r="C105" s="37">
        <v>1600000</v>
      </c>
      <c r="D105" s="1165">
        <v>26000</v>
      </c>
      <c r="E105" s="1165">
        <f t="shared" si="21"/>
        <v>1626000</v>
      </c>
      <c r="F105" s="1165">
        <v>13000</v>
      </c>
      <c r="G105" s="1165">
        <v>40000</v>
      </c>
    </row>
    <row r="106" spans="1:8" s="1152" customFormat="1" hidden="1">
      <c r="A106" s="3" t="s">
        <v>2322</v>
      </c>
      <c r="B106" s="1248" t="s">
        <v>2336</v>
      </c>
      <c r="C106" s="37">
        <f>120000*2</f>
        <v>240000</v>
      </c>
      <c r="D106" s="1165">
        <v>26000</v>
      </c>
      <c r="E106" s="1165">
        <f t="shared" si="21"/>
        <v>266000</v>
      </c>
      <c r="F106" s="1165">
        <v>13000</v>
      </c>
      <c r="G106" s="1165">
        <v>40000</v>
      </c>
    </row>
    <row r="107" spans="1:8" s="1152" customFormat="1" hidden="1">
      <c r="A107" s="3" t="s">
        <v>2322</v>
      </c>
      <c r="B107" s="1248" t="s">
        <v>2337</v>
      </c>
      <c r="C107" s="37">
        <v>260000</v>
      </c>
      <c r="D107" s="1165">
        <v>26000</v>
      </c>
      <c r="E107" s="1165">
        <f t="shared" si="21"/>
        <v>286000</v>
      </c>
      <c r="F107" s="1165">
        <v>13000</v>
      </c>
      <c r="G107" s="1165">
        <v>40000</v>
      </c>
    </row>
    <row r="108" spans="1:8" s="1152" customFormat="1" hidden="1">
      <c r="A108" s="3" t="s">
        <v>2284</v>
      </c>
      <c r="B108" s="11" t="s">
        <v>2247</v>
      </c>
      <c r="C108" s="37">
        <v>164000</v>
      </c>
      <c r="D108" s="1165">
        <v>26000</v>
      </c>
      <c r="E108" s="1165">
        <f t="shared" si="21"/>
        <v>190000</v>
      </c>
      <c r="F108" s="1165">
        <v>13000</v>
      </c>
      <c r="G108" s="1165">
        <v>40000</v>
      </c>
    </row>
    <row r="109" spans="1:8" s="1152" customFormat="1" hidden="1">
      <c r="A109" s="3" t="s">
        <v>2284</v>
      </c>
      <c r="B109" s="11" t="s">
        <v>2402</v>
      </c>
      <c r="C109" s="37">
        <v>120000</v>
      </c>
      <c r="D109" s="1165">
        <v>26000</v>
      </c>
      <c r="E109" s="1165">
        <f t="shared" si="21"/>
        <v>146000</v>
      </c>
      <c r="F109" s="1165">
        <v>13000</v>
      </c>
      <c r="G109" s="1165">
        <v>40000</v>
      </c>
    </row>
    <row r="110" spans="1:8" s="1152" customFormat="1" hidden="1">
      <c r="A110" s="3" t="s">
        <v>2284</v>
      </c>
      <c r="B110" s="11" t="s">
        <v>2285</v>
      </c>
      <c r="C110" s="37">
        <v>55000</v>
      </c>
      <c r="D110" s="1165">
        <v>26000</v>
      </c>
      <c r="E110" s="1165">
        <f t="shared" si="21"/>
        <v>81000</v>
      </c>
      <c r="F110" s="1165">
        <v>13000</v>
      </c>
      <c r="G110" s="1165">
        <v>40000</v>
      </c>
    </row>
    <row r="111" spans="1:8" s="1152" customFormat="1" hidden="1">
      <c r="A111" s="1162" t="s">
        <v>2284</v>
      </c>
      <c r="B111" s="1248" t="s">
        <v>2342</v>
      </c>
      <c r="C111" s="37">
        <v>180000</v>
      </c>
      <c r="D111" s="1165">
        <v>26000</v>
      </c>
      <c r="E111" s="1165">
        <f t="shared" si="21"/>
        <v>206000</v>
      </c>
      <c r="F111" s="1165">
        <v>13000</v>
      </c>
      <c r="G111" s="1165">
        <v>40000</v>
      </c>
    </row>
    <row r="112" spans="1:8" s="1152" customFormat="1" hidden="1">
      <c r="A112" s="3" t="s">
        <v>2292</v>
      </c>
      <c r="B112" s="3" t="s">
        <v>2403</v>
      </c>
      <c r="C112" s="1247">
        <f>10200*2</f>
        <v>20400</v>
      </c>
      <c r="D112" s="1165">
        <v>16001</v>
      </c>
      <c r="E112" s="37">
        <f>+C112+D112</f>
        <v>36401</v>
      </c>
      <c r="F112" s="37">
        <v>13000</v>
      </c>
      <c r="G112" s="37">
        <v>400000</v>
      </c>
      <c r="H112" s="1255"/>
    </row>
    <row r="113" spans="1:8" s="1152" customFormat="1" hidden="1">
      <c r="A113" s="3" t="s">
        <v>2292</v>
      </c>
      <c r="B113" s="3" t="s">
        <v>2404</v>
      </c>
      <c r="C113" s="1247">
        <f>7500*2</f>
        <v>15000</v>
      </c>
      <c r="D113" s="1165">
        <v>16006</v>
      </c>
      <c r="E113" s="37">
        <f>+C113+D113</f>
        <v>31006</v>
      </c>
      <c r="F113" s="37">
        <v>13000</v>
      </c>
      <c r="G113" s="37">
        <v>400000</v>
      </c>
      <c r="H113" s="1256"/>
    </row>
    <row r="114" spans="1:8" s="1152" customFormat="1" hidden="1">
      <c r="A114" s="3" t="s">
        <v>2292</v>
      </c>
      <c r="B114" s="1162" t="s">
        <v>2405</v>
      </c>
      <c r="C114" s="1258">
        <f>7600*2</f>
        <v>15200</v>
      </c>
      <c r="D114" s="1165">
        <v>16000</v>
      </c>
      <c r="E114" s="1165">
        <f>SUM(C114:D114)</f>
        <v>31200</v>
      </c>
      <c r="F114" s="1165">
        <v>13000</v>
      </c>
      <c r="G114" s="1165">
        <v>40000</v>
      </c>
      <c r="H114" s="1256"/>
    </row>
    <row r="115" spans="1:8" s="1152" customFormat="1" hidden="1">
      <c r="A115" s="3" t="s">
        <v>2292</v>
      </c>
      <c r="B115" s="1162" t="s">
        <v>2406</v>
      </c>
      <c r="C115" s="1258">
        <f>7800*2</f>
        <v>15600</v>
      </c>
      <c r="D115" s="1165">
        <v>16000</v>
      </c>
      <c r="E115" s="1165">
        <f>SUM(C115:D115)</f>
        <v>31600</v>
      </c>
      <c r="F115" s="1165">
        <v>13000</v>
      </c>
      <c r="G115" s="1165">
        <v>40000</v>
      </c>
      <c r="H115" s="1256"/>
    </row>
    <row r="116" spans="1:8" s="1152" customFormat="1" hidden="1">
      <c r="A116" s="1162" t="s">
        <v>2292</v>
      </c>
      <c r="B116" s="1248" t="s">
        <v>2407</v>
      </c>
      <c r="C116" s="37">
        <v>120000</v>
      </c>
      <c r="D116" s="1165">
        <v>26000</v>
      </c>
      <c r="E116" s="1165">
        <f>SUM(C116:D116)</f>
        <v>146000</v>
      </c>
      <c r="F116" s="1165">
        <v>13000</v>
      </c>
      <c r="G116" s="1165">
        <v>40000</v>
      </c>
    </row>
    <row r="117" spans="1:8" s="1152" customFormat="1" hidden="1">
      <c r="A117" s="3" t="s">
        <v>2292</v>
      </c>
      <c r="B117" s="1162" t="s">
        <v>2248</v>
      </c>
      <c r="C117" s="1258">
        <f>6500*2</f>
        <v>13000</v>
      </c>
      <c r="D117" s="1165">
        <v>16000</v>
      </c>
      <c r="E117" s="1165">
        <f>SUM(C117:D117)</f>
        <v>29000</v>
      </c>
      <c r="F117" s="1165">
        <v>13000</v>
      </c>
      <c r="G117" s="1165">
        <v>40000</v>
      </c>
    </row>
    <row r="118" spans="1:8" s="1152" customFormat="1" hidden="1">
      <c r="A118" s="3" t="s">
        <v>2292</v>
      </c>
      <c r="B118" s="3" t="s">
        <v>2408</v>
      </c>
      <c r="C118" s="1247">
        <f>12300*2</f>
        <v>24600</v>
      </c>
      <c r="D118" s="1165">
        <v>16000</v>
      </c>
      <c r="E118" s="37">
        <f>+C118+D118</f>
        <v>40600</v>
      </c>
      <c r="F118" s="37">
        <v>13000</v>
      </c>
      <c r="G118" s="37">
        <v>400000</v>
      </c>
    </row>
    <row r="119" spans="1:8" s="1152" customFormat="1" hidden="1">
      <c r="A119" s="3" t="s">
        <v>2292</v>
      </c>
      <c r="B119" s="3" t="s">
        <v>2409</v>
      </c>
      <c r="C119" s="1247">
        <f>39000*2</f>
        <v>78000</v>
      </c>
      <c r="D119" s="1165">
        <v>16014</v>
      </c>
      <c r="E119" s="37">
        <f>+C119+D119</f>
        <v>94014</v>
      </c>
      <c r="F119" s="37">
        <v>13000</v>
      </c>
      <c r="G119" s="37">
        <v>400000</v>
      </c>
    </row>
    <row r="120" spans="1:8" s="1152" customFormat="1" hidden="1">
      <c r="A120" s="3" t="s">
        <v>2292</v>
      </c>
      <c r="B120" s="1162" t="s">
        <v>2410</v>
      </c>
      <c r="C120" s="1258">
        <f>62500*2</f>
        <v>125000</v>
      </c>
      <c r="D120" s="1165">
        <v>16000</v>
      </c>
      <c r="E120" s="1165">
        <f>SUM(C120:D120)</f>
        <v>141000</v>
      </c>
      <c r="F120" s="1165">
        <v>13000</v>
      </c>
      <c r="G120" s="1165">
        <v>40000</v>
      </c>
    </row>
    <row r="121" spans="1:8" s="1152" customFormat="1" hidden="1">
      <c r="A121" s="3" t="s">
        <v>2292</v>
      </c>
      <c r="B121" s="3" t="s">
        <v>2411</v>
      </c>
      <c r="C121" s="1247">
        <f>34200*2</f>
        <v>68400</v>
      </c>
      <c r="D121" s="1165">
        <v>16016</v>
      </c>
      <c r="E121" s="37">
        <f>+C121+D121</f>
        <v>84416</v>
      </c>
      <c r="F121" s="37">
        <v>13000</v>
      </c>
      <c r="G121" s="37">
        <v>400000</v>
      </c>
    </row>
    <row r="122" spans="1:8" s="1152" customFormat="1" hidden="1">
      <c r="A122" s="1162" t="s">
        <v>2292</v>
      </c>
      <c r="B122" s="1162" t="s">
        <v>2258</v>
      </c>
      <c r="C122" s="1165">
        <v>26000</v>
      </c>
      <c r="D122" s="1165">
        <v>16000</v>
      </c>
      <c r="E122" s="1165">
        <f>SUM(C122:D122)</f>
        <v>42000</v>
      </c>
      <c r="F122" s="1165">
        <v>13000</v>
      </c>
      <c r="G122" s="1165">
        <v>40000</v>
      </c>
    </row>
    <row r="123" spans="1:8" s="1152" customFormat="1" hidden="1">
      <c r="A123" s="3" t="s">
        <v>2292</v>
      </c>
      <c r="B123" s="11" t="s">
        <v>2378</v>
      </c>
      <c r="C123" s="37">
        <f>5500*2</f>
        <v>11000</v>
      </c>
      <c r="D123" s="1165">
        <v>8000</v>
      </c>
      <c r="E123" s="1165">
        <f>SUM(C123:D123)</f>
        <v>19000</v>
      </c>
      <c r="F123" s="1165">
        <v>13000</v>
      </c>
      <c r="G123" s="1165">
        <v>40000</v>
      </c>
    </row>
    <row r="124" spans="1:8" s="1152" customFormat="1" hidden="1">
      <c r="A124" s="1162" t="s">
        <v>2292</v>
      </c>
      <c r="B124" s="1248" t="s">
        <v>2338</v>
      </c>
      <c r="C124" s="37">
        <v>40000</v>
      </c>
      <c r="D124" s="1165">
        <v>26000</v>
      </c>
      <c r="E124" s="1165">
        <f>SUM(C124:D124)</f>
        <v>66000</v>
      </c>
      <c r="F124" s="1165">
        <v>13000</v>
      </c>
      <c r="G124" s="1165">
        <v>40000</v>
      </c>
    </row>
    <row r="125" spans="1:8" s="1152" customFormat="1" hidden="1">
      <c r="A125" s="3" t="s">
        <v>2292</v>
      </c>
      <c r="B125" s="3" t="s">
        <v>2412</v>
      </c>
      <c r="C125" s="1247">
        <f>48100*2</f>
        <v>96200</v>
      </c>
      <c r="D125" s="1165">
        <v>16022</v>
      </c>
      <c r="E125" s="37">
        <f>+C125+D125</f>
        <v>112222</v>
      </c>
      <c r="F125" s="37">
        <v>13000</v>
      </c>
      <c r="G125" s="37">
        <v>400000</v>
      </c>
    </row>
    <row r="126" spans="1:8" s="1152" customFormat="1" hidden="1">
      <c r="A126" s="3" t="s">
        <v>2292</v>
      </c>
      <c r="B126" s="11" t="s">
        <v>2413</v>
      </c>
      <c r="C126" s="37">
        <f>27700*2</f>
        <v>55400</v>
      </c>
      <c r="D126" s="1165">
        <v>8000</v>
      </c>
      <c r="E126" s="1165">
        <f>SUM(C126:D126)</f>
        <v>63400</v>
      </c>
      <c r="F126" s="1165">
        <v>13000</v>
      </c>
      <c r="G126" s="1165">
        <v>40000</v>
      </c>
    </row>
    <row r="127" spans="1:8" s="1152" customFormat="1" hidden="1">
      <c r="A127" s="3" t="s">
        <v>2292</v>
      </c>
      <c r="B127" s="1162" t="s">
        <v>2414</v>
      </c>
      <c r="C127" s="1247">
        <f>34200*2</f>
        <v>68400</v>
      </c>
      <c r="D127" s="1165">
        <v>16000</v>
      </c>
      <c r="E127" s="1165">
        <f>SUM(C127:D127)</f>
        <v>84400</v>
      </c>
      <c r="F127" s="1165">
        <v>13000</v>
      </c>
      <c r="G127" s="1165">
        <v>40000</v>
      </c>
    </row>
    <row r="128" spans="1:8" s="1152" customFormat="1" hidden="1">
      <c r="A128" s="3" t="s">
        <v>2292</v>
      </c>
      <c r="B128" s="3" t="s">
        <v>2415</v>
      </c>
      <c r="C128" s="1247">
        <f>41300*2</f>
        <v>82600</v>
      </c>
      <c r="D128" s="1165">
        <v>16020</v>
      </c>
      <c r="E128" s="37">
        <f>+C128+D128</f>
        <v>98620</v>
      </c>
      <c r="F128" s="37">
        <v>13000</v>
      </c>
      <c r="G128" s="37">
        <v>400000</v>
      </c>
    </row>
    <row r="129" spans="1:40" s="1152" customFormat="1" hidden="1">
      <c r="A129" s="3" t="s">
        <v>2292</v>
      </c>
      <c r="B129" s="11" t="s">
        <v>2294</v>
      </c>
      <c r="C129" s="37">
        <v>120000</v>
      </c>
      <c r="D129" s="1165">
        <v>26000</v>
      </c>
      <c r="E129" s="1165">
        <f>SUM(C129:D129)</f>
        <v>146000</v>
      </c>
      <c r="F129" s="1165">
        <v>13000</v>
      </c>
      <c r="G129" s="1165">
        <v>40000</v>
      </c>
    </row>
    <row r="130" spans="1:40" s="1152" customFormat="1" hidden="1">
      <c r="A130" s="3" t="s">
        <v>2292</v>
      </c>
      <c r="B130" s="1162" t="s">
        <v>2416</v>
      </c>
      <c r="C130" s="1258">
        <f>50500*2</f>
        <v>101000</v>
      </c>
      <c r="D130" s="1165">
        <v>16000</v>
      </c>
      <c r="E130" s="1165">
        <f>SUM(C130:D130)</f>
        <v>117000</v>
      </c>
      <c r="F130" s="1165">
        <v>13000</v>
      </c>
      <c r="G130" s="1165">
        <v>40000</v>
      </c>
      <c r="H130"/>
      <c r="I130"/>
      <c r="J130"/>
      <c r="K130"/>
      <c r="L130"/>
      <c r="M130"/>
      <c r="N130"/>
      <c r="O130"/>
      <c r="P130"/>
      <c r="Q130"/>
      <c r="R130"/>
      <c r="S130"/>
      <c r="T130"/>
      <c r="U130"/>
      <c r="V130"/>
      <c r="W130"/>
      <c r="X130"/>
      <c r="Y130"/>
      <c r="Z130"/>
      <c r="AA130"/>
      <c r="AB130"/>
      <c r="AC130"/>
      <c r="AD130"/>
      <c r="AE130"/>
      <c r="AF130"/>
      <c r="AG130"/>
      <c r="AH130"/>
      <c r="AI130"/>
      <c r="AJ130"/>
      <c r="AK130"/>
      <c r="AL130"/>
      <c r="AM130"/>
      <c r="AN130"/>
    </row>
    <row r="131" spans="1:40" s="1152" customFormat="1" hidden="1">
      <c r="A131" s="3" t="s">
        <v>2292</v>
      </c>
      <c r="B131" s="1162" t="s">
        <v>2417</v>
      </c>
      <c r="C131" s="1258">
        <f>38900*2</f>
        <v>77800</v>
      </c>
      <c r="D131" s="1165">
        <v>16000</v>
      </c>
      <c r="E131" s="1165">
        <f>SUM(C131:D131)</f>
        <v>93800</v>
      </c>
      <c r="F131" s="1165">
        <v>13000</v>
      </c>
      <c r="G131" s="1165">
        <v>40000</v>
      </c>
      <c r="H131"/>
      <c r="I131"/>
      <c r="J131"/>
      <c r="K131"/>
      <c r="L131"/>
      <c r="M131"/>
      <c r="N131"/>
      <c r="O131"/>
      <c r="P131"/>
      <c r="Q131"/>
      <c r="R131"/>
      <c r="S131"/>
      <c r="T131"/>
      <c r="U131"/>
      <c r="V131"/>
      <c r="W131"/>
      <c r="X131"/>
      <c r="Y131"/>
      <c r="Z131"/>
      <c r="AA131"/>
      <c r="AB131"/>
      <c r="AC131"/>
      <c r="AD131"/>
      <c r="AE131"/>
      <c r="AF131"/>
      <c r="AG131"/>
      <c r="AH131"/>
      <c r="AI131"/>
      <c r="AJ131"/>
      <c r="AK131"/>
      <c r="AL131"/>
      <c r="AM131"/>
      <c r="AN131"/>
    </row>
    <row r="132" spans="1:40" s="1152" customFormat="1" hidden="1">
      <c r="A132" s="3" t="s">
        <v>2292</v>
      </c>
      <c r="B132" s="1162" t="s">
        <v>2418</v>
      </c>
      <c r="C132" s="1258">
        <f>55100*2</f>
        <v>110200</v>
      </c>
      <c r="D132" s="1165">
        <v>16000</v>
      </c>
      <c r="E132" s="1165">
        <f>SUM(C132:D132)</f>
        <v>126200</v>
      </c>
      <c r="F132" s="1165">
        <v>13000</v>
      </c>
      <c r="G132" s="1165">
        <v>40000</v>
      </c>
      <c r="H132"/>
      <c r="I132"/>
      <c r="J132"/>
      <c r="K132"/>
      <c r="L132"/>
      <c r="M132"/>
      <c r="N132"/>
      <c r="O132"/>
      <c r="P132"/>
      <c r="Q132"/>
      <c r="R132"/>
      <c r="S132"/>
      <c r="T132"/>
      <c r="U132"/>
      <c r="V132"/>
      <c r="W132"/>
      <c r="X132"/>
      <c r="Y132"/>
      <c r="Z132"/>
      <c r="AA132"/>
      <c r="AB132"/>
      <c r="AC132"/>
      <c r="AD132"/>
      <c r="AE132"/>
      <c r="AF132"/>
      <c r="AG132"/>
      <c r="AH132"/>
      <c r="AI132"/>
      <c r="AJ132"/>
      <c r="AK132"/>
      <c r="AL132"/>
      <c r="AM132"/>
      <c r="AN132"/>
    </row>
    <row r="133" spans="1:40" s="1152" customFormat="1" hidden="1">
      <c r="A133" s="3" t="s">
        <v>2292</v>
      </c>
      <c r="B133" s="3" t="s">
        <v>2419</v>
      </c>
      <c r="C133" s="1247">
        <f>34200*2</f>
        <v>68400</v>
      </c>
      <c r="D133" s="1165">
        <v>16018</v>
      </c>
      <c r="E133" s="37">
        <f>+C133+D133</f>
        <v>84418</v>
      </c>
      <c r="F133" s="37">
        <v>13000</v>
      </c>
      <c r="G133" s="37">
        <v>400000</v>
      </c>
      <c r="H133"/>
      <c r="I133"/>
      <c r="J133"/>
      <c r="K133"/>
      <c r="L133"/>
      <c r="M133"/>
      <c r="N133"/>
      <c r="O133"/>
      <c r="P133"/>
      <c r="Q133"/>
      <c r="R133"/>
      <c r="S133"/>
      <c r="T133"/>
      <c r="U133"/>
      <c r="V133"/>
      <c r="W133"/>
      <c r="X133"/>
      <c r="Y133"/>
      <c r="Z133"/>
      <c r="AA133"/>
      <c r="AB133"/>
      <c r="AC133"/>
      <c r="AD133"/>
      <c r="AE133"/>
      <c r="AF133"/>
      <c r="AG133"/>
      <c r="AH133"/>
      <c r="AI133"/>
      <c r="AJ133"/>
      <c r="AK133"/>
      <c r="AL133"/>
      <c r="AM133"/>
      <c r="AN133"/>
    </row>
    <row r="134" spans="1:40" s="1152" customFormat="1" hidden="1">
      <c r="A134" s="3" t="s">
        <v>2292</v>
      </c>
      <c r="B134" s="3" t="s">
        <v>2420</v>
      </c>
      <c r="C134" s="1247">
        <f>8200*2</f>
        <v>16400</v>
      </c>
      <c r="D134" s="1165">
        <v>16023</v>
      </c>
      <c r="E134" s="37">
        <f>+C134+D134</f>
        <v>32423</v>
      </c>
      <c r="F134" s="37">
        <v>13000</v>
      </c>
      <c r="G134" s="37">
        <v>400000</v>
      </c>
      <c r="H134"/>
      <c r="I134"/>
      <c r="J134"/>
      <c r="K134"/>
      <c r="L134"/>
      <c r="M134"/>
      <c r="N134"/>
      <c r="O134"/>
      <c r="P134"/>
      <c r="Q134"/>
      <c r="R134"/>
      <c r="S134"/>
      <c r="T134"/>
      <c r="U134"/>
      <c r="V134"/>
      <c r="W134"/>
      <c r="X134"/>
      <c r="Y134"/>
      <c r="Z134"/>
      <c r="AA134"/>
      <c r="AB134"/>
      <c r="AC134"/>
      <c r="AD134"/>
      <c r="AE134"/>
      <c r="AF134"/>
      <c r="AG134"/>
      <c r="AH134"/>
      <c r="AI134"/>
      <c r="AJ134"/>
      <c r="AK134"/>
      <c r="AL134"/>
      <c r="AM134"/>
      <c r="AN134"/>
    </row>
    <row r="135" spans="1:40" s="1152" customFormat="1" hidden="1">
      <c r="A135" s="3" t="s">
        <v>2292</v>
      </c>
      <c r="B135" s="3" t="s">
        <v>2421</v>
      </c>
      <c r="C135" s="1247">
        <f>5300*2</f>
        <v>10600</v>
      </c>
      <c r="D135" s="1165">
        <v>16005</v>
      </c>
      <c r="E135" s="37">
        <f>+C135+D135</f>
        <v>26605</v>
      </c>
      <c r="F135" s="37">
        <v>13000</v>
      </c>
      <c r="G135" s="37">
        <v>400000</v>
      </c>
      <c r="H135"/>
      <c r="I135"/>
      <c r="J135"/>
      <c r="K135"/>
      <c r="L135"/>
      <c r="M135"/>
      <c r="N135"/>
      <c r="O135"/>
      <c r="P135"/>
      <c r="Q135"/>
      <c r="R135"/>
      <c r="S135"/>
      <c r="T135"/>
      <c r="U135"/>
      <c r="V135"/>
      <c r="W135"/>
      <c r="X135"/>
      <c r="Y135"/>
      <c r="Z135"/>
      <c r="AA135"/>
      <c r="AB135"/>
      <c r="AC135"/>
      <c r="AD135"/>
      <c r="AE135"/>
      <c r="AF135"/>
      <c r="AG135"/>
      <c r="AH135"/>
      <c r="AI135"/>
      <c r="AJ135"/>
      <c r="AK135"/>
      <c r="AL135"/>
      <c r="AM135"/>
      <c r="AN135"/>
    </row>
    <row r="136" spans="1:40" s="1152" customFormat="1" hidden="1">
      <c r="A136" s="3" t="s">
        <v>2292</v>
      </c>
      <c r="B136" s="3" t="s">
        <v>2422</v>
      </c>
      <c r="C136" s="1247">
        <f>11000*2</f>
        <v>22000</v>
      </c>
      <c r="D136" s="1165">
        <v>16009</v>
      </c>
      <c r="E136" s="37">
        <f>+C136+D136</f>
        <v>38009</v>
      </c>
      <c r="F136" s="37">
        <v>13000</v>
      </c>
      <c r="G136" s="37">
        <v>400000</v>
      </c>
      <c r="H136"/>
      <c r="I136"/>
      <c r="J136"/>
      <c r="K136"/>
      <c r="L136"/>
      <c r="M136"/>
      <c r="N136"/>
      <c r="O136"/>
      <c r="P136"/>
      <c r="Q136"/>
      <c r="R136"/>
      <c r="S136"/>
      <c r="T136"/>
      <c r="U136"/>
      <c r="V136"/>
      <c r="W136"/>
      <c r="X136"/>
      <c r="Y136"/>
      <c r="Z136"/>
      <c r="AA136"/>
      <c r="AB136"/>
      <c r="AC136"/>
      <c r="AD136"/>
      <c r="AE136"/>
      <c r="AF136"/>
      <c r="AG136"/>
      <c r="AH136"/>
      <c r="AI136"/>
      <c r="AJ136"/>
      <c r="AK136"/>
      <c r="AL136"/>
      <c r="AM136"/>
      <c r="AN136"/>
    </row>
    <row r="137" spans="1:40" s="1152" customFormat="1" hidden="1">
      <c r="A137" s="3" t="s">
        <v>2292</v>
      </c>
      <c r="B137" s="3" t="s">
        <v>2423</v>
      </c>
      <c r="C137" s="1247">
        <f>24900*2</f>
        <v>49800</v>
      </c>
      <c r="D137" s="1165">
        <v>16029</v>
      </c>
      <c r="E137" s="37">
        <f>+C137+D137</f>
        <v>65829</v>
      </c>
      <c r="F137" s="37">
        <v>13000</v>
      </c>
      <c r="G137" s="37">
        <v>400000</v>
      </c>
      <c r="H137"/>
      <c r="I137"/>
      <c r="J137"/>
      <c r="K137"/>
      <c r="L137"/>
      <c r="M137"/>
      <c r="N137"/>
      <c r="O137"/>
      <c r="P137"/>
      <c r="Q137"/>
      <c r="R137"/>
      <c r="S137"/>
      <c r="T137"/>
      <c r="U137"/>
      <c r="V137"/>
      <c r="W137"/>
      <c r="X137"/>
      <c r="Y137"/>
      <c r="Z137"/>
      <c r="AA137"/>
      <c r="AB137"/>
      <c r="AC137"/>
      <c r="AD137"/>
      <c r="AE137"/>
      <c r="AF137"/>
      <c r="AG137"/>
      <c r="AH137"/>
      <c r="AI137"/>
      <c r="AJ137"/>
      <c r="AK137"/>
      <c r="AL137"/>
      <c r="AM137"/>
      <c r="AN137"/>
    </row>
    <row r="138" spans="1:40" s="1152" customFormat="1" hidden="1">
      <c r="A138" s="3" t="s">
        <v>2292</v>
      </c>
      <c r="B138" s="1162" t="s">
        <v>2424</v>
      </c>
      <c r="C138" s="1258">
        <f>29900*2</f>
        <v>59800</v>
      </c>
      <c r="D138" s="1165">
        <v>16000</v>
      </c>
      <c r="E138" s="1165">
        <f>SUM(C138:D138)</f>
        <v>75800</v>
      </c>
      <c r="F138" s="1165">
        <v>13000</v>
      </c>
      <c r="G138" s="1165">
        <v>40000</v>
      </c>
      <c r="H138"/>
      <c r="I138"/>
      <c r="J138"/>
      <c r="K138"/>
      <c r="L138"/>
      <c r="M138"/>
      <c r="N138"/>
      <c r="O138"/>
      <c r="P138"/>
      <c r="Q138"/>
      <c r="R138"/>
      <c r="S138"/>
      <c r="T138"/>
      <c r="U138"/>
      <c r="V138"/>
      <c r="W138"/>
      <c r="X138"/>
      <c r="Y138"/>
      <c r="Z138"/>
      <c r="AA138"/>
      <c r="AB138"/>
      <c r="AC138"/>
      <c r="AD138"/>
      <c r="AE138"/>
      <c r="AF138"/>
      <c r="AG138"/>
      <c r="AH138"/>
      <c r="AI138"/>
      <c r="AJ138"/>
      <c r="AK138"/>
      <c r="AL138"/>
      <c r="AM138"/>
      <c r="AN138"/>
    </row>
    <row r="139" spans="1:40" s="1152" customFormat="1" hidden="1">
      <c r="A139" s="3" t="s">
        <v>2292</v>
      </c>
      <c r="B139" s="3" t="s">
        <v>2425</v>
      </c>
      <c r="C139" s="1247">
        <f>15200*2</f>
        <v>30400</v>
      </c>
      <c r="D139" s="1165">
        <v>16026</v>
      </c>
      <c r="E139" s="37">
        <f t="shared" ref="E139:E150" si="22">+C139+D139</f>
        <v>46426</v>
      </c>
      <c r="F139" s="37">
        <v>13000</v>
      </c>
      <c r="G139" s="37">
        <v>400000</v>
      </c>
      <c r="H139"/>
      <c r="I139"/>
      <c r="J139"/>
      <c r="K139"/>
      <c r="L139"/>
      <c r="M139"/>
      <c r="N139"/>
      <c r="O139"/>
      <c r="P139"/>
      <c r="Q139"/>
      <c r="R139"/>
      <c r="S139"/>
      <c r="T139"/>
      <c r="U139"/>
      <c r="V139"/>
      <c r="W139"/>
      <c r="X139"/>
      <c r="Y139"/>
      <c r="Z139"/>
      <c r="AA139"/>
      <c r="AB139"/>
      <c r="AC139"/>
      <c r="AD139"/>
      <c r="AE139"/>
      <c r="AF139"/>
      <c r="AG139"/>
      <c r="AH139"/>
      <c r="AI139"/>
      <c r="AJ139"/>
      <c r="AK139"/>
      <c r="AL139"/>
      <c r="AM139"/>
      <c r="AN139"/>
    </row>
    <row r="140" spans="1:40" s="1152" customFormat="1" hidden="1">
      <c r="A140" s="3" t="s">
        <v>2292</v>
      </c>
      <c r="B140" s="3" t="s">
        <v>2426</v>
      </c>
      <c r="C140" s="1247">
        <f>12300*2</f>
        <v>24600</v>
      </c>
      <c r="D140" s="1165">
        <v>16003</v>
      </c>
      <c r="E140" s="37">
        <f t="shared" si="22"/>
        <v>40603</v>
      </c>
      <c r="F140" s="37">
        <v>13000</v>
      </c>
      <c r="G140" s="37">
        <v>400000</v>
      </c>
      <c r="H140"/>
      <c r="I140"/>
      <c r="J140"/>
      <c r="K140"/>
      <c r="L140"/>
      <c r="M140"/>
      <c r="N140"/>
      <c r="O140"/>
      <c r="P140"/>
      <c r="Q140"/>
      <c r="R140"/>
      <c r="S140"/>
      <c r="T140"/>
      <c r="U140"/>
      <c r="V140"/>
      <c r="W140"/>
      <c r="X140"/>
      <c r="Y140"/>
      <c r="Z140"/>
      <c r="AA140"/>
      <c r="AB140"/>
      <c r="AC140"/>
      <c r="AD140"/>
      <c r="AE140"/>
      <c r="AF140"/>
      <c r="AG140"/>
      <c r="AH140"/>
      <c r="AI140"/>
      <c r="AJ140"/>
      <c r="AK140"/>
      <c r="AL140"/>
      <c r="AM140"/>
      <c r="AN140"/>
    </row>
    <row r="141" spans="1:40" s="1152" customFormat="1" hidden="1">
      <c r="A141" s="3" t="s">
        <v>2292</v>
      </c>
      <c r="B141" s="11" t="s">
        <v>2295</v>
      </c>
      <c r="C141" s="37">
        <f>13000*2</f>
        <v>26000</v>
      </c>
      <c r="D141" s="1165">
        <v>8000</v>
      </c>
      <c r="E141" s="1165">
        <f t="shared" si="22"/>
        <v>34000</v>
      </c>
      <c r="F141" s="1165">
        <v>13000</v>
      </c>
      <c r="G141" s="1165">
        <v>40000</v>
      </c>
      <c r="H141"/>
      <c r="I141"/>
      <c r="J141"/>
      <c r="K141"/>
      <c r="L141"/>
      <c r="M141"/>
      <c r="N141"/>
      <c r="O141"/>
      <c r="P141"/>
      <c r="Q141"/>
      <c r="R141"/>
      <c r="S141"/>
      <c r="T141"/>
      <c r="U141"/>
      <c r="V141"/>
      <c r="W141"/>
      <c r="X141"/>
      <c r="Y141"/>
      <c r="Z141"/>
      <c r="AA141"/>
      <c r="AB141"/>
      <c r="AC141"/>
      <c r="AD141"/>
      <c r="AE141"/>
      <c r="AF141"/>
      <c r="AG141"/>
      <c r="AH141"/>
      <c r="AI141"/>
      <c r="AJ141"/>
      <c r="AK141"/>
      <c r="AL141"/>
      <c r="AM141"/>
      <c r="AN141"/>
    </row>
    <row r="142" spans="1:40" s="1152" customFormat="1" hidden="1">
      <c r="A142" s="3" t="s">
        <v>2292</v>
      </c>
      <c r="B142" s="3" t="s">
        <v>2427</v>
      </c>
      <c r="C142" s="1247">
        <f>13500*2</f>
        <v>27000</v>
      </c>
      <c r="D142" s="1165">
        <v>16004</v>
      </c>
      <c r="E142" s="37">
        <f t="shared" si="22"/>
        <v>43004</v>
      </c>
      <c r="F142" s="37">
        <v>13000</v>
      </c>
      <c r="G142" s="37">
        <v>400000</v>
      </c>
      <c r="H142"/>
      <c r="I142"/>
      <c r="J142"/>
      <c r="K142"/>
      <c r="L142"/>
      <c r="M142"/>
      <c r="N142"/>
      <c r="O142"/>
      <c r="P142"/>
      <c r="Q142"/>
      <c r="R142"/>
      <c r="S142"/>
      <c r="T142"/>
      <c r="U142"/>
      <c r="V142"/>
      <c r="W142"/>
      <c r="X142"/>
      <c r="Y142"/>
      <c r="Z142"/>
      <c r="AA142"/>
      <c r="AB142"/>
      <c r="AC142"/>
      <c r="AD142"/>
      <c r="AE142"/>
      <c r="AF142"/>
      <c r="AG142"/>
      <c r="AH142"/>
      <c r="AI142"/>
      <c r="AJ142"/>
      <c r="AK142"/>
      <c r="AL142"/>
      <c r="AM142"/>
      <c r="AN142"/>
    </row>
    <row r="143" spans="1:40" s="1152" customFormat="1" hidden="1">
      <c r="A143" s="3" t="s">
        <v>2292</v>
      </c>
      <c r="B143" s="3" t="s">
        <v>2428</v>
      </c>
      <c r="C143" s="1247">
        <f>18000*2</f>
        <v>36000</v>
      </c>
      <c r="D143" s="1165">
        <v>16027</v>
      </c>
      <c r="E143" s="37">
        <f t="shared" si="22"/>
        <v>52027</v>
      </c>
      <c r="F143" s="37">
        <v>13000</v>
      </c>
      <c r="G143" s="37">
        <v>400000</v>
      </c>
      <c r="H143"/>
      <c r="I143"/>
      <c r="J143"/>
      <c r="K143"/>
      <c r="L143"/>
      <c r="M143"/>
      <c r="N143"/>
      <c r="O143"/>
      <c r="P143"/>
      <c r="Q143"/>
      <c r="R143"/>
      <c r="S143"/>
      <c r="T143"/>
      <c r="U143"/>
      <c r="V143"/>
      <c r="W143"/>
      <c r="X143"/>
      <c r="Y143"/>
      <c r="Z143"/>
      <c r="AA143"/>
      <c r="AB143"/>
      <c r="AC143"/>
      <c r="AD143"/>
      <c r="AE143"/>
      <c r="AF143"/>
      <c r="AG143"/>
      <c r="AH143"/>
      <c r="AI143"/>
      <c r="AJ143"/>
      <c r="AK143"/>
      <c r="AL143"/>
      <c r="AM143"/>
      <c r="AN143"/>
    </row>
    <row r="144" spans="1:40" s="1152" customFormat="1" hidden="1">
      <c r="A144" s="3" t="s">
        <v>2292</v>
      </c>
      <c r="B144" s="3" t="s">
        <v>2429</v>
      </c>
      <c r="C144" s="1247">
        <f>40000*2</f>
        <v>80000</v>
      </c>
      <c r="D144" s="1165">
        <v>16019</v>
      </c>
      <c r="E144" s="37">
        <f t="shared" si="22"/>
        <v>96019</v>
      </c>
      <c r="F144" s="37">
        <v>13000</v>
      </c>
      <c r="G144" s="37">
        <v>400000</v>
      </c>
      <c r="H144"/>
      <c r="I144"/>
      <c r="J144"/>
      <c r="K144"/>
      <c r="L144"/>
      <c r="M144"/>
      <c r="N144"/>
      <c r="O144"/>
      <c r="P144"/>
      <c r="Q144"/>
      <c r="R144"/>
      <c r="S144"/>
      <c r="T144"/>
      <c r="U144"/>
      <c r="V144"/>
      <c r="W144"/>
      <c r="X144"/>
      <c r="Y144"/>
      <c r="Z144"/>
      <c r="AA144"/>
      <c r="AB144"/>
      <c r="AC144"/>
      <c r="AD144"/>
      <c r="AE144"/>
      <c r="AF144"/>
      <c r="AG144"/>
      <c r="AH144"/>
      <c r="AI144"/>
      <c r="AJ144"/>
      <c r="AK144"/>
      <c r="AL144"/>
      <c r="AM144"/>
      <c r="AN144"/>
    </row>
    <row r="145" spans="1:40" s="1152" customFormat="1" hidden="1">
      <c r="A145" s="3" t="s">
        <v>2292</v>
      </c>
      <c r="B145" s="3" t="s">
        <v>2430</v>
      </c>
      <c r="C145" s="1247">
        <f>22100*2</f>
        <v>44200</v>
      </c>
      <c r="D145" s="1165">
        <v>16028</v>
      </c>
      <c r="E145" s="37">
        <f t="shared" si="22"/>
        <v>60228</v>
      </c>
      <c r="F145" s="37">
        <v>13000</v>
      </c>
      <c r="G145" s="37">
        <v>400000</v>
      </c>
      <c r="H145"/>
      <c r="I145"/>
      <c r="J145"/>
      <c r="K145"/>
      <c r="L145"/>
      <c r="M145"/>
      <c r="N145"/>
      <c r="O145"/>
      <c r="P145"/>
      <c r="Q145"/>
      <c r="R145"/>
      <c r="S145"/>
      <c r="T145"/>
      <c r="U145"/>
      <c r="V145"/>
      <c r="W145"/>
      <c r="X145"/>
      <c r="Y145"/>
      <c r="Z145"/>
      <c r="AA145"/>
      <c r="AB145"/>
      <c r="AC145"/>
      <c r="AD145"/>
      <c r="AE145"/>
      <c r="AF145"/>
      <c r="AG145"/>
      <c r="AH145"/>
      <c r="AI145"/>
      <c r="AJ145"/>
      <c r="AK145"/>
      <c r="AL145"/>
      <c r="AM145"/>
      <c r="AN145"/>
    </row>
    <row r="146" spans="1:40" s="1152" customFormat="1" hidden="1">
      <c r="A146" s="3" t="s">
        <v>2292</v>
      </c>
      <c r="B146" s="3" t="s">
        <v>2431</v>
      </c>
      <c r="C146" s="1247">
        <f>26100*2</f>
        <v>52200</v>
      </c>
      <c r="D146" s="1165">
        <v>16030</v>
      </c>
      <c r="E146" s="37">
        <f t="shared" si="22"/>
        <v>68230</v>
      </c>
      <c r="F146" s="37">
        <v>13000</v>
      </c>
      <c r="G146" s="37">
        <v>400000</v>
      </c>
      <c r="H146"/>
      <c r="I146"/>
      <c r="J146"/>
      <c r="K146"/>
      <c r="L146"/>
      <c r="M146"/>
      <c r="N146"/>
      <c r="O146"/>
      <c r="P146"/>
      <c r="Q146"/>
      <c r="R146"/>
      <c r="S146"/>
      <c r="T146"/>
      <c r="U146"/>
      <c r="V146"/>
      <c r="W146"/>
      <c r="X146"/>
      <c r="Y146"/>
      <c r="Z146"/>
      <c r="AA146"/>
      <c r="AB146"/>
      <c r="AC146"/>
      <c r="AD146"/>
      <c r="AE146"/>
      <c r="AF146"/>
      <c r="AG146"/>
      <c r="AH146"/>
      <c r="AI146"/>
      <c r="AJ146"/>
      <c r="AK146"/>
      <c r="AL146"/>
      <c r="AM146"/>
      <c r="AN146"/>
    </row>
    <row r="147" spans="1:40" s="1152" customFormat="1" hidden="1">
      <c r="A147" s="3" t="s">
        <v>2292</v>
      </c>
      <c r="B147" s="3" t="s">
        <v>2432</v>
      </c>
      <c r="C147" s="1247">
        <f>45400*2</f>
        <v>90800</v>
      </c>
      <c r="D147" s="1165">
        <v>16021</v>
      </c>
      <c r="E147" s="37">
        <f t="shared" si="22"/>
        <v>106821</v>
      </c>
      <c r="F147" s="37">
        <v>13000</v>
      </c>
      <c r="G147" s="37">
        <v>400000</v>
      </c>
      <c r="H147"/>
      <c r="I147"/>
      <c r="J147"/>
      <c r="K147"/>
      <c r="L147"/>
      <c r="M147"/>
      <c r="N147"/>
      <c r="O147"/>
      <c r="P147"/>
      <c r="Q147"/>
      <c r="R147"/>
      <c r="S147"/>
      <c r="T147"/>
      <c r="U147"/>
      <c r="V147"/>
      <c r="W147"/>
      <c r="X147"/>
      <c r="Y147"/>
      <c r="Z147"/>
      <c r="AA147"/>
      <c r="AB147"/>
      <c r="AC147"/>
      <c r="AD147"/>
      <c r="AE147"/>
      <c r="AF147"/>
      <c r="AG147"/>
      <c r="AH147"/>
      <c r="AI147"/>
      <c r="AJ147"/>
      <c r="AK147"/>
      <c r="AL147"/>
      <c r="AM147"/>
      <c r="AN147"/>
    </row>
    <row r="148" spans="1:40" s="1152" customFormat="1" hidden="1">
      <c r="A148" s="3" t="s">
        <v>2292</v>
      </c>
      <c r="B148" s="3" t="s">
        <v>2433</v>
      </c>
      <c r="C148" s="1247">
        <f>11100*2</f>
        <v>22200</v>
      </c>
      <c r="D148" s="1165">
        <v>16024</v>
      </c>
      <c r="E148" s="37">
        <f t="shared" si="22"/>
        <v>38224</v>
      </c>
      <c r="F148" s="37">
        <v>13000</v>
      </c>
      <c r="G148" s="37">
        <v>400000</v>
      </c>
      <c r="H148"/>
      <c r="I148"/>
      <c r="J148"/>
      <c r="K148"/>
      <c r="L148"/>
      <c r="M148"/>
      <c r="N148"/>
      <c r="O148"/>
      <c r="P148"/>
      <c r="Q148"/>
      <c r="R148"/>
      <c r="S148"/>
      <c r="T148"/>
      <c r="U148"/>
      <c r="V148"/>
      <c r="W148"/>
      <c r="X148"/>
      <c r="Y148"/>
      <c r="Z148"/>
      <c r="AA148"/>
      <c r="AB148"/>
      <c r="AC148"/>
      <c r="AD148"/>
      <c r="AE148"/>
      <c r="AF148"/>
      <c r="AG148"/>
      <c r="AH148"/>
      <c r="AI148"/>
      <c r="AJ148"/>
      <c r="AK148"/>
      <c r="AL148"/>
      <c r="AM148"/>
      <c r="AN148"/>
    </row>
    <row r="149" spans="1:40" s="1152" customFormat="1" hidden="1">
      <c r="A149" s="3" t="s">
        <v>2292</v>
      </c>
      <c r="B149" s="3" t="s">
        <v>2434</v>
      </c>
      <c r="C149" s="1247">
        <f>34200*2</f>
        <v>68400</v>
      </c>
      <c r="D149" s="1165">
        <v>16017</v>
      </c>
      <c r="E149" s="37">
        <f t="shared" si="22"/>
        <v>84417</v>
      </c>
      <c r="F149" s="37">
        <v>13000</v>
      </c>
      <c r="G149" s="37">
        <v>400000</v>
      </c>
      <c r="H149"/>
      <c r="I149"/>
      <c r="J149"/>
      <c r="K149"/>
      <c r="L149"/>
      <c r="M149"/>
      <c r="N149"/>
      <c r="O149"/>
      <c r="P149"/>
      <c r="Q149"/>
      <c r="R149"/>
      <c r="S149"/>
      <c r="T149"/>
      <c r="U149"/>
      <c r="V149"/>
      <c r="W149"/>
      <c r="X149"/>
      <c r="Y149"/>
      <c r="Z149"/>
      <c r="AA149"/>
      <c r="AB149"/>
      <c r="AC149"/>
      <c r="AD149"/>
      <c r="AE149"/>
      <c r="AF149"/>
      <c r="AG149"/>
      <c r="AH149"/>
      <c r="AI149"/>
      <c r="AJ149"/>
      <c r="AK149"/>
      <c r="AL149"/>
      <c r="AM149"/>
      <c r="AN149"/>
    </row>
    <row r="150" spans="1:40" s="1152" customFormat="1" hidden="1">
      <c r="A150" s="3" t="s">
        <v>2292</v>
      </c>
      <c r="B150" s="3" t="s">
        <v>2435</v>
      </c>
      <c r="C150" s="1247">
        <f>11100*2</f>
        <v>22200</v>
      </c>
      <c r="D150" s="1165">
        <v>16002</v>
      </c>
      <c r="E150" s="37">
        <f t="shared" si="22"/>
        <v>38202</v>
      </c>
      <c r="F150" s="37">
        <v>13000</v>
      </c>
      <c r="G150" s="37">
        <v>400000</v>
      </c>
      <c r="H150"/>
      <c r="I150"/>
      <c r="J150"/>
      <c r="K150"/>
      <c r="L150"/>
      <c r="M150"/>
      <c r="N150"/>
      <c r="O150"/>
      <c r="P150"/>
      <c r="Q150"/>
      <c r="R150"/>
      <c r="S150"/>
      <c r="T150"/>
      <c r="U150"/>
      <c r="V150"/>
      <c r="W150"/>
      <c r="X150"/>
      <c r="Y150"/>
      <c r="Z150"/>
      <c r="AA150"/>
      <c r="AB150"/>
      <c r="AC150"/>
      <c r="AD150"/>
      <c r="AE150"/>
      <c r="AF150"/>
      <c r="AG150"/>
      <c r="AH150"/>
      <c r="AI150"/>
      <c r="AJ150"/>
      <c r="AK150"/>
      <c r="AL150"/>
      <c r="AM150"/>
      <c r="AN150"/>
    </row>
    <row r="151" spans="1:40" s="1152" customFormat="1" ht="15.75" hidden="1" thickBot="1">
      <c r="A151" s="3" t="s">
        <v>2292</v>
      </c>
      <c r="B151" s="1270" t="s">
        <v>2293</v>
      </c>
      <c r="C151" s="37">
        <v>8000</v>
      </c>
      <c r="D151" s="1165">
        <v>26000</v>
      </c>
      <c r="E151" s="1165">
        <f>SUM(C151:D151)</f>
        <v>34000</v>
      </c>
      <c r="F151" s="1165">
        <v>13000</v>
      </c>
      <c r="G151" s="1165">
        <v>40000</v>
      </c>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row r="152" spans="1:40" s="1152" customFormat="1" ht="15.75" hidden="1" thickBot="1">
      <c r="A152" t="s">
        <v>2292</v>
      </c>
      <c r="B152" s="1266" t="s">
        <v>2436</v>
      </c>
      <c r="C152" s="1247">
        <f>12300*2</f>
        <v>24600</v>
      </c>
      <c r="D152" s="1165">
        <v>16010</v>
      </c>
      <c r="E152" s="37">
        <f>+C152+D152</f>
        <v>40610</v>
      </c>
      <c r="F152" s="37">
        <v>13000</v>
      </c>
      <c r="G152" s="37">
        <v>400000</v>
      </c>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s="1152" customFormat="1" hidden="1">
      <c r="A153" s="58" t="s">
        <v>2292</v>
      </c>
      <c r="B153" s="1265" t="s">
        <v>2437</v>
      </c>
      <c r="C153" s="1247">
        <f>28800*2</f>
        <v>57600</v>
      </c>
      <c r="D153" s="1165">
        <v>16031</v>
      </c>
      <c r="E153" s="37">
        <f>+C153+D153</f>
        <v>73631</v>
      </c>
      <c r="F153" s="37">
        <v>13000</v>
      </c>
      <c r="G153" s="37">
        <v>400000</v>
      </c>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s="1152" customFormat="1" hidden="1">
      <c r="A154" s="3" t="s">
        <v>2292</v>
      </c>
      <c r="B154" s="3" t="s">
        <v>2438</v>
      </c>
      <c r="C154" s="1247">
        <f>8500*2</f>
        <v>17000</v>
      </c>
      <c r="D154" s="1165">
        <v>16007</v>
      </c>
      <c r="E154" s="37">
        <f>+C154+D154</f>
        <v>33007</v>
      </c>
      <c r="F154" s="37">
        <v>13000</v>
      </c>
      <c r="G154" s="37">
        <v>400000</v>
      </c>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s="1152" customFormat="1" hidden="1">
      <c r="A155" s="3" t="s">
        <v>2292</v>
      </c>
      <c r="B155" s="3" t="s">
        <v>2439</v>
      </c>
      <c r="C155" s="1247">
        <f>6100*2</f>
        <v>12200</v>
      </c>
      <c r="D155" s="1165">
        <v>16012</v>
      </c>
      <c r="E155" s="37">
        <f>+C155+D155</f>
        <v>28212</v>
      </c>
      <c r="F155" s="37">
        <v>13000</v>
      </c>
      <c r="G155" s="37">
        <v>400000</v>
      </c>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s="1152" customFormat="1" ht="15.75" hidden="1" thickBot="1">
      <c r="A156" s="3" t="s">
        <v>2292</v>
      </c>
      <c r="B156" s="1267" t="s">
        <v>2440</v>
      </c>
      <c r="C156" s="1258">
        <f>11000*2</f>
        <v>22000</v>
      </c>
      <c r="D156" s="1165">
        <v>16000</v>
      </c>
      <c r="E156" s="1165">
        <f>SUM(C156:D156)</f>
        <v>38000</v>
      </c>
      <c r="F156" s="1165">
        <v>13000</v>
      </c>
      <c r="G156" s="1165">
        <v>40000</v>
      </c>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s="1152" customFormat="1" ht="15.75" hidden="1" thickBot="1">
      <c r="A157" s="3" t="s">
        <v>2292</v>
      </c>
      <c r="B157" s="1264" t="s">
        <v>2441</v>
      </c>
      <c r="C157" s="1247">
        <f>43000*2</f>
        <v>86000</v>
      </c>
      <c r="D157" s="1165">
        <v>16015</v>
      </c>
      <c r="E157" s="37">
        <f>+C157+D157</f>
        <v>102015</v>
      </c>
      <c r="F157" s="37">
        <v>13000</v>
      </c>
      <c r="G157" s="37">
        <v>400000</v>
      </c>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row r="158" spans="1:40" s="1152" customFormat="1" ht="15.75" hidden="1" thickBot="1">
      <c r="A158" s="3" t="s">
        <v>2292</v>
      </c>
      <c r="B158" s="1267" t="s">
        <v>2442</v>
      </c>
      <c r="C158" s="1258">
        <f>37200*2</f>
        <v>74400</v>
      </c>
      <c r="D158" s="1165">
        <v>16000</v>
      </c>
      <c r="E158" s="1165">
        <f>SUM(C158:D158)</f>
        <v>90400</v>
      </c>
      <c r="F158" s="1165">
        <v>13000</v>
      </c>
      <c r="G158" s="1165">
        <v>40000</v>
      </c>
      <c r="H158"/>
      <c r="I158"/>
      <c r="J158"/>
      <c r="K158"/>
      <c r="L158"/>
      <c r="M158"/>
      <c r="N158"/>
      <c r="O158"/>
      <c r="P158"/>
      <c r="Q158"/>
      <c r="R158"/>
      <c r="S158"/>
      <c r="T158"/>
      <c r="U158"/>
      <c r="V158"/>
      <c r="W158"/>
      <c r="X158"/>
      <c r="Y158"/>
      <c r="Z158"/>
      <c r="AA158"/>
      <c r="AB158"/>
      <c r="AC158"/>
      <c r="AD158"/>
      <c r="AE158"/>
      <c r="AF158"/>
      <c r="AG158"/>
      <c r="AH158"/>
      <c r="AI158"/>
      <c r="AJ158"/>
      <c r="AK158"/>
      <c r="AL158"/>
      <c r="AM158"/>
      <c r="AN158"/>
    </row>
    <row r="159" spans="1:40" s="1152" customFormat="1" ht="15.75" hidden="1" thickBot="1">
      <c r="A159" s="3" t="s">
        <v>2292</v>
      </c>
      <c r="B159" s="1264" t="s">
        <v>2443</v>
      </c>
      <c r="C159" s="1247">
        <f>10000*2</f>
        <v>20000</v>
      </c>
      <c r="D159" s="37">
        <v>8000</v>
      </c>
      <c r="E159" s="37">
        <f>+C159+D159</f>
        <v>28000</v>
      </c>
      <c r="F159" s="37">
        <v>13000</v>
      </c>
      <c r="G159" s="37">
        <v>400000</v>
      </c>
      <c r="H159"/>
      <c r="I159"/>
      <c r="J159"/>
      <c r="K159"/>
      <c r="L159"/>
      <c r="M159"/>
      <c r="N159"/>
      <c r="O159"/>
      <c r="P159"/>
      <c r="Q159"/>
      <c r="R159"/>
      <c r="S159"/>
      <c r="T159"/>
      <c r="U159"/>
      <c r="V159"/>
      <c r="W159"/>
      <c r="X159"/>
      <c r="Y159"/>
      <c r="Z159"/>
      <c r="AA159"/>
      <c r="AB159"/>
      <c r="AC159"/>
      <c r="AD159"/>
      <c r="AE159"/>
      <c r="AF159"/>
      <c r="AG159"/>
      <c r="AH159"/>
      <c r="AI159"/>
      <c r="AJ159"/>
      <c r="AK159"/>
      <c r="AL159"/>
      <c r="AM159"/>
      <c r="AN159"/>
    </row>
    <row r="160" spans="1:40" s="1152" customFormat="1" ht="15.75" hidden="1" thickBot="1">
      <c r="A160" s="3" t="s">
        <v>2329</v>
      </c>
      <c r="B160" s="1263" t="s">
        <v>2330</v>
      </c>
      <c r="C160" s="37">
        <v>260000</v>
      </c>
      <c r="D160" s="1165">
        <v>26000</v>
      </c>
      <c r="E160" s="1165">
        <f t="shared" ref="E160:E187" si="23">SUM(C160:D160)</f>
        <v>286000</v>
      </c>
      <c r="F160" s="1165">
        <v>13000</v>
      </c>
      <c r="G160" s="1165">
        <v>40000</v>
      </c>
      <c r="H160"/>
      <c r="I160"/>
      <c r="J160"/>
      <c r="K160"/>
      <c r="L160"/>
      <c r="M160"/>
      <c r="N160"/>
      <c r="O160"/>
      <c r="P160"/>
      <c r="Q160"/>
      <c r="R160"/>
      <c r="S160"/>
      <c r="T160"/>
      <c r="U160"/>
      <c r="V160"/>
      <c r="W160"/>
      <c r="X160"/>
      <c r="Y160"/>
      <c r="Z160"/>
      <c r="AA160"/>
      <c r="AB160"/>
      <c r="AC160"/>
      <c r="AD160"/>
      <c r="AE160"/>
      <c r="AF160"/>
      <c r="AG160"/>
      <c r="AH160"/>
      <c r="AI160"/>
      <c r="AJ160"/>
      <c r="AK160"/>
      <c r="AL160"/>
      <c r="AM160"/>
      <c r="AN160"/>
    </row>
    <row r="161" spans="1:40" s="1152" customFormat="1" ht="15.75" hidden="1" thickBot="1">
      <c r="A161" s="3" t="s">
        <v>2296</v>
      </c>
      <c r="B161" s="1263" t="s">
        <v>2262</v>
      </c>
      <c r="C161" s="37">
        <v>124000</v>
      </c>
      <c r="D161" s="1165">
        <v>26000</v>
      </c>
      <c r="E161" s="1165">
        <f t="shared" si="23"/>
        <v>150000</v>
      </c>
      <c r="F161" s="1165">
        <v>13000</v>
      </c>
      <c r="G161" s="1165">
        <v>40000</v>
      </c>
      <c r="H161"/>
      <c r="I161"/>
      <c r="J161"/>
      <c r="K161"/>
      <c r="L161"/>
      <c r="M161"/>
      <c r="N161"/>
      <c r="O161"/>
      <c r="P161"/>
      <c r="Q161"/>
      <c r="R161"/>
      <c r="S161"/>
      <c r="T161"/>
      <c r="U161"/>
      <c r="V161"/>
      <c r="W161"/>
      <c r="X161"/>
      <c r="Y161"/>
      <c r="Z161"/>
      <c r="AA161"/>
      <c r="AB161"/>
      <c r="AC161"/>
      <c r="AD161"/>
      <c r="AE161"/>
      <c r="AF161"/>
      <c r="AG161"/>
      <c r="AH161"/>
      <c r="AI161"/>
      <c r="AJ161"/>
      <c r="AK161"/>
      <c r="AL161"/>
      <c r="AM161"/>
      <c r="AN161"/>
    </row>
    <row r="162" spans="1:40" s="1152" customFormat="1" ht="15.75" hidden="1" thickBot="1">
      <c r="A162" s="3" t="s">
        <v>2296</v>
      </c>
      <c r="B162" s="1263" t="s">
        <v>2297</v>
      </c>
      <c r="C162" s="37">
        <v>30000</v>
      </c>
      <c r="D162" s="1165">
        <v>26000</v>
      </c>
      <c r="E162" s="1165">
        <f t="shared" si="23"/>
        <v>56000</v>
      </c>
      <c r="F162" s="1165">
        <v>13000</v>
      </c>
      <c r="G162" s="1165">
        <v>40000</v>
      </c>
      <c r="H162"/>
      <c r="I162"/>
      <c r="J162"/>
      <c r="K162"/>
      <c r="L162"/>
      <c r="M162"/>
      <c r="N162"/>
      <c r="O162"/>
      <c r="P162"/>
      <c r="Q162"/>
      <c r="R162"/>
      <c r="S162"/>
      <c r="T162"/>
      <c r="U162"/>
      <c r="V162"/>
      <c r="W162"/>
      <c r="X162"/>
      <c r="Y162"/>
      <c r="Z162"/>
      <c r="AA162"/>
      <c r="AB162"/>
      <c r="AC162"/>
      <c r="AD162"/>
      <c r="AE162"/>
      <c r="AF162"/>
      <c r="AG162"/>
      <c r="AH162"/>
      <c r="AI162"/>
      <c r="AJ162"/>
      <c r="AK162"/>
      <c r="AL162"/>
      <c r="AM162"/>
      <c r="AN162"/>
    </row>
    <row r="163" spans="1:40" s="1152" customFormat="1" ht="15.75" hidden="1" thickBot="1">
      <c r="A163" s="3" t="s">
        <v>2296</v>
      </c>
      <c r="B163" s="1263" t="s">
        <v>2444</v>
      </c>
      <c r="C163" s="37">
        <f>108000*2</f>
        <v>216000</v>
      </c>
      <c r="D163" s="1165">
        <v>26000</v>
      </c>
      <c r="E163" s="1165">
        <f t="shared" si="23"/>
        <v>242000</v>
      </c>
      <c r="F163" s="1165">
        <v>13000</v>
      </c>
      <c r="G163" s="1165">
        <v>40000</v>
      </c>
      <c r="H163"/>
      <c r="I163"/>
      <c r="J163"/>
      <c r="K163"/>
      <c r="L163"/>
      <c r="M163"/>
      <c r="N163"/>
      <c r="O163"/>
      <c r="P163"/>
      <c r="Q163"/>
      <c r="R163"/>
      <c r="S163"/>
      <c r="T163"/>
      <c r="U163"/>
      <c r="V163"/>
      <c r="W163"/>
      <c r="X163"/>
      <c r="Y163"/>
      <c r="Z163"/>
      <c r="AA163"/>
      <c r="AB163"/>
      <c r="AC163"/>
      <c r="AD163"/>
      <c r="AE163"/>
      <c r="AF163"/>
      <c r="AG163"/>
      <c r="AH163"/>
      <c r="AI163"/>
      <c r="AJ163"/>
      <c r="AK163"/>
      <c r="AL163"/>
      <c r="AM163"/>
      <c r="AN163"/>
    </row>
    <row r="164" spans="1:40" s="1152" customFormat="1" ht="15.75" hidden="1" thickBot="1">
      <c r="A164" s="3" t="s">
        <v>2296</v>
      </c>
      <c r="B164" s="1263" t="s">
        <v>2298</v>
      </c>
      <c r="C164" s="37">
        <v>30000</v>
      </c>
      <c r="D164" s="1165">
        <v>26000</v>
      </c>
      <c r="E164" s="1165">
        <f t="shared" si="23"/>
        <v>56000</v>
      </c>
      <c r="F164" s="1165">
        <v>13000</v>
      </c>
      <c r="G164" s="1165">
        <v>40000</v>
      </c>
      <c r="H164"/>
      <c r="I164"/>
      <c r="J164"/>
      <c r="K164"/>
      <c r="L164"/>
      <c r="M164"/>
      <c r="N164"/>
      <c r="O164"/>
      <c r="P164"/>
      <c r="Q164"/>
      <c r="R164"/>
      <c r="S164"/>
      <c r="T164"/>
      <c r="U164"/>
      <c r="V164"/>
      <c r="W164"/>
      <c r="X164"/>
      <c r="Y164"/>
      <c r="Z164"/>
      <c r="AA164"/>
      <c r="AB164"/>
      <c r="AC164"/>
      <c r="AD164"/>
      <c r="AE164"/>
      <c r="AF164"/>
      <c r="AG164"/>
      <c r="AH164"/>
      <c r="AI164"/>
      <c r="AJ164"/>
      <c r="AK164"/>
      <c r="AL164"/>
      <c r="AM164"/>
      <c r="AN164"/>
    </row>
    <row r="165" spans="1:40" s="1152" customFormat="1" ht="15.75" hidden="1" thickBot="1">
      <c r="A165" s="1162" t="s">
        <v>2296</v>
      </c>
      <c r="B165" s="1249" t="s">
        <v>2348</v>
      </c>
      <c r="C165" s="37">
        <v>140000</v>
      </c>
      <c r="D165" s="1165">
        <v>26000</v>
      </c>
      <c r="E165" s="1165">
        <f t="shared" si="23"/>
        <v>166000</v>
      </c>
      <c r="F165" s="1165">
        <v>13000</v>
      </c>
      <c r="G165" s="1165">
        <v>40000</v>
      </c>
    </row>
    <row r="166" spans="1:40" s="1152" customFormat="1" hidden="1">
      <c r="A166" s="3" t="s">
        <v>2286</v>
      </c>
      <c r="B166" s="144" t="s">
        <v>2287</v>
      </c>
      <c r="C166" s="1257">
        <v>146000</v>
      </c>
      <c r="D166" s="1165">
        <v>26000</v>
      </c>
      <c r="E166" s="1165">
        <f t="shared" si="23"/>
        <v>172000</v>
      </c>
      <c r="F166" s="1165">
        <v>13000</v>
      </c>
      <c r="G166" s="1165">
        <v>40000</v>
      </c>
    </row>
    <row r="167" spans="1:40" s="1152" customFormat="1" hidden="1">
      <c r="A167" s="3" t="s">
        <v>2286</v>
      </c>
      <c r="B167" s="11" t="s">
        <v>2288</v>
      </c>
      <c r="C167" s="37">
        <v>125000</v>
      </c>
      <c r="D167" s="1165">
        <v>26000</v>
      </c>
      <c r="E167" s="1165">
        <f t="shared" si="23"/>
        <v>151000</v>
      </c>
      <c r="F167" s="1165">
        <v>13000</v>
      </c>
      <c r="G167" s="1165">
        <v>40000</v>
      </c>
    </row>
    <row r="168" spans="1:40" s="1152" customFormat="1" hidden="1">
      <c r="A168" s="1162" t="s">
        <v>2286</v>
      </c>
      <c r="B168" s="1248" t="s">
        <v>2340</v>
      </c>
      <c r="C168" s="37">
        <f>45000*2</f>
        <v>90000</v>
      </c>
      <c r="D168" s="1165">
        <v>26000</v>
      </c>
      <c r="E168" s="1165">
        <f t="shared" si="23"/>
        <v>116000</v>
      </c>
      <c r="F168" s="1165">
        <v>13000</v>
      </c>
      <c r="G168" s="1165">
        <v>40000</v>
      </c>
    </row>
    <row r="169" spans="1:40" s="1152" customFormat="1" hidden="1">
      <c r="A169" s="3" t="s">
        <v>2277</v>
      </c>
      <c r="B169" s="1244" t="s">
        <v>2278</v>
      </c>
      <c r="C169" s="37">
        <v>102000</v>
      </c>
      <c r="D169" s="1165">
        <v>26000</v>
      </c>
      <c r="E169" s="1165">
        <f t="shared" si="23"/>
        <v>128000</v>
      </c>
      <c r="F169" s="1165">
        <v>13000</v>
      </c>
      <c r="G169" s="1165">
        <v>40000</v>
      </c>
    </row>
    <row r="170" spans="1:40" s="1152" customFormat="1" hidden="1">
      <c r="A170" s="3" t="s">
        <v>2311</v>
      </c>
      <c r="B170" s="11" t="s">
        <v>2257</v>
      </c>
      <c r="C170" s="37">
        <v>110000</v>
      </c>
      <c r="D170" s="1165">
        <v>26000</v>
      </c>
      <c r="E170" s="1165">
        <f t="shared" si="23"/>
        <v>136000</v>
      </c>
      <c r="F170" s="1165">
        <v>13000</v>
      </c>
      <c r="G170" s="1165">
        <v>40000</v>
      </c>
    </row>
    <row r="171" spans="1:40" s="1152" customFormat="1" hidden="1">
      <c r="A171" s="3" t="s">
        <v>2311</v>
      </c>
      <c r="B171" s="11" t="s">
        <v>2312</v>
      </c>
      <c r="C171" s="37">
        <v>30000</v>
      </c>
      <c r="D171" s="1165">
        <v>26000</v>
      </c>
      <c r="E171" s="1165">
        <f t="shared" si="23"/>
        <v>56000</v>
      </c>
      <c r="F171" s="1165">
        <v>13000</v>
      </c>
      <c r="G171" s="1165">
        <v>40000</v>
      </c>
    </row>
    <row r="172" spans="1:40" s="1152" customFormat="1" hidden="1">
      <c r="A172" s="3" t="s">
        <v>2311</v>
      </c>
      <c r="B172" s="11" t="s">
        <v>2313</v>
      </c>
      <c r="C172" s="37">
        <v>80000</v>
      </c>
      <c r="D172" s="1165">
        <v>26000</v>
      </c>
      <c r="E172" s="1165">
        <f t="shared" si="23"/>
        <v>106000</v>
      </c>
      <c r="F172" s="1165">
        <v>13000</v>
      </c>
      <c r="G172" s="1165">
        <v>40000</v>
      </c>
    </row>
    <row r="173" spans="1:40" s="1152" customFormat="1" hidden="1">
      <c r="A173" s="3" t="s">
        <v>2321</v>
      </c>
      <c r="B173" s="1244" t="s">
        <v>2263</v>
      </c>
      <c r="C173" s="37">
        <v>166000</v>
      </c>
      <c r="D173" s="1165">
        <v>26000</v>
      </c>
      <c r="E173" s="1165">
        <f t="shared" si="23"/>
        <v>192000</v>
      </c>
      <c r="F173" s="1165">
        <v>13000</v>
      </c>
      <c r="G173" s="1165">
        <v>40000</v>
      </c>
    </row>
    <row r="174" spans="1:40" s="1152" customFormat="1" hidden="1">
      <c r="A174" s="3" t="s">
        <v>2321</v>
      </c>
      <c r="B174" s="1244" t="s">
        <v>2445</v>
      </c>
      <c r="C174" s="37">
        <v>120000</v>
      </c>
      <c r="D174" s="1165">
        <v>26000</v>
      </c>
      <c r="E174" s="1165">
        <f t="shared" si="23"/>
        <v>146000</v>
      </c>
      <c r="F174" s="1165">
        <v>13000</v>
      </c>
      <c r="G174" s="1165">
        <v>40000</v>
      </c>
    </row>
    <row r="175" spans="1:40" s="1152" customFormat="1" hidden="1">
      <c r="A175" s="3" t="s">
        <v>2321</v>
      </c>
      <c r="B175" s="11" t="s">
        <v>2284</v>
      </c>
      <c r="C175" s="37">
        <v>176000</v>
      </c>
      <c r="D175" s="1165">
        <v>26000</v>
      </c>
      <c r="E175" s="1165">
        <f t="shared" si="23"/>
        <v>202000</v>
      </c>
      <c r="F175" s="1165">
        <v>13000</v>
      </c>
      <c r="G175" s="1165">
        <v>40000</v>
      </c>
    </row>
    <row r="176" spans="1:40" s="1152" customFormat="1" hidden="1">
      <c r="A176" s="1162" t="s">
        <v>2321</v>
      </c>
      <c r="B176" s="1248" t="s">
        <v>2344</v>
      </c>
      <c r="C176" s="37">
        <v>240000</v>
      </c>
      <c r="D176" s="1165">
        <v>26000</v>
      </c>
      <c r="E176" s="1165">
        <f t="shared" si="23"/>
        <v>266000</v>
      </c>
      <c r="F176" s="1165">
        <v>13000</v>
      </c>
      <c r="G176" s="1165">
        <v>40000</v>
      </c>
    </row>
    <row r="177" spans="1:40" s="1152" customFormat="1" hidden="1">
      <c r="A177" s="3" t="s">
        <v>2299</v>
      </c>
      <c r="B177" s="1244" t="s">
        <v>2300</v>
      </c>
      <c r="C177" s="37">
        <v>146000</v>
      </c>
      <c r="D177" s="1165">
        <v>26000</v>
      </c>
      <c r="E177" s="1165">
        <f t="shared" si="23"/>
        <v>172000</v>
      </c>
      <c r="F177" s="1165">
        <v>13000</v>
      </c>
      <c r="G177" s="1165">
        <v>40000</v>
      </c>
    </row>
    <row r="178" spans="1:40" s="1152" customFormat="1" hidden="1">
      <c r="A178" s="1162" t="s">
        <v>2299</v>
      </c>
      <c r="B178" s="1248" t="s">
        <v>2350</v>
      </c>
      <c r="C178" s="1257">
        <v>266000</v>
      </c>
      <c r="D178" s="1165">
        <v>26000</v>
      </c>
      <c r="E178" s="1165">
        <f t="shared" si="23"/>
        <v>292000</v>
      </c>
      <c r="F178" s="1165">
        <v>13000</v>
      </c>
      <c r="G178" s="1165">
        <v>40000</v>
      </c>
    </row>
    <row r="179" spans="1:40" s="1152" customFormat="1" hidden="1">
      <c r="A179" s="1162" t="s">
        <v>2299</v>
      </c>
      <c r="B179" s="1248" t="s">
        <v>2446</v>
      </c>
      <c r="C179" s="1257">
        <v>16000</v>
      </c>
      <c r="D179" s="1165">
        <v>16000</v>
      </c>
      <c r="E179" s="1165">
        <f t="shared" si="23"/>
        <v>32000</v>
      </c>
      <c r="F179" s="1165">
        <v>13000</v>
      </c>
      <c r="G179" s="1165">
        <v>40000</v>
      </c>
    </row>
    <row r="180" spans="1:40" s="1152" customFormat="1" hidden="1">
      <c r="A180" s="1162" t="s">
        <v>2299</v>
      </c>
      <c r="B180" s="1248" t="s">
        <v>2351</v>
      </c>
      <c r="C180" s="37">
        <v>166000</v>
      </c>
      <c r="D180" s="1165">
        <v>26000</v>
      </c>
      <c r="E180" s="1165">
        <f t="shared" si="23"/>
        <v>192000</v>
      </c>
      <c r="F180" s="1165">
        <v>13000</v>
      </c>
      <c r="G180" s="1165">
        <v>40000</v>
      </c>
    </row>
    <row r="181" spans="1:40" s="1152" customFormat="1" hidden="1">
      <c r="A181" s="3" t="s">
        <v>2309</v>
      </c>
      <c r="B181" s="11" t="s">
        <v>2310</v>
      </c>
      <c r="C181" s="1268">
        <v>242000</v>
      </c>
      <c r="D181" s="1165">
        <v>26000</v>
      </c>
      <c r="E181" s="1165">
        <f t="shared" si="23"/>
        <v>268000</v>
      </c>
      <c r="F181" s="1165">
        <v>13000</v>
      </c>
      <c r="G181" s="1165">
        <v>40000</v>
      </c>
    </row>
    <row r="182" spans="1:40" s="1152" customFormat="1" hidden="1">
      <c r="A182" s="1162" t="s">
        <v>2309</v>
      </c>
      <c r="B182" s="1248" t="s">
        <v>2343</v>
      </c>
      <c r="C182" s="37">
        <v>300000</v>
      </c>
      <c r="D182" s="1165">
        <v>26000</v>
      </c>
      <c r="E182" s="1165">
        <f t="shared" si="23"/>
        <v>326000</v>
      </c>
      <c r="F182" s="1165">
        <v>13000</v>
      </c>
      <c r="G182" s="1165">
        <v>40000</v>
      </c>
    </row>
    <row r="183" spans="1:40" s="1152" customFormat="1" hidden="1">
      <c r="A183" s="1162" t="s">
        <v>2309</v>
      </c>
      <c r="B183" s="1248" t="s">
        <v>2345</v>
      </c>
      <c r="C183" s="37">
        <v>200000</v>
      </c>
      <c r="D183" s="1165">
        <v>26000</v>
      </c>
      <c r="E183" s="1165">
        <f t="shared" si="23"/>
        <v>226000</v>
      </c>
      <c r="F183" s="1165">
        <v>13000</v>
      </c>
      <c r="G183" s="1165">
        <v>40000</v>
      </c>
    </row>
    <row r="184" spans="1:40" s="1152" customFormat="1" hidden="1">
      <c r="A184" s="3" t="s">
        <v>2271</v>
      </c>
      <c r="B184" s="1244" t="s">
        <v>2272</v>
      </c>
      <c r="C184" s="1165">
        <v>42000</v>
      </c>
      <c r="D184" s="1165">
        <v>26000</v>
      </c>
      <c r="E184" s="1165">
        <f t="shared" si="23"/>
        <v>68000</v>
      </c>
      <c r="F184" s="1165">
        <v>13000</v>
      </c>
      <c r="G184" s="1165">
        <v>40000</v>
      </c>
    </row>
    <row r="185" spans="1:40" hidden="1">
      <c r="A185" s="3" t="s">
        <v>2271</v>
      </c>
      <c r="B185" s="1244" t="s">
        <v>2447</v>
      </c>
      <c r="C185" s="1165">
        <v>164000</v>
      </c>
      <c r="D185" s="1165">
        <v>26000</v>
      </c>
      <c r="E185" s="1165">
        <f t="shared" si="23"/>
        <v>190000</v>
      </c>
      <c r="F185" s="1165">
        <v>13000</v>
      </c>
      <c r="G185" s="1165">
        <v>40000</v>
      </c>
      <c r="H185" s="1152"/>
      <c r="I185" s="1152"/>
      <c r="J185" s="1152"/>
      <c r="K185" s="1152"/>
      <c r="L185" s="1152"/>
      <c r="M185" s="1152"/>
      <c r="N185" s="1152"/>
      <c r="O185" s="1152"/>
      <c r="P185" s="1152"/>
      <c r="Q185" s="1152"/>
      <c r="R185" s="1152"/>
      <c r="S185" s="1152"/>
      <c r="T185" s="1152"/>
      <c r="U185" s="1152"/>
      <c r="V185" s="1152"/>
      <c r="W185" s="1152"/>
      <c r="X185" s="1152"/>
      <c r="Y185" s="1152"/>
      <c r="Z185" s="1152"/>
      <c r="AA185" s="1152"/>
      <c r="AB185" s="1152"/>
      <c r="AC185" s="1152"/>
      <c r="AD185" s="1152"/>
      <c r="AE185" s="1152"/>
      <c r="AF185" s="1152"/>
      <c r="AG185" s="1152"/>
      <c r="AH185" s="1152"/>
      <c r="AI185" s="1152"/>
      <c r="AJ185" s="1152"/>
      <c r="AK185" s="1152"/>
      <c r="AL185" s="1152"/>
      <c r="AM185" s="1152"/>
      <c r="AN185" s="1152"/>
    </row>
    <row r="186" spans="1:40" hidden="1">
      <c r="A186" s="3" t="s">
        <v>2273</v>
      </c>
      <c r="B186" s="1244" t="s">
        <v>2256</v>
      </c>
      <c r="C186" s="37">
        <v>106000</v>
      </c>
      <c r="D186" s="1165">
        <v>26000</v>
      </c>
      <c r="E186" s="1165">
        <f t="shared" si="23"/>
        <v>132000</v>
      </c>
      <c r="F186" s="1165">
        <v>13000</v>
      </c>
      <c r="G186" s="1165">
        <v>40000</v>
      </c>
      <c r="H186" s="1152"/>
      <c r="I186" s="1152"/>
      <c r="J186" s="1152"/>
      <c r="K186" s="1152"/>
      <c r="L186" s="1152"/>
      <c r="M186" s="1152"/>
      <c r="N186" s="1152"/>
      <c r="O186" s="1152"/>
      <c r="P186" s="1152"/>
      <c r="Q186" s="1152"/>
      <c r="R186" s="1152"/>
      <c r="S186" s="1152"/>
      <c r="T186" s="1152"/>
      <c r="U186" s="1152"/>
      <c r="V186" s="1152"/>
      <c r="W186" s="1152"/>
      <c r="X186" s="1152"/>
      <c r="Y186" s="1152"/>
      <c r="Z186" s="1152"/>
      <c r="AA186" s="1152"/>
      <c r="AB186" s="1152"/>
      <c r="AC186" s="1152"/>
      <c r="AD186" s="1152"/>
      <c r="AE186" s="1152"/>
      <c r="AF186" s="1152"/>
      <c r="AG186" s="1152"/>
      <c r="AH186" s="1152"/>
      <c r="AI186" s="1152"/>
      <c r="AJ186" s="1152"/>
      <c r="AK186" s="1152"/>
      <c r="AL186" s="1152"/>
      <c r="AM186" s="1152"/>
      <c r="AN186" s="1152"/>
    </row>
    <row r="187" spans="1:40" hidden="1">
      <c r="A187" s="3" t="s">
        <v>2273</v>
      </c>
      <c r="B187" s="11" t="s">
        <v>2274</v>
      </c>
      <c r="C187" s="1165">
        <v>42000</v>
      </c>
      <c r="D187" s="1165">
        <v>26000</v>
      </c>
      <c r="E187" s="1165">
        <f t="shared" si="23"/>
        <v>68000</v>
      </c>
      <c r="F187" s="1165">
        <v>13000</v>
      </c>
      <c r="G187" s="1165">
        <v>40000</v>
      </c>
      <c r="H187" s="1152"/>
      <c r="I187" s="1152"/>
      <c r="J187" s="1152"/>
      <c r="K187" s="1152"/>
      <c r="L187" s="1152"/>
      <c r="M187" s="1152"/>
      <c r="N187" s="1152"/>
      <c r="O187" s="1152"/>
      <c r="P187" s="1152"/>
      <c r="Q187" s="1152"/>
      <c r="R187" s="1152"/>
      <c r="S187" s="1152"/>
      <c r="T187" s="1152"/>
      <c r="U187" s="1152"/>
      <c r="V187" s="1152"/>
      <c r="W187" s="1152"/>
      <c r="X187" s="1152"/>
      <c r="Y187" s="1152"/>
      <c r="Z187" s="1152"/>
      <c r="AA187" s="1152"/>
      <c r="AB187" s="1152"/>
      <c r="AC187" s="1152"/>
      <c r="AD187" s="1152"/>
      <c r="AE187" s="1152"/>
      <c r="AF187" s="1152"/>
      <c r="AG187" s="1152"/>
      <c r="AH187" s="1152"/>
      <c r="AI187" s="1152"/>
      <c r="AJ187" s="1152"/>
      <c r="AK187" s="1152"/>
      <c r="AL187" s="1152"/>
      <c r="AM187" s="1152"/>
      <c r="AN187" s="1152"/>
    </row>
    <row r="188" spans="1:40" hidden="1">
      <c r="A188" s="3" t="s">
        <v>2273</v>
      </c>
      <c r="B188" s="11" t="s">
        <v>2379</v>
      </c>
      <c r="C188" s="1165">
        <f>85000*2</f>
        <v>170000</v>
      </c>
      <c r="D188" s="1165">
        <v>16000</v>
      </c>
      <c r="E188" s="1165">
        <f>+C188+D188</f>
        <v>186000</v>
      </c>
      <c r="F188" s="1165">
        <v>13000</v>
      </c>
      <c r="G188" s="1165">
        <v>40000</v>
      </c>
      <c r="H188" s="1152"/>
      <c r="I188" s="1152"/>
      <c r="J188" s="1152"/>
      <c r="K188" s="1152"/>
      <c r="L188" s="1152"/>
      <c r="M188" s="1152"/>
      <c r="N188" s="1152"/>
      <c r="O188" s="1152"/>
      <c r="P188" s="1152"/>
      <c r="Q188" s="1152"/>
      <c r="R188" s="1152"/>
      <c r="S188" s="1152"/>
      <c r="T188" s="1152"/>
      <c r="U188" s="1152"/>
      <c r="V188" s="1152"/>
      <c r="W188" s="1152"/>
      <c r="X188" s="1152"/>
      <c r="Y188" s="1152"/>
      <c r="Z188" s="1152"/>
      <c r="AA188" s="1152"/>
      <c r="AB188" s="1152"/>
      <c r="AC188" s="1152"/>
      <c r="AD188" s="1152"/>
      <c r="AE188" s="1152"/>
      <c r="AF188" s="1152"/>
      <c r="AG188" s="1152"/>
      <c r="AH188" s="1152"/>
      <c r="AI188" s="1152"/>
      <c r="AJ188" s="1152"/>
      <c r="AK188" s="1152"/>
      <c r="AL188" s="1152"/>
      <c r="AM188" s="1152"/>
      <c r="AN188" s="1152"/>
    </row>
    <row r="189" spans="1:40" hidden="1">
      <c r="A189" s="3" t="s">
        <v>2273</v>
      </c>
      <c r="B189" s="11" t="s">
        <v>2454</v>
      </c>
      <c r="C189" s="1165">
        <v>140000</v>
      </c>
      <c r="D189" s="1165">
        <v>16000</v>
      </c>
      <c r="E189" s="1165">
        <f>+C189+D189</f>
        <v>156000</v>
      </c>
      <c r="F189" s="1165">
        <v>13000</v>
      </c>
      <c r="G189" s="1165">
        <v>40000</v>
      </c>
      <c r="H189" s="1152"/>
      <c r="I189" s="1152"/>
      <c r="J189" s="1152"/>
      <c r="K189" s="1152"/>
      <c r="L189" s="1152"/>
      <c r="M189" s="1152"/>
      <c r="N189" s="1152"/>
      <c r="O189" s="1152"/>
      <c r="P189" s="1152"/>
      <c r="Q189" s="1152"/>
      <c r="R189" s="1152"/>
      <c r="S189" s="1152"/>
      <c r="T189" s="1152"/>
      <c r="U189" s="1152"/>
      <c r="V189" s="1152"/>
      <c r="W189" s="1152"/>
      <c r="X189" s="1152"/>
      <c r="Y189" s="1152"/>
      <c r="Z189" s="1152"/>
      <c r="AA189" s="1152"/>
      <c r="AB189" s="1152"/>
      <c r="AC189" s="1152"/>
      <c r="AD189" s="1152"/>
      <c r="AE189" s="1152"/>
      <c r="AF189" s="1152"/>
      <c r="AG189" s="1152"/>
      <c r="AH189" s="1152"/>
      <c r="AI189" s="1152"/>
      <c r="AJ189" s="1152"/>
      <c r="AK189" s="1152"/>
      <c r="AL189" s="1152"/>
      <c r="AM189" s="1152"/>
      <c r="AN189" s="1152"/>
    </row>
    <row r="190" spans="1:40" hidden="1">
      <c r="A190" s="3" t="s">
        <v>2273</v>
      </c>
      <c r="B190" s="11" t="s">
        <v>2455</v>
      </c>
      <c r="C190" s="1165">
        <v>30000</v>
      </c>
      <c r="D190" s="1165">
        <v>16000</v>
      </c>
      <c r="E190" s="1165">
        <f>+C190+D190</f>
        <v>46000</v>
      </c>
      <c r="F190" s="1165">
        <v>13000</v>
      </c>
      <c r="G190" s="1165">
        <v>40000</v>
      </c>
      <c r="H190" s="1152"/>
      <c r="I190" s="1152"/>
      <c r="J190" s="1152"/>
      <c r="K190" s="1152"/>
      <c r="L190" s="1152"/>
      <c r="M190" s="1152"/>
      <c r="N190" s="1152"/>
      <c r="O190" s="1152"/>
      <c r="P190" s="1152"/>
      <c r="Q190" s="1152"/>
      <c r="R190" s="1152"/>
      <c r="S190" s="1152"/>
      <c r="T190" s="1152"/>
      <c r="U190" s="1152"/>
      <c r="V190" s="1152"/>
      <c r="W190" s="1152"/>
      <c r="X190" s="1152"/>
      <c r="Y190" s="1152"/>
      <c r="Z190" s="1152"/>
      <c r="AA190" s="1152"/>
      <c r="AB190" s="1152"/>
      <c r="AC190" s="1152"/>
      <c r="AD190" s="1152"/>
      <c r="AE190" s="1152"/>
      <c r="AF190" s="1152"/>
      <c r="AG190" s="1152"/>
      <c r="AH190" s="1152"/>
      <c r="AI190" s="1152"/>
      <c r="AJ190" s="1152"/>
      <c r="AK190" s="1152"/>
      <c r="AL190" s="1152"/>
      <c r="AM190" s="1152"/>
      <c r="AN190" s="1152"/>
    </row>
    <row r="191" spans="1:40" hidden="1">
      <c r="A191" s="3" t="s">
        <v>2273</v>
      </c>
      <c r="B191" s="11" t="s">
        <v>2456</v>
      </c>
      <c r="C191" s="1165">
        <f>170000*2</f>
        <v>340000</v>
      </c>
      <c r="D191" s="1165">
        <v>16000</v>
      </c>
      <c r="E191" s="1165">
        <f>+C191+D191</f>
        <v>356000</v>
      </c>
      <c r="F191" s="1165">
        <v>13000</v>
      </c>
      <c r="G191" s="1165">
        <v>40000</v>
      </c>
      <c r="H191" s="1152"/>
      <c r="I191" s="1152"/>
      <c r="J191" s="1152"/>
      <c r="K191" s="1152"/>
      <c r="L191" s="1152"/>
      <c r="M191" s="1152"/>
      <c r="N191" s="1152"/>
      <c r="O191" s="1152"/>
      <c r="P191" s="1152"/>
      <c r="Q191" s="1152"/>
      <c r="R191" s="1152"/>
      <c r="S191" s="1152"/>
      <c r="T191" s="1152"/>
      <c r="U191" s="1152"/>
      <c r="V191" s="1152"/>
      <c r="W191" s="1152"/>
      <c r="X191" s="1152"/>
      <c r="Y191" s="1152"/>
      <c r="Z191" s="1152"/>
      <c r="AA191" s="1152"/>
      <c r="AB191" s="1152"/>
      <c r="AC191" s="1152"/>
      <c r="AD191" s="1152"/>
      <c r="AE191" s="1152"/>
      <c r="AF191" s="1152"/>
      <c r="AG191" s="1152"/>
      <c r="AH191" s="1152"/>
      <c r="AI191" s="1152"/>
      <c r="AJ191" s="1152"/>
      <c r="AK191" s="1152"/>
      <c r="AL191" s="1152"/>
      <c r="AM191" s="1152"/>
      <c r="AN191" s="1152"/>
    </row>
    <row r="192" spans="1:40" hidden="1">
      <c r="A192" s="1162" t="s">
        <v>2301</v>
      </c>
      <c r="B192" s="1162" t="s">
        <v>2254</v>
      </c>
      <c r="C192" s="1165">
        <v>8000</v>
      </c>
      <c r="D192" s="1165">
        <v>8000</v>
      </c>
      <c r="E192" s="1165">
        <f t="shared" ref="E192:E209" si="24">SUM(C192:D192)</f>
        <v>16000</v>
      </c>
      <c r="F192" s="1165">
        <v>8000</v>
      </c>
      <c r="G192" s="1165">
        <v>40000</v>
      </c>
      <c r="H192" s="1152"/>
      <c r="I192" s="1152"/>
      <c r="J192" s="1152"/>
      <c r="K192" s="1152"/>
      <c r="L192" s="1152"/>
      <c r="M192" s="1152"/>
      <c r="N192" s="1152"/>
      <c r="O192" s="1152"/>
      <c r="P192" s="1152"/>
      <c r="Q192" s="1152"/>
      <c r="R192" s="1152"/>
      <c r="S192" s="1152"/>
      <c r="T192" s="1152"/>
      <c r="U192" s="1152"/>
      <c r="V192" s="1152"/>
      <c r="W192" s="1152"/>
      <c r="X192" s="1152"/>
      <c r="Y192" s="1152"/>
      <c r="Z192" s="1152"/>
      <c r="AA192" s="1152"/>
      <c r="AB192" s="1152"/>
      <c r="AC192" s="1152"/>
      <c r="AD192" s="1152"/>
      <c r="AE192" s="1152"/>
      <c r="AF192" s="1152"/>
      <c r="AG192" s="1152"/>
      <c r="AH192" s="1152"/>
      <c r="AI192" s="1152"/>
      <c r="AJ192" s="1152"/>
      <c r="AK192" s="1152"/>
      <c r="AL192" s="1152"/>
      <c r="AM192" s="1152"/>
      <c r="AN192" s="1152"/>
    </row>
    <row r="193" spans="1:40" hidden="1">
      <c r="A193" s="1162" t="s">
        <v>2301</v>
      </c>
      <c r="B193" s="1162" t="s">
        <v>2448</v>
      </c>
      <c r="C193" s="1165">
        <v>90000</v>
      </c>
      <c r="D193" s="1165">
        <v>26000</v>
      </c>
      <c r="E193" s="1165">
        <f t="shared" si="24"/>
        <v>116000</v>
      </c>
      <c r="F193" s="1165">
        <v>8000</v>
      </c>
      <c r="G193" s="1165">
        <v>40000</v>
      </c>
      <c r="H193" s="1152"/>
      <c r="I193" s="1152"/>
      <c r="J193" s="1152"/>
      <c r="K193" s="1152"/>
      <c r="L193" s="1152"/>
      <c r="M193" s="1152"/>
      <c r="N193" s="1152"/>
      <c r="O193" s="1152"/>
      <c r="P193" s="1152"/>
      <c r="Q193" s="1152"/>
      <c r="R193" s="1152"/>
      <c r="S193" s="1152"/>
      <c r="T193" s="1152"/>
      <c r="U193" s="1152"/>
      <c r="V193" s="1152"/>
      <c r="W193" s="1152"/>
      <c r="X193" s="1152"/>
      <c r="Y193" s="1152"/>
      <c r="Z193" s="1152"/>
      <c r="AA193" s="1152"/>
      <c r="AB193" s="1152"/>
      <c r="AC193" s="1152"/>
      <c r="AD193" s="1152"/>
      <c r="AE193" s="1152"/>
      <c r="AF193" s="1152"/>
      <c r="AG193" s="1152"/>
      <c r="AH193" s="1152"/>
      <c r="AI193" s="1152"/>
      <c r="AJ193" s="1152"/>
      <c r="AK193" s="1152"/>
      <c r="AL193" s="1152"/>
      <c r="AM193" s="1152"/>
      <c r="AN193" s="1152"/>
    </row>
    <row r="194" spans="1:40" hidden="1">
      <c r="A194" s="1162" t="s">
        <v>2301</v>
      </c>
      <c r="B194" s="1162" t="s">
        <v>2255</v>
      </c>
      <c r="C194" s="1165">
        <v>8000</v>
      </c>
      <c r="D194" s="1165">
        <v>8000</v>
      </c>
      <c r="E194" s="1165">
        <f t="shared" si="24"/>
        <v>16000</v>
      </c>
      <c r="F194" s="1165">
        <v>8000</v>
      </c>
      <c r="G194" s="1165">
        <v>40000</v>
      </c>
      <c r="H194" s="1152"/>
      <c r="I194" s="1152"/>
      <c r="J194" s="1152"/>
      <c r="K194" s="1152"/>
      <c r="L194" s="1152"/>
      <c r="M194" s="1152"/>
      <c r="N194" s="1152"/>
      <c r="O194" s="1152"/>
      <c r="P194" s="1152"/>
      <c r="Q194" s="1152"/>
      <c r="R194" s="1152"/>
      <c r="S194" s="1152"/>
      <c r="T194" s="1152"/>
      <c r="U194" s="1152"/>
      <c r="V194" s="1152"/>
      <c r="W194" s="1152"/>
      <c r="X194" s="1152"/>
      <c r="Y194" s="1152"/>
      <c r="Z194" s="1152"/>
      <c r="AA194" s="1152"/>
      <c r="AB194" s="1152"/>
      <c r="AC194" s="1152"/>
      <c r="AD194" s="1152"/>
      <c r="AE194" s="1152"/>
      <c r="AF194" s="1152"/>
      <c r="AG194" s="1152"/>
      <c r="AH194" s="1152"/>
      <c r="AI194" s="1152"/>
      <c r="AJ194" s="1152"/>
      <c r="AK194" s="1152"/>
      <c r="AL194" s="1152"/>
      <c r="AM194" s="1152"/>
      <c r="AN194" s="1152"/>
    </row>
    <row r="195" spans="1:40" hidden="1">
      <c r="A195" s="1245" t="s">
        <v>2301</v>
      </c>
      <c r="B195" s="1246" t="s">
        <v>2302</v>
      </c>
      <c r="C195" s="37">
        <v>86000</v>
      </c>
      <c r="D195" s="1165">
        <v>26000</v>
      </c>
      <c r="E195" s="1165">
        <f t="shared" si="24"/>
        <v>112000</v>
      </c>
      <c r="F195" s="1165">
        <v>13000</v>
      </c>
      <c r="G195" s="1165">
        <v>40000</v>
      </c>
      <c r="H195" s="1152"/>
      <c r="I195" s="1152"/>
      <c r="J195" s="1152"/>
      <c r="K195" s="1152"/>
      <c r="L195" s="1152"/>
      <c r="M195" s="1152"/>
      <c r="N195" s="1152"/>
      <c r="O195" s="1152"/>
      <c r="P195" s="1152"/>
      <c r="Q195" s="1152"/>
      <c r="R195" s="1152"/>
      <c r="S195" s="1152"/>
      <c r="T195" s="1152"/>
      <c r="U195" s="1152"/>
      <c r="V195" s="1152"/>
      <c r="W195" s="1152"/>
      <c r="X195" s="1152"/>
      <c r="Y195" s="1152"/>
      <c r="Z195" s="1152"/>
      <c r="AA195" s="1152"/>
      <c r="AB195" s="1152"/>
      <c r="AC195" s="1152"/>
      <c r="AD195" s="1152"/>
      <c r="AE195" s="1152"/>
      <c r="AF195" s="1152"/>
      <c r="AG195" s="1152"/>
      <c r="AH195" s="1152"/>
      <c r="AI195" s="1152"/>
      <c r="AJ195" s="1152"/>
      <c r="AK195" s="1152"/>
      <c r="AL195" s="1152"/>
      <c r="AM195" s="1152"/>
      <c r="AN195" s="1152"/>
    </row>
    <row r="196" spans="1:40" hidden="1">
      <c r="A196" s="3" t="s">
        <v>2289</v>
      </c>
      <c r="B196" s="11" t="s">
        <v>2290</v>
      </c>
      <c r="C196" s="37">
        <v>146000</v>
      </c>
      <c r="D196" s="1165">
        <v>26000</v>
      </c>
      <c r="E196" s="1165">
        <f t="shared" si="24"/>
        <v>172000</v>
      </c>
      <c r="F196" s="1165">
        <v>13000</v>
      </c>
      <c r="G196" s="1165">
        <v>40000</v>
      </c>
      <c r="H196" s="1152"/>
      <c r="I196" s="1152"/>
      <c r="J196" s="1152"/>
      <c r="K196" s="1152"/>
      <c r="L196" s="1152"/>
      <c r="M196" s="1152"/>
      <c r="N196" s="1152"/>
      <c r="O196" s="1152"/>
      <c r="P196" s="1152"/>
      <c r="Q196" s="1152"/>
      <c r="R196" s="1152"/>
      <c r="S196" s="1152"/>
      <c r="T196" s="1152"/>
      <c r="U196" s="1152"/>
      <c r="V196" s="1152"/>
      <c r="W196" s="1152"/>
      <c r="X196" s="1152"/>
      <c r="Y196" s="1152"/>
      <c r="Z196" s="1152"/>
      <c r="AA196" s="1152"/>
      <c r="AB196" s="1152"/>
      <c r="AC196" s="1152"/>
      <c r="AD196" s="1152"/>
      <c r="AE196" s="1152"/>
      <c r="AF196" s="1152"/>
      <c r="AG196" s="1152"/>
      <c r="AH196" s="1152"/>
      <c r="AI196" s="1152"/>
      <c r="AJ196" s="1152"/>
      <c r="AK196" s="1152"/>
      <c r="AL196" s="1152"/>
      <c r="AM196" s="1152"/>
      <c r="AN196" s="1152"/>
    </row>
    <row r="197" spans="1:40" hidden="1">
      <c r="A197" s="3" t="s">
        <v>2289</v>
      </c>
      <c r="B197" s="11" t="s">
        <v>2449</v>
      </c>
      <c r="C197" s="37">
        <v>180000</v>
      </c>
      <c r="D197" s="1165">
        <v>26000</v>
      </c>
      <c r="E197" s="1165">
        <f t="shared" si="24"/>
        <v>206000</v>
      </c>
      <c r="F197" s="1165">
        <v>13000</v>
      </c>
      <c r="G197" s="1165">
        <v>40000</v>
      </c>
      <c r="H197" s="1152"/>
      <c r="I197" s="1152"/>
      <c r="J197" s="1152"/>
      <c r="K197" s="1152"/>
      <c r="L197" s="1152"/>
      <c r="M197" s="1152"/>
      <c r="N197" s="1152"/>
      <c r="O197" s="1152"/>
      <c r="P197" s="1152"/>
      <c r="Q197" s="1152"/>
      <c r="R197" s="1152"/>
      <c r="S197" s="1152"/>
      <c r="T197" s="1152"/>
      <c r="U197" s="1152"/>
      <c r="V197" s="1152"/>
      <c r="W197" s="1152"/>
      <c r="X197" s="1152"/>
      <c r="Y197" s="1152"/>
      <c r="Z197" s="1152"/>
      <c r="AA197" s="1152"/>
      <c r="AB197" s="1152"/>
      <c r="AC197" s="1152"/>
      <c r="AD197" s="1152"/>
      <c r="AE197" s="1152"/>
      <c r="AF197" s="1152"/>
      <c r="AG197" s="1152"/>
      <c r="AH197" s="1152"/>
      <c r="AI197" s="1152"/>
      <c r="AJ197" s="1152"/>
      <c r="AK197" s="1152"/>
      <c r="AL197" s="1152"/>
      <c r="AM197" s="1152"/>
      <c r="AN197" s="1152"/>
    </row>
    <row r="198" spans="1:40" hidden="1">
      <c r="A198" s="1162" t="s">
        <v>2289</v>
      </c>
      <c r="B198" s="1248" t="s">
        <v>2341</v>
      </c>
      <c r="C198" s="37">
        <f>85000*2</f>
        <v>170000</v>
      </c>
      <c r="D198" s="1165">
        <v>26000</v>
      </c>
      <c r="E198" s="1165">
        <f t="shared" si="24"/>
        <v>196000</v>
      </c>
      <c r="F198" s="1165">
        <v>13000</v>
      </c>
      <c r="G198" s="1165">
        <v>40000</v>
      </c>
      <c r="H198" s="1152"/>
      <c r="I198" s="1152"/>
      <c r="J198" s="1152"/>
      <c r="K198" s="1152"/>
      <c r="L198" s="1152"/>
      <c r="M198" s="1152"/>
      <c r="N198" s="1152"/>
      <c r="O198" s="1152"/>
      <c r="P198" s="1152"/>
      <c r="Q198" s="1152"/>
      <c r="R198" s="1152"/>
      <c r="S198" s="1152"/>
      <c r="T198" s="1152"/>
      <c r="U198" s="1152"/>
      <c r="V198" s="1152"/>
      <c r="W198" s="1152"/>
      <c r="X198" s="1152"/>
      <c r="Y198" s="1152"/>
      <c r="Z198" s="1152"/>
      <c r="AA198" s="1152"/>
      <c r="AB198" s="1152"/>
      <c r="AC198" s="1152"/>
      <c r="AD198" s="1152"/>
      <c r="AE198" s="1152"/>
      <c r="AF198" s="1152"/>
      <c r="AG198" s="1152"/>
      <c r="AH198" s="1152"/>
      <c r="AI198" s="1152"/>
      <c r="AJ198" s="1152"/>
      <c r="AK198" s="1152"/>
      <c r="AL198" s="1152"/>
      <c r="AM198" s="1152"/>
      <c r="AN198" s="1152"/>
    </row>
    <row r="199" spans="1:40">
      <c r="A199" s="3" t="s">
        <v>2303</v>
      </c>
      <c r="B199" s="11" t="s">
        <v>2304</v>
      </c>
      <c r="C199" s="37">
        <v>104000</v>
      </c>
      <c r="D199" s="1165">
        <v>26000</v>
      </c>
      <c r="E199" s="1165">
        <f t="shared" si="24"/>
        <v>130000</v>
      </c>
      <c r="F199" s="1165">
        <v>13000</v>
      </c>
      <c r="G199" s="1165">
        <v>40000</v>
      </c>
      <c r="H199" s="1152"/>
      <c r="I199" s="1152"/>
      <c r="J199" s="1152"/>
      <c r="K199" s="1152"/>
      <c r="L199" s="1152"/>
      <c r="M199" s="1152"/>
      <c r="N199" s="1152"/>
      <c r="O199" s="1152"/>
      <c r="P199" s="1152"/>
      <c r="Q199" s="1152"/>
      <c r="R199" s="1152"/>
      <c r="S199" s="1152"/>
      <c r="T199" s="1152"/>
      <c r="U199" s="1152"/>
      <c r="V199" s="1152"/>
      <c r="W199" s="1152"/>
      <c r="X199" s="1152"/>
      <c r="Y199" s="1152"/>
      <c r="Z199" s="1152"/>
      <c r="AA199" s="1152"/>
      <c r="AB199" s="1152"/>
      <c r="AC199" s="1152"/>
      <c r="AD199" s="1152"/>
      <c r="AE199" s="1152"/>
      <c r="AF199" s="1152"/>
      <c r="AG199" s="1152"/>
      <c r="AH199" s="1152"/>
      <c r="AI199" s="1152"/>
      <c r="AJ199" s="1152"/>
      <c r="AK199" s="1152"/>
      <c r="AL199" s="1152"/>
      <c r="AM199" s="1152"/>
      <c r="AN199" s="1152"/>
    </row>
    <row r="200" spans="1:40">
      <c r="A200" s="3" t="s">
        <v>2303</v>
      </c>
      <c r="B200" s="11" t="s">
        <v>2305</v>
      </c>
      <c r="C200" s="37">
        <v>60000</v>
      </c>
      <c r="D200" s="1165">
        <v>26000</v>
      </c>
      <c r="E200" s="1165">
        <f t="shared" si="24"/>
        <v>86000</v>
      </c>
      <c r="F200" s="1165">
        <v>13000</v>
      </c>
      <c r="G200" s="1165">
        <v>40000</v>
      </c>
      <c r="H200" s="1152"/>
      <c r="I200" s="1152"/>
      <c r="J200" s="1152"/>
      <c r="K200" s="1152"/>
      <c r="L200" s="1152"/>
      <c r="M200" s="1152"/>
      <c r="N200" s="1152"/>
      <c r="O200" s="1152"/>
      <c r="P200" s="1152"/>
      <c r="Q200" s="1152"/>
      <c r="R200" s="1152"/>
      <c r="S200" s="1152"/>
      <c r="T200" s="1152"/>
      <c r="U200" s="1152"/>
      <c r="V200" s="1152"/>
      <c r="W200" s="1152"/>
      <c r="X200" s="1152"/>
      <c r="Y200" s="1152"/>
      <c r="Z200" s="1152"/>
      <c r="AA200" s="1152"/>
      <c r="AB200" s="1152"/>
      <c r="AC200" s="1152"/>
      <c r="AD200" s="1152"/>
      <c r="AE200" s="1152"/>
      <c r="AF200" s="1152"/>
      <c r="AG200" s="1152"/>
      <c r="AH200" s="1152"/>
      <c r="AI200" s="1152"/>
      <c r="AJ200" s="1152"/>
      <c r="AK200" s="1152"/>
      <c r="AL200" s="1152"/>
      <c r="AM200" s="1152"/>
      <c r="AN200" s="1152"/>
    </row>
    <row r="201" spans="1:40">
      <c r="A201" s="3" t="s">
        <v>2303</v>
      </c>
      <c r="B201" s="11" t="s">
        <v>2306</v>
      </c>
      <c r="C201" s="37">
        <v>64000</v>
      </c>
      <c r="D201" s="1165">
        <v>26000</v>
      </c>
      <c r="E201" s="1165">
        <f t="shared" si="24"/>
        <v>90000</v>
      </c>
      <c r="F201" s="1165">
        <v>13000</v>
      </c>
      <c r="G201" s="1165">
        <v>40000</v>
      </c>
      <c r="H201" s="1152"/>
      <c r="I201" s="1152"/>
      <c r="J201" s="1152"/>
      <c r="K201" s="1152"/>
      <c r="L201" s="1152"/>
      <c r="M201" s="1152"/>
      <c r="N201" s="1152"/>
      <c r="O201" s="1152"/>
      <c r="P201" s="1152"/>
      <c r="Q201" s="1152"/>
      <c r="R201" s="1152"/>
      <c r="S201" s="1152"/>
      <c r="T201" s="1152"/>
      <c r="U201" s="1152"/>
      <c r="V201" s="1152"/>
      <c r="W201" s="1152"/>
      <c r="X201" s="1152"/>
      <c r="Y201" s="1152"/>
      <c r="Z201" s="1152"/>
      <c r="AA201" s="1152"/>
      <c r="AB201" s="1152"/>
      <c r="AC201" s="1152"/>
      <c r="AD201" s="1152"/>
      <c r="AE201" s="1152"/>
      <c r="AF201" s="1152"/>
      <c r="AG201" s="1152"/>
      <c r="AH201" s="1152"/>
      <c r="AI201" s="1152"/>
      <c r="AJ201" s="1152"/>
      <c r="AK201" s="1152"/>
      <c r="AL201" s="1152"/>
      <c r="AM201" s="1152"/>
      <c r="AN201" s="1152"/>
    </row>
    <row r="202" spans="1:40" hidden="1">
      <c r="A202" s="1162" t="s">
        <v>2325</v>
      </c>
      <c r="B202" s="1162" t="s">
        <v>2251</v>
      </c>
      <c r="C202" s="1165">
        <v>20000</v>
      </c>
      <c r="D202" s="1165">
        <v>8000</v>
      </c>
      <c r="E202" s="1165">
        <f t="shared" si="24"/>
        <v>28000</v>
      </c>
      <c r="F202" s="1165">
        <v>13000</v>
      </c>
      <c r="G202" s="1165">
        <v>40000</v>
      </c>
      <c r="H202" s="1152"/>
      <c r="I202" s="1152"/>
      <c r="J202" s="1152"/>
      <c r="K202" s="1152"/>
      <c r="L202" s="1152"/>
      <c r="M202" s="1152"/>
      <c r="N202" s="1152"/>
      <c r="O202" s="1152"/>
      <c r="P202" s="1152"/>
      <c r="Q202" s="1152"/>
      <c r="R202" s="1152"/>
      <c r="S202" s="1152"/>
      <c r="T202" s="1152"/>
      <c r="U202" s="1152"/>
      <c r="V202" s="1152"/>
      <c r="W202" s="1152"/>
      <c r="X202" s="1152"/>
      <c r="Y202" s="1152"/>
      <c r="Z202" s="1152"/>
      <c r="AA202" s="1152"/>
      <c r="AB202" s="1152"/>
      <c r="AC202" s="1152"/>
      <c r="AD202" s="1152"/>
      <c r="AE202" s="1152"/>
      <c r="AF202" s="1152"/>
      <c r="AG202" s="1152"/>
      <c r="AH202" s="1152"/>
      <c r="AI202" s="1152"/>
      <c r="AJ202" s="1152"/>
      <c r="AK202" s="1152"/>
      <c r="AL202" s="1152"/>
      <c r="AM202" s="1152"/>
      <c r="AN202" s="1152"/>
    </row>
    <row r="203" spans="1:40" hidden="1">
      <c r="A203" s="1162" t="s">
        <v>2325</v>
      </c>
      <c r="B203" s="1162" t="s">
        <v>2252</v>
      </c>
      <c r="C203" s="1165">
        <f>20000*2</f>
        <v>40000</v>
      </c>
      <c r="D203" s="1165">
        <v>13000</v>
      </c>
      <c r="E203" s="1165">
        <f t="shared" si="24"/>
        <v>53000</v>
      </c>
      <c r="F203" s="1165">
        <v>12000</v>
      </c>
      <c r="G203" s="1165">
        <v>40000</v>
      </c>
      <c r="H203" s="1152"/>
      <c r="I203" s="1152"/>
      <c r="J203" s="1152"/>
      <c r="K203" s="1152"/>
      <c r="L203" s="1152"/>
      <c r="M203" s="1152"/>
      <c r="N203" s="1152"/>
      <c r="O203" s="1152"/>
      <c r="P203" s="1152"/>
      <c r="Q203" s="1152"/>
      <c r="R203" s="1152"/>
      <c r="S203" s="1152"/>
      <c r="T203" s="1152"/>
      <c r="U203" s="1152"/>
      <c r="V203" s="1152"/>
      <c r="W203" s="1152"/>
      <c r="X203" s="1152"/>
      <c r="Y203" s="1152"/>
      <c r="Z203" s="1152"/>
      <c r="AA203" s="1152"/>
      <c r="AB203" s="1152"/>
      <c r="AC203" s="1152"/>
      <c r="AD203" s="1152"/>
      <c r="AE203" s="1152"/>
      <c r="AF203" s="1152"/>
      <c r="AG203" s="1152"/>
      <c r="AH203" s="1152"/>
      <c r="AI203" s="1152"/>
      <c r="AJ203" s="1152"/>
      <c r="AK203" s="1152"/>
      <c r="AL203" s="1152"/>
      <c r="AM203" s="1152"/>
      <c r="AN203" s="1152"/>
    </row>
    <row r="204" spans="1:40" hidden="1">
      <c r="A204" s="1162" t="s">
        <v>2325</v>
      </c>
      <c r="B204" s="1162" t="s">
        <v>2253</v>
      </c>
      <c r="C204" s="1165">
        <f>30000*2</f>
        <v>60000</v>
      </c>
      <c r="D204" s="1165">
        <v>13000</v>
      </c>
      <c r="E204" s="1165">
        <f t="shared" si="24"/>
        <v>73000</v>
      </c>
      <c r="F204" s="1165">
        <v>13000</v>
      </c>
      <c r="G204" s="1165">
        <v>40000</v>
      </c>
      <c r="H204" s="1152"/>
      <c r="I204" s="1152"/>
      <c r="J204" s="1152"/>
      <c r="K204" s="1152"/>
      <c r="L204" s="1152"/>
      <c r="M204" s="1152"/>
      <c r="N204" s="1152"/>
      <c r="O204" s="1152"/>
      <c r="P204" s="1152"/>
      <c r="Q204" s="1152"/>
      <c r="R204" s="1152"/>
      <c r="S204" s="1152"/>
      <c r="T204" s="1152"/>
      <c r="U204" s="1152"/>
      <c r="V204" s="1152"/>
      <c r="W204" s="1152"/>
      <c r="X204" s="1152"/>
      <c r="Y204" s="1152"/>
      <c r="Z204" s="1152"/>
      <c r="AA204" s="1152"/>
      <c r="AB204" s="1152"/>
      <c r="AC204" s="1152"/>
      <c r="AD204" s="1152"/>
      <c r="AE204" s="1152"/>
      <c r="AF204" s="1152"/>
      <c r="AG204" s="1152"/>
      <c r="AH204" s="1152"/>
      <c r="AI204" s="1152"/>
      <c r="AJ204" s="1152"/>
      <c r="AK204" s="1152"/>
      <c r="AL204" s="1152"/>
      <c r="AM204" s="1152"/>
      <c r="AN204" s="1152"/>
    </row>
    <row r="205" spans="1:40" hidden="1">
      <c r="A205" s="3" t="s">
        <v>2325</v>
      </c>
      <c r="B205" s="11" t="s">
        <v>2326</v>
      </c>
      <c r="C205" s="37">
        <v>107000</v>
      </c>
      <c r="D205" s="1165">
        <v>26000</v>
      </c>
      <c r="E205" s="1165">
        <f t="shared" si="24"/>
        <v>133000</v>
      </c>
      <c r="F205" s="1165">
        <v>13000</v>
      </c>
      <c r="G205" s="1165">
        <v>40000</v>
      </c>
      <c r="H205" s="1152"/>
      <c r="I205" s="1152"/>
      <c r="J205" s="1152"/>
      <c r="K205" s="1152"/>
      <c r="L205" s="1152"/>
      <c r="M205" s="1152"/>
      <c r="N205" s="1152"/>
      <c r="O205" s="1152"/>
      <c r="P205" s="1152"/>
      <c r="Q205" s="1152"/>
      <c r="R205" s="1152"/>
      <c r="S205" s="1152"/>
      <c r="T205" s="1152"/>
      <c r="U205" s="1152"/>
      <c r="V205" s="1152"/>
      <c r="W205" s="1152"/>
      <c r="X205" s="1152"/>
      <c r="Y205" s="1152"/>
      <c r="Z205" s="1152"/>
      <c r="AA205" s="1152"/>
      <c r="AB205" s="1152"/>
      <c r="AC205" s="1152"/>
      <c r="AD205" s="1152"/>
      <c r="AE205" s="1152"/>
      <c r="AF205" s="1152"/>
      <c r="AG205" s="1152"/>
      <c r="AH205" s="1152"/>
      <c r="AI205" s="1152"/>
      <c r="AJ205" s="1152"/>
      <c r="AK205" s="1152"/>
      <c r="AL205" s="1152"/>
      <c r="AM205" s="1152"/>
      <c r="AN205" s="1152"/>
    </row>
    <row r="206" spans="1:40" hidden="1">
      <c r="A206" s="3" t="s">
        <v>2325</v>
      </c>
      <c r="B206" s="11" t="s">
        <v>2327</v>
      </c>
      <c r="C206" s="37">
        <v>80000</v>
      </c>
      <c r="D206" s="1165">
        <v>26000</v>
      </c>
      <c r="E206" s="1165">
        <f t="shared" si="24"/>
        <v>106000</v>
      </c>
      <c r="F206" s="1165">
        <v>13000</v>
      </c>
      <c r="G206" s="1165">
        <v>40000</v>
      </c>
      <c r="H206" s="1152"/>
      <c r="I206" s="1152"/>
      <c r="J206" s="1152"/>
      <c r="K206" s="1152"/>
      <c r="L206" s="1152"/>
      <c r="M206" s="1152"/>
      <c r="N206" s="1152"/>
      <c r="O206" s="1152"/>
      <c r="P206" s="1152"/>
      <c r="Q206" s="1152"/>
      <c r="R206" s="1152"/>
      <c r="S206" s="1152"/>
      <c r="T206" s="1152"/>
      <c r="U206" s="1152"/>
      <c r="V206" s="1152"/>
      <c r="W206" s="1152"/>
      <c r="X206" s="1152"/>
      <c r="Y206" s="1152"/>
      <c r="Z206" s="1152"/>
      <c r="AA206" s="1152"/>
      <c r="AB206" s="1152"/>
      <c r="AC206" s="1152"/>
      <c r="AD206" s="1152"/>
      <c r="AE206" s="1152"/>
      <c r="AF206" s="1152"/>
      <c r="AG206" s="1152"/>
      <c r="AH206" s="1152"/>
      <c r="AI206" s="1152"/>
      <c r="AJ206" s="1152"/>
      <c r="AK206" s="1152"/>
      <c r="AL206" s="1152"/>
      <c r="AM206" s="1152"/>
      <c r="AN206" s="1152"/>
    </row>
    <row r="207" spans="1:40" hidden="1">
      <c r="A207" s="3" t="s">
        <v>2325</v>
      </c>
      <c r="B207" s="11" t="s">
        <v>2328</v>
      </c>
      <c r="C207" s="37">
        <v>28000</v>
      </c>
      <c r="D207" s="1165">
        <v>26000</v>
      </c>
      <c r="E207" s="1165">
        <f t="shared" si="24"/>
        <v>54000</v>
      </c>
      <c r="F207" s="1165">
        <v>13000</v>
      </c>
      <c r="G207" s="1165">
        <v>40000</v>
      </c>
      <c r="H207" s="1152"/>
      <c r="I207" s="1152"/>
      <c r="J207" s="1152"/>
      <c r="K207" s="1152"/>
      <c r="L207" s="1152"/>
      <c r="M207" s="1152"/>
      <c r="N207" s="1152"/>
      <c r="O207" s="1152"/>
      <c r="P207" s="1152"/>
      <c r="Q207" s="1152"/>
      <c r="R207" s="1152"/>
      <c r="S207" s="1152"/>
      <c r="T207" s="1152"/>
      <c r="U207" s="1152"/>
      <c r="V207" s="1152"/>
      <c r="W207" s="1152"/>
      <c r="X207" s="1152"/>
      <c r="Y207" s="1152"/>
      <c r="Z207" s="1152"/>
      <c r="AA207" s="1152"/>
      <c r="AB207" s="1152"/>
      <c r="AC207" s="1152"/>
      <c r="AD207" s="1152"/>
      <c r="AE207" s="1152"/>
      <c r="AF207" s="1152"/>
      <c r="AG207" s="1152"/>
      <c r="AH207" s="1152"/>
      <c r="AI207" s="1152"/>
      <c r="AJ207" s="1152"/>
      <c r="AK207" s="1152"/>
      <c r="AL207" s="1152"/>
      <c r="AM207" s="1152"/>
      <c r="AN207" s="1152"/>
    </row>
    <row r="208" spans="1:40" hidden="1">
      <c r="A208" s="3" t="s">
        <v>2325</v>
      </c>
      <c r="B208" s="11" t="s">
        <v>2251</v>
      </c>
      <c r="C208" s="37">
        <v>28000</v>
      </c>
      <c r="D208" s="1165">
        <v>26000</v>
      </c>
      <c r="E208" s="1165">
        <f t="shared" si="24"/>
        <v>54000</v>
      </c>
      <c r="F208" s="1165">
        <v>13000</v>
      </c>
      <c r="G208" s="1165">
        <v>40000</v>
      </c>
      <c r="H208" s="1152"/>
      <c r="I208" s="1152"/>
      <c r="J208" s="1152"/>
      <c r="K208" s="1152"/>
      <c r="L208" s="1152"/>
      <c r="M208" s="1152"/>
      <c r="N208" s="1152"/>
      <c r="O208" s="1152"/>
      <c r="P208" s="1152"/>
      <c r="Q208" s="1152"/>
      <c r="R208" s="1152"/>
      <c r="S208" s="1152"/>
      <c r="T208" s="1152"/>
      <c r="U208" s="1152"/>
      <c r="V208" s="1152"/>
      <c r="W208" s="1152"/>
      <c r="X208" s="1152"/>
      <c r="Y208" s="1152"/>
      <c r="Z208" s="1152"/>
      <c r="AA208" s="1152"/>
      <c r="AB208" s="1152"/>
      <c r="AC208" s="1152"/>
      <c r="AD208" s="1152"/>
      <c r="AE208" s="1152"/>
      <c r="AF208" s="1152"/>
      <c r="AG208" s="1152"/>
      <c r="AH208" s="1152"/>
      <c r="AI208" s="1152"/>
      <c r="AJ208" s="1152"/>
      <c r="AK208" s="1152"/>
      <c r="AL208" s="1152"/>
      <c r="AM208" s="1152"/>
      <c r="AN208" s="1152"/>
    </row>
    <row r="209" spans="1:40" hidden="1">
      <c r="A209" s="3" t="s">
        <v>2325</v>
      </c>
      <c r="B209" s="11" t="s">
        <v>2380</v>
      </c>
      <c r="C209" s="37">
        <f>32000*2</f>
        <v>64000</v>
      </c>
      <c r="D209" s="1165">
        <v>16000</v>
      </c>
      <c r="E209" s="1165">
        <f t="shared" si="24"/>
        <v>80000</v>
      </c>
      <c r="F209" s="1165">
        <v>13000</v>
      </c>
      <c r="G209" s="1165">
        <v>40000</v>
      </c>
      <c r="H209" s="1152"/>
      <c r="I209" s="1152"/>
      <c r="J209" s="1152"/>
      <c r="K209" s="1152"/>
      <c r="L209" s="1152"/>
      <c r="M209" s="1152"/>
      <c r="N209" s="1152"/>
      <c r="O209" s="1152"/>
      <c r="P209" s="1152"/>
      <c r="Q209" s="1152"/>
      <c r="R209" s="1152"/>
      <c r="S209" s="1152"/>
      <c r="T209" s="1152"/>
      <c r="U209" s="1152"/>
      <c r="V209" s="1152"/>
      <c r="W209" s="1152"/>
      <c r="X209" s="1152"/>
      <c r="Y209" s="1152"/>
      <c r="Z209" s="1152"/>
      <c r="AA209" s="1152"/>
      <c r="AB209" s="1152"/>
      <c r="AC209" s="1152"/>
      <c r="AD209" s="1152"/>
      <c r="AE209" s="1152"/>
      <c r="AF209" s="1152"/>
      <c r="AG209" s="1152"/>
      <c r="AH209" s="1152"/>
      <c r="AI209" s="1152"/>
      <c r="AJ209" s="1152"/>
      <c r="AK209" s="1152"/>
      <c r="AL209" s="1152"/>
      <c r="AM209" s="1152"/>
      <c r="AN209" s="1152"/>
    </row>
    <row r="210" spans="1:40" hidden="1">
      <c r="A210" s="3" t="s">
        <v>2325</v>
      </c>
      <c r="B210" s="11" t="s">
        <v>2381</v>
      </c>
      <c r="C210" s="37">
        <f>32000*2</f>
        <v>64000</v>
      </c>
      <c r="D210" s="1165">
        <v>16000</v>
      </c>
      <c r="E210" s="1165">
        <f t="shared" ref="E210:E216" si="25">+C210+D210</f>
        <v>80000</v>
      </c>
      <c r="F210" s="1165">
        <v>13000</v>
      </c>
      <c r="G210" s="1165">
        <v>40000</v>
      </c>
      <c r="H210" s="1152"/>
      <c r="I210" s="1152"/>
      <c r="J210" s="1152"/>
      <c r="K210" s="1152"/>
      <c r="L210" s="1152"/>
      <c r="M210" s="1152"/>
      <c r="N210" s="1152"/>
      <c r="O210" s="1152"/>
      <c r="P210" s="1152"/>
      <c r="Q210" s="1152"/>
      <c r="R210" s="1152"/>
      <c r="S210" s="1152"/>
      <c r="T210" s="1152"/>
      <c r="U210" s="1152"/>
      <c r="V210" s="1152"/>
      <c r="W210" s="1152"/>
      <c r="X210" s="1152"/>
      <c r="Y210" s="1152"/>
      <c r="Z210" s="1152"/>
      <c r="AA210" s="1152"/>
      <c r="AB210" s="1152"/>
      <c r="AC210" s="1152"/>
      <c r="AD210" s="1152"/>
      <c r="AE210" s="1152"/>
      <c r="AF210" s="1152"/>
      <c r="AG210" s="1152"/>
      <c r="AH210" s="1152"/>
      <c r="AI210" s="1152"/>
      <c r="AJ210" s="1152"/>
      <c r="AK210" s="1152"/>
      <c r="AL210" s="1152"/>
      <c r="AM210" s="1152"/>
      <c r="AN210" s="1152"/>
    </row>
    <row r="211" spans="1:40" hidden="1">
      <c r="A211" s="3" t="s">
        <v>2325</v>
      </c>
      <c r="B211" s="11" t="s">
        <v>2382</v>
      </c>
      <c r="C211" s="37">
        <f>27000*2</f>
        <v>54000</v>
      </c>
      <c r="D211" s="1165">
        <v>16000</v>
      </c>
      <c r="E211" s="1165">
        <f t="shared" si="25"/>
        <v>70000</v>
      </c>
      <c r="F211" s="1165">
        <v>13000</v>
      </c>
      <c r="G211" s="1165">
        <v>40000</v>
      </c>
      <c r="H211" s="1152"/>
      <c r="I211" s="1152"/>
      <c r="J211" s="1152"/>
      <c r="K211" s="1152"/>
      <c r="L211" s="1152"/>
      <c r="M211" s="1152"/>
      <c r="N211" s="1152"/>
      <c r="O211" s="1152"/>
      <c r="P211" s="1152"/>
      <c r="Q211" s="1152"/>
      <c r="R211" s="1152"/>
      <c r="S211" s="1152"/>
      <c r="T211" s="1152"/>
      <c r="U211" s="1152"/>
      <c r="V211" s="1152"/>
      <c r="W211" s="1152"/>
      <c r="X211" s="1152"/>
      <c r="Y211" s="1152"/>
      <c r="Z211" s="1152"/>
      <c r="AA211" s="1152"/>
      <c r="AB211" s="1152"/>
      <c r="AC211" s="1152"/>
      <c r="AD211" s="1152"/>
      <c r="AE211" s="1152"/>
      <c r="AF211" s="1152"/>
      <c r="AG211" s="1152"/>
      <c r="AH211" s="1152"/>
      <c r="AI211" s="1152"/>
      <c r="AJ211" s="1152"/>
      <c r="AK211" s="1152"/>
      <c r="AL211" s="1152"/>
      <c r="AM211" s="1152"/>
      <c r="AN211" s="1152"/>
    </row>
    <row r="212" spans="1:40" hidden="1">
      <c r="A212" s="3" t="s">
        <v>2325</v>
      </c>
      <c r="B212" s="11" t="s">
        <v>2385</v>
      </c>
      <c r="C212" s="37">
        <f>28000*2</f>
        <v>56000</v>
      </c>
      <c r="D212" s="1165">
        <v>16000</v>
      </c>
      <c r="E212" s="1165">
        <f t="shared" si="25"/>
        <v>72000</v>
      </c>
      <c r="F212" s="1165">
        <v>13000</v>
      </c>
      <c r="G212" s="1165">
        <v>40000</v>
      </c>
      <c r="H212" s="1152"/>
      <c r="I212" s="1152"/>
      <c r="J212" s="1152"/>
      <c r="K212" s="1152"/>
      <c r="L212" s="1152"/>
      <c r="M212" s="1152"/>
      <c r="N212" s="1152"/>
      <c r="O212" s="1152"/>
      <c r="P212" s="1152"/>
      <c r="Q212" s="1152"/>
      <c r="R212" s="1152"/>
      <c r="S212" s="1152"/>
      <c r="T212" s="1152"/>
      <c r="U212" s="1152"/>
      <c r="V212" s="1152"/>
      <c r="W212" s="1152"/>
      <c r="X212" s="1152"/>
      <c r="Y212" s="1152"/>
      <c r="Z212" s="1152"/>
      <c r="AA212" s="1152"/>
      <c r="AB212" s="1152"/>
      <c r="AC212" s="1152"/>
      <c r="AD212" s="1152"/>
      <c r="AE212" s="1152"/>
      <c r="AF212" s="1152"/>
      <c r="AG212" s="1152"/>
      <c r="AH212" s="1152"/>
      <c r="AI212" s="1152"/>
      <c r="AJ212" s="1152"/>
      <c r="AK212" s="1152"/>
      <c r="AL212" s="1152"/>
      <c r="AM212" s="1152"/>
      <c r="AN212" s="1152"/>
    </row>
    <row r="213" spans="1:40" hidden="1">
      <c r="A213" s="3" t="s">
        <v>2325</v>
      </c>
      <c r="B213" s="11" t="s">
        <v>2383</v>
      </c>
      <c r="C213" s="37">
        <f>28000*2</f>
        <v>56000</v>
      </c>
      <c r="D213" s="1165">
        <v>16000</v>
      </c>
      <c r="E213" s="1165">
        <f t="shared" si="25"/>
        <v>72000</v>
      </c>
      <c r="F213" s="1165">
        <v>13000</v>
      </c>
      <c r="G213" s="1165">
        <v>40000</v>
      </c>
      <c r="H213" s="1152"/>
      <c r="I213" s="1152"/>
      <c r="J213" s="1152"/>
      <c r="K213" s="1152"/>
      <c r="L213" s="1152"/>
      <c r="M213" s="1152"/>
      <c r="N213" s="1152"/>
      <c r="O213" s="1152"/>
      <c r="P213" s="1152"/>
      <c r="Q213" s="1152"/>
      <c r="R213" s="1152"/>
      <c r="S213" s="1152"/>
      <c r="T213" s="1152"/>
      <c r="U213" s="1152"/>
      <c r="V213" s="1152"/>
      <c r="W213" s="1152"/>
      <c r="X213" s="1152"/>
      <c r="Y213" s="1152"/>
      <c r="Z213" s="1152"/>
      <c r="AA213" s="1152"/>
      <c r="AB213" s="1152"/>
      <c r="AC213" s="1152"/>
      <c r="AD213" s="1152"/>
      <c r="AE213" s="1152"/>
      <c r="AF213" s="1152"/>
      <c r="AG213" s="1152"/>
      <c r="AH213" s="1152"/>
      <c r="AI213" s="1152"/>
      <c r="AJ213" s="1152"/>
      <c r="AK213" s="1152"/>
      <c r="AL213" s="1152"/>
      <c r="AM213" s="1152"/>
      <c r="AN213" s="1152"/>
    </row>
    <row r="214" spans="1:40" hidden="1">
      <c r="A214" s="3" t="s">
        <v>2325</v>
      </c>
      <c r="B214" s="11" t="s">
        <v>2450</v>
      </c>
      <c r="C214" s="37">
        <f>20000*2</f>
        <v>40000</v>
      </c>
      <c r="D214" s="1165">
        <v>8000</v>
      </c>
      <c r="E214" s="1165">
        <f t="shared" si="25"/>
        <v>48000</v>
      </c>
      <c r="F214" s="1165">
        <v>13000</v>
      </c>
      <c r="G214" s="1165">
        <v>40000</v>
      </c>
      <c r="H214" s="1152"/>
      <c r="I214" s="1152"/>
      <c r="J214" s="1152"/>
      <c r="K214" s="1152"/>
      <c r="L214" s="1152"/>
      <c r="M214" s="1152"/>
      <c r="N214" s="1152"/>
      <c r="O214" s="1152"/>
      <c r="P214" s="1152"/>
      <c r="Q214" s="1152"/>
      <c r="R214" s="1152"/>
      <c r="S214" s="1152"/>
      <c r="T214" s="1152"/>
      <c r="U214" s="1152"/>
      <c r="V214" s="1152"/>
      <c r="W214" s="1152"/>
      <c r="X214" s="1152"/>
      <c r="Y214" s="1152"/>
      <c r="Z214" s="1152"/>
      <c r="AA214" s="1152"/>
      <c r="AB214" s="1152"/>
      <c r="AC214" s="1152"/>
      <c r="AD214" s="1152"/>
      <c r="AE214" s="1152"/>
      <c r="AF214" s="1152"/>
      <c r="AG214" s="1152"/>
      <c r="AH214" s="1152"/>
      <c r="AI214" s="1152"/>
      <c r="AJ214" s="1152"/>
      <c r="AK214" s="1152"/>
      <c r="AL214" s="1152"/>
      <c r="AM214" s="1152"/>
      <c r="AN214" s="1152"/>
    </row>
    <row r="215" spans="1:40" hidden="1">
      <c r="A215" s="3" t="s">
        <v>2325</v>
      </c>
      <c r="B215" s="11" t="s">
        <v>2386</v>
      </c>
      <c r="C215" s="37">
        <f>16200*2</f>
        <v>32400</v>
      </c>
      <c r="D215" s="1165">
        <v>8000</v>
      </c>
      <c r="E215" s="1165">
        <f t="shared" si="25"/>
        <v>40400</v>
      </c>
      <c r="F215" s="1165">
        <v>13000</v>
      </c>
      <c r="G215" s="1165">
        <v>40000</v>
      </c>
      <c r="H215" s="1152"/>
      <c r="I215" s="1152"/>
      <c r="J215" s="1152"/>
      <c r="K215" s="1152"/>
      <c r="L215" s="1152"/>
      <c r="M215" s="1152"/>
      <c r="N215" s="1152"/>
      <c r="O215" s="1152"/>
      <c r="P215" s="1152"/>
      <c r="Q215" s="1152"/>
      <c r="R215" s="1152"/>
      <c r="S215" s="1152"/>
      <c r="T215" s="1152"/>
      <c r="U215" s="1152"/>
      <c r="V215" s="1152"/>
      <c r="W215" s="1152"/>
      <c r="X215" s="1152"/>
      <c r="Y215" s="1152"/>
      <c r="Z215" s="1152"/>
      <c r="AA215" s="1152"/>
      <c r="AB215" s="1152"/>
      <c r="AC215" s="1152"/>
      <c r="AD215" s="1152"/>
      <c r="AE215" s="1152"/>
      <c r="AF215" s="1152"/>
      <c r="AG215" s="1152"/>
      <c r="AH215" s="1152"/>
      <c r="AI215" s="1152"/>
      <c r="AJ215" s="1152"/>
      <c r="AK215" s="1152"/>
      <c r="AL215" s="1152"/>
      <c r="AM215" s="1152"/>
      <c r="AN215" s="1152"/>
    </row>
    <row r="216" spans="1:40" hidden="1">
      <c r="A216" s="3" t="s">
        <v>2325</v>
      </c>
      <c r="B216" s="11" t="s">
        <v>2387</v>
      </c>
      <c r="C216" s="37">
        <f>35000*2</f>
        <v>70000</v>
      </c>
      <c r="D216" s="1165">
        <v>8000</v>
      </c>
      <c r="E216" s="1165">
        <f t="shared" si="25"/>
        <v>78000</v>
      </c>
      <c r="F216" s="1165">
        <v>13000</v>
      </c>
      <c r="G216" s="1165">
        <v>40000</v>
      </c>
      <c r="H216" s="1152"/>
      <c r="I216" s="1152"/>
      <c r="J216" s="1152"/>
      <c r="K216" s="1152"/>
      <c r="L216" s="1152"/>
      <c r="M216" s="1152"/>
      <c r="N216" s="1152"/>
      <c r="O216" s="1152"/>
      <c r="P216" s="1152"/>
      <c r="Q216" s="1152"/>
      <c r="R216" s="1152"/>
      <c r="S216" s="1152"/>
      <c r="T216" s="1152"/>
      <c r="U216" s="1152"/>
      <c r="V216" s="1152"/>
      <c r="W216" s="1152"/>
      <c r="X216" s="1152"/>
      <c r="Y216" s="1152"/>
      <c r="Z216" s="1152"/>
      <c r="AA216" s="1152"/>
      <c r="AB216" s="1152"/>
      <c r="AC216" s="1152"/>
      <c r="AD216" s="1152"/>
      <c r="AE216" s="1152"/>
      <c r="AF216" s="1152"/>
      <c r="AG216" s="1152"/>
      <c r="AH216" s="1152"/>
      <c r="AI216" s="1152"/>
      <c r="AJ216" s="1152"/>
      <c r="AK216" s="1152"/>
      <c r="AL216" s="1152"/>
      <c r="AM216" s="1152"/>
      <c r="AN216" s="1152"/>
    </row>
    <row r="217" spans="1:40" hidden="1">
      <c r="A217" s="3" t="s">
        <v>2331</v>
      </c>
      <c r="B217" s="11" t="s">
        <v>2332</v>
      </c>
      <c r="C217" s="37">
        <v>600000</v>
      </c>
      <c r="D217" s="1165">
        <v>26000</v>
      </c>
      <c r="E217" s="1165">
        <f>SUM(C217:D217)</f>
        <v>626000</v>
      </c>
      <c r="F217" s="1165">
        <v>13000</v>
      </c>
      <c r="G217" s="1165">
        <v>40000</v>
      </c>
      <c r="H217" s="1152"/>
      <c r="I217" s="1152"/>
      <c r="J217" s="1152"/>
      <c r="K217" s="1152"/>
      <c r="L217" s="1152"/>
      <c r="M217" s="1152"/>
      <c r="N217" s="1152"/>
      <c r="O217" s="1152"/>
      <c r="P217" s="1152"/>
      <c r="Q217" s="1152"/>
      <c r="R217" s="1152"/>
      <c r="S217" s="1152"/>
      <c r="T217" s="1152"/>
      <c r="U217" s="1152"/>
      <c r="V217" s="1152"/>
      <c r="W217" s="1152"/>
      <c r="X217" s="1152"/>
      <c r="Y217" s="1152"/>
      <c r="Z217" s="1152"/>
      <c r="AA217" s="1152"/>
      <c r="AB217" s="1152"/>
      <c r="AC217" s="1152"/>
      <c r="AD217" s="1152"/>
      <c r="AE217" s="1152"/>
      <c r="AF217" s="1152"/>
      <c r="AG217" s="1152"/>
      <c r="AH217" s="1152"/>
      <c r="AI217" s="1152"/>
      <c r="AJ217" s="1152"/>
      <c r="AK217" s="1152"/>
      <c r="AL217" s="1152"/>
      <c r="AM217" s="1152"/>
      <c r="AN217" s="1152"/>
    </row>
    <row r="218" spans="1:40" hidden="1">
      <c r="A218" s="3" t="s">
        <v>2325</v>
      </c>
      <c r="B218" s="11" t="s">
        <v>2385</v>
      </c>
      <c r="C218" s="37">
        <f>28000*2</f>
        <v>56000</v>
      </c>
      <c r="D218" s="1165">
        <v>16000</v>
      </c>
      <c r="E218" s="1165">
        <f t="shared" ref="E218:E222" si="26">+C218+D218</f>
        <v>72000</v>
      </c>
      <c r="F218" s="1165">
        <v>13000</v>
      </c>
      <c r="G218" s="1165">
        <v>40000</v>
      </c>
      <c r="H218" s="1152"/>
      <c r="I218" s="1152"/>
      <c r="J218" s="1152"/>
      <c r="K218" s="1152"/>
      <c r="L218" s="1152"/>
      <c r="M218" s="1152"/>
      <c r="N218" s="1152"/>
      <c r="O218" s="1152"/>
      <c r="P218" s="1152"/>
      <c r="Q218" s="1152"/>
      <c r="R218" s="1152"/>
      <c r="S218" s="1152"/>
      <c r="T218" s="1152"/>
      <c r="U218" s="1152"/>
      <c r="V218" s="1152"/>
      <c r="W218" s="1152"/>
      <c r="X218" s="1152"/>
      <c r="Y218" s="1152"/>
      <c r="Z218" s="1152"/>
      <c r="AA218" s="1152"/>
      <c r="AB218" s="1152"/>
      <c r="AC218" s="1152"/>
      <c r="AD218" s="1152"/>
      <c r="AE218" s="1152"/>
      <c r="AF218" s="1152"/>
      <c r="AG218" s="1152"/>
      <c r="AH218" s="1152"/>
      <c r="AI218" s="1152"/>
      <c r="AJ218" s="1152"/>
      <c r="AK218" s="1152"/>
      <c r="AL218" s="1152"/>
      <c r="AM218" s="1152"/>
      <c r="AN218" s="1152"/>
    </row>
    <row r="219" spans="1:40" hidden="1">
      <c r="A219" s="3" t="s">
        <v>2325</v>
      </c>
      <c r="B219" s="11" t="s">
        <v>2383</v>
      </c>
      <c r="C219" s="37">
        <f>28000*2</f>
        <v>56000</v>
      </c>
      <c r="D219" s="1165">
        <v>16000</v>
      </c>
      <c r="E219" s="1165">
        <f t="shared" si="26"/>
        <v>72000</v>
      </c>
      <c r="F219" s="1165">
        <v>13000</v>
      </c>
      <c r="G219" s="1165">
        <v>40000</v>
      </c>
      <c r="H219" s="1152"/>
      <c r="I219" s="1152"/>
      <c r="J219" s="1152"/>
      <c r="K219" s="1152"/>
      <c r="L219" s="1152"/>
      <c r="M219" s="1152"/>
      <c r="N219" s="1152"/>
      <c r="O219" s="1152"/>
      <c r="P219" s="1152"/>
      <c r="Q219" s="1152"/>
      <c r="R219" s="1152"/>
      <c r="S219" s="1152"/>
      <c r="T219" s="1152"/>
      <c r="U219" s="1152"/>
      <c r="V219" s="1152"/>
      <c r="W219" s="1152"/>
      <c r="X219" s="1152"/>
      <c r="Y219" s="1152"/>
      <c r="Z219" s="1152"/>
      <c r="AA219" s="1152"/>
      <c r="AB219" s="1152"/>
      <c r="AC219" s="1152"/>
      <c r="AD219" s="1152"/>
      <c r="AE219" s="1152"/>
      <c r="AF219" s="1152"/>
      <c r="AG219" s="1152"/>
      <c r="AH219" s="1152"/>
      <c r="AI219" s="1152"/>
      <c r="AJ219" s="1152"/>
      <c r="AK219" s="1152"/>
      <c r="AL219" s="1152"/>
      <c r="AM219" s="1152"/>
      <c r="AN219" s="1152"/>
    </row>
    <row r="220" spans="1:40" hidden="1">
      <c r="A220" s="3" t="s">
        <v>2325</v>
      </c>
      <c r="B220" s="11" t="s">
        <v>2384</v>
      </c>
      <c r="C220" s="37">
        <f>20000*2</f>
        <v>40000</v>
      </c>
      <c r="D220" s="1165">
        <v>8000</v>
      </c>
      <c r="E220" s="1165">
        <f t="shared" si="26"/>
        <v>48000</v>
      </c>
      <c r="F220" s="1165">
        <v>13000</v>
      </c>
      <c r="G220" s="1165">
        <v>40000</v>
      </c>
    </row>
    <row r="221" spans="1:40" hidden="1">
      <c r="A221" s="3" t="s">
        <v>2325</v>
      </c>
      <c r="B221" s="11" t="s">
        <v>2386</v>
      </c>
      <c r="C221" s="37">
        <f>16200*2</f>
        <v>32400</v>
      </c>
      <c r="D221" s="1165">
        <v>8000</v>
      </c>
      <c r="E221" s="1165">
        <f t="shared" si="26"/>
        <v>40400</v>
      </c>
      <c r="F221" s="1165">
        <v>13000</v>
      </c>
      <c r="G221" s="1165">
        <v>40000</v>
      </c>
    </row>
    <row r="222" spans="1:40" hidden="1">
      <c r="A222" s="3" t="s">
        <v>2325</v>
      </c>
      <c r="B222" s="11" t="s">
        <v>2387</v>
      </c>
      <c r="C222" s="37">
        <f>35000*2</f>
        <v>70000</v>
      </c>
      <c r="D222" s="1165">
        <v>8000</v>
      </c>
      <c r="E222" s="1165">
        <f t="shared" si="26"/>
        <v>78000</v>
      </c>
      <c r="F222" s="1165">
        <v>13000</v>
      </c>
      <c r="G222" s="1165">
        <v>40000</v>
      </c>
    </row>
    <row r="223" spans="1:40" hidden="1">
      <c r="A223" s="3" t="s">
        <v>2331</v>
      </c>
      <c r="B223" s="11" t="s">
        <v>2332</v>
      </c>
      <c r="C223" s="37">
        <v>600000</v>
      </c>
      <c r="D223" s="1165">
        <v>26000</v>
      </c>
      <c r="E223" s="1165">
        <f>SUM(C223:D223)</f>
        <v>626000</v>
      </c>
      <c r="F223" s="1165">
        <v>13000</v>
      </c>
      <c r="G223" s="1165">
        <v>40000</v>
      </c>
    </row>
  </sheetData>
  <autoFilter ref="A61:G223" xr:uid="{9604CCE2-6551-4291-A36F-7EFE700F137E}">
    <filterColumn colId="0">
      <filters>
        <filter val="Tolima"/>
      </filters>
    </filterColumn>
  </autoFilter>
  <sortState xmlns:xlrd2="http://schemas.microsoft.com/office/spreadsheetml/2017/richdata2" ref="A62:AN219">
    <sortCondition ref="A62:A219"/>
  </sortState>
  <mergeCells count="2">
    <mergeCell ref="K11:M17"/>
    <mergeCell ref="O43:P43"/>
  </mergeCells>
  <conditionalFormatting sqref="C30:I30 C23:C29">
    <cfRule type="expression" dxfId="1" priority="46">
      <formula>#REF!=FALSE</formula>
    </cfRule>
  </conditionalFormatting>
  <hyperlinks>
    <hyperlink ref="K22" location="Entradas!A1" display="Volver" xr:uid="{839C178A-6E93-4ED3-B4CD-70F47C25C005}"/>
  </hyperlinks>
  <pageMargins left="0.7" right="0.7" top="0.75" bottom="0.75" header="0.3" footer="0.3"/>
  <ignoredErrors>
    <ignoredError sqref="C23:I29"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E87C9-EE00-44DC-B3BC-CBD0826643B4}">
  <sheetPr codeName="Hoja17"/>
  <dimension ref="A1:DK262"/>
  <sheetViews>
    <sheetView showGridLines="0" topLeftCell="A18" workbookViewId="0">
      <selection activeCell="D23" sqref="D23:I29"/>
    </sheetView>
  </sheetViews>
  <sheetFormatPr baseColWidth="10" defaultRowHeight="15"/>
  <cols>
    <col min="1" max="1" width="4.7109375" customWidth="1"/>
    <col min="2" max="2" width="34.42578125" customWidth="1"/>
    <col min="3" max="3" width="12" bestFit="1" customWidth="1"/>
    <col min="4" max="4" width="10.140625" customWidth="1"/>
    <col min="5" max="5" width="12" bestFit="1" customWidth="1"/>
    <col min="9" max="9" width="12" bestFit="1" customWidth="1"/>
    <col min="11" max="11" width="13.42578125" customWidth="1"/>
    <col min="12" max="12" width="13.140625" bestFit="1" customWidth="1"/>
    <col min="13" max="13" width="15.7109375" bestFit="1" customWidth="1"/>
    <col min="14" max="14" width="14.5703125" bestFit="1" customWidth="1"/>
    <col min="17" max="17" width="13" bestFit="1" customWidth="1"/>
  </cols>
  <sheetData>
    <row r="1" spans="1:21">
      <c r="A1" s="1137"/>
      <c r="B1" s="1137"/>
      <c r="C1" s="1137"/>
      <c r="D1" s="1137"/>
      <c r="E1" s="1137"/>
      <c r="F1" s="1137"/>
      <c r="G1" s="1137"/>
      <c r="H1" s="1137"/>
      <c r="I1" s="1137"/>
      <c r="J1" s="1137"/>
      <c r="K1" s="1137"/>
      <c r="L1" s="1137"/>
      <c r="M1" s="1137"/>
      <c r="N1" s="1137"/>
      <c r="O1" s="1137"/>
      <c r="P1" s="1137"/>
      <c r="Q1" s="1137"/>
      <c r="R1" s="1137"/>
      <c r="S1" s="1137"/>
      <c r="T1" s="1137"/>
      <c r="U1" s="1137"/>
    </row>
    <row r="2" spans="1:21">
      <c r="A2" s="1137"/>
      <c r="B2" s="1137"/>
      <c r="C2" s="1138" t="s">
        <v>15</v>
      </c>
      <c r="D2" s="1138" t="s">
        <v>16</v>
      </c>
      <c r="E2" s="1138" t="s">
        <v>17</v>
      </c>
      <c r="F2" s="1138" t="s">
        <v>18</v>
      </c>
      <c r="G2" s="1138" t="s">
        <v>19</v>
      </c>
      <c r="H2" s="1138" t="s">
        <v>20</v>
      </c>
      <c r="I2" s="1139" t="s">
        <v>65</v>
      </c>
      <c r="J2" s="1137"/>
      <c r="K2" s="1137"/>
      <c r="L2" s="1137"/>
      <c r="M2" s="1137"/>
      <c r="N2" s="1137"/>
      <c r="O2" s="1137"/>
      <c r="P2" s="1137"/>
      <c r="Q2" s="1137"/>
      <c r="R2" s="1137"/>
      <c r="S2" s="1137"/>
      <c r="T2" s="1137"/>
      <c r="U2" s="1137"/>
    </row>
    <row r="3" spans="1:21" ht="15.75" thickBot="1">
      <c r="A3" s="1137"/>
      <c r="B3" s="1140" t="s">
        <v>885</v>
      </c>
      <c r="C3" s="1141">
        <v>175822</v>
      </c>
      <c r="D3" s="1142">
        <v>772989</v>
      </c>
      <c r="E3" s="1142">
        <v>808409</v>
      </c>
      <c r="F3" s="1142">
        <v>325667</v>
      </c>
      <c r="G3" s="1142">
        <v>106394</v>
      </c>
      <c r="H3" s="1142">
        <v>83335</v>
      </c>
      <c r="I3" s="1142">
        <f>SUM(C3:H3)</f>
        <v>2272616</v>
      </c>
      <c r="J3" s="1137"/>
      <c r="K3" s="1137"/>
      <c r="L3" s="1137"/>
      <c r="M3" s="1137"/>
      <c r="N3" s="1137"/>
      <c r="O3" s="1137"/>
      <c r="P3" s="1137"/>
      <c r="Q3" s="1137"/>
      <c r="R3" s="1137"/>
      <c r="S3" s="1137"/>
      <c r="T3" s="1137"/>
      <c r="U3" s="1137"/>
    </row>
    <row r="4" spans="1:21" ht="15.75" thickBot="1">
      <c r="A4" s="1137"/>
      <c r="B4" s="1140" t="s">
        <v>887</v>
      </c>
      <c r="C4" s="1141">
        <v>120736</v>
      </c>
      <c r="D4" s="1142">
        <v>72430</v>
      </c>
      <c r="E4" s="1142">
        <v>82028</v>
      </c>
      <c r="F4" s="1142">
        <v>48172</v>
      </c>
      <c r="G4" s="1142">
        <v>17448</v>
      </c>
      <c r="H4" s="1142">
        <v>13225</v>
      </c>
      <c r="I4" s="1142">
        <f t="shared" ref="I4:I9" si="0">SUM(C4:H4)</f>
        <v>354039</v>
      </c>
      <c r="J4" s="1137"/>
      <c r="K4" s="1137"/>
      <c r="L4" s="1137"/>
      <c r="M4" s="1137"/>
      <c r="N4" s="1137"/>
      <c r="O4" s="1137"/>
      <c r="P4" s="1137"/>
      <c r="Q4" s="1137"/>
      <c r="R4" s="1137"/>
      <c r="S4" s="1137"/>
      <c r="T4" s="1137"/>
      <c r="U4" s="1137"/>
    </row>
    <row r="5" spans="1:21" ht="15.75" thickBot="1">
      <c r="A5" s="1137"/>
      <c r="B5" s="1140" t="s">
        <v>886</v>
      </c>
      <c r="C5" s="1141">
        <v>135532</v>
      </c>
      <c r="D5" s="1142">
        <v>319438</v>
      </c>
      <c r="E5" s="1142">
        <v>265934</v>
      </c>
      <c r="F5" s="1142">
        <v>105602</v>
      </c>
      <c r="G5" s="1142">
        <v>77322</v>
      </c>
      <c r="H5" s="1142">
        <v>40911</v>
      </c>
      <c r="I5" s="1142">
        <f t="shared" si="0"/>
        <v>944739</v>
      </c>
      <c r="J5" s="1137"/>
      <c r="K5" s="1137"/>
      <c r="L5" s="1137"/>
      <c r="M5" s="1137"/>
      <c r="N5" s="1137"/>
      <c r="O5" s="1137"/>
      <c r="P5" s="1137"/>
      <c r="Q5" s="1137"/>
      <c r="R5" s="1137"/>
      <c r="S5" s="1137"/>
      <c r="T5" s="1137"/>
      <c r="U5" s="1137"/>
    </row>
    <row r="6" spans="1:21" ht="15.75" thickBot="1">
      <c r="A6" s="1137"/>
      <c r="B6" s="1140" t="s">
        <v>24</v>
      </c>
      <c r="C6" s="1141">
        <v>120201</v>
      </c>
      <c r="D6" s="1142">
        <v>168508</v>
      </c>
      <c r="E6" s="1142">
        <v>195620</v>
      </c>
      <c r="F6" s="1142">
        <v>98481</v>
      </c>
      <c r="G6" s="1142">
        <v>62130</v>
      </c>
      <c r="H6" s="1142">
        <v>23429</v>
      </c>
      <c r="I6" s="1142">
        <f t="shared" si="0"/>
        <v>668369</v>
      </c>
      <c r="J6" s="1137"/>
      <c r="K6" s="1137"/>
      <c r="L6" s="1137"/>
      <c r="M6" s="1137"/>
      <c r="N6" s="1137"/>
      <c r="O6" s="1137"/>
      <c r="P6" s="1137"/>
      <c r="Q6" s="1137"/>
      <c r="R6" s="1137"/>
      <c r="S6" s="1137"/>
      <c r="T6" s="1137"/>
      <c r="U6" s="1137"/>
    </row>
    <row r="7" spans="1:21" ht="15.75" thickBot="1">
      <c r="A7" s="1137"/>
      <c r="B7" s="1140" t="s">
        <v>25</v>
      </c>
      <c r="C7" s="1141">
        <v>38127</v>
      </c>
      <c r="D7" s="1142">
        <v>33305</v>
      </c>
      <c r="E7" s="1142">
        <v>45924</v>
      </c>
      <c r="F7" s="1142">
        <v>61562</v>
      </c>
      <c r="G7" s="1142">
        <v>6002</v>
      </c>
      <c r="H7" s="1142">
        <v>10180</v>
      </c>
      <c r="I7" s="1142">
        <f t="shared" si="0"/>
        <v>195100</v>
      </c>
      <c r="J7" s="1137"/>
      <c r="K7" s="1137"/>
      <c r="L7" s="1137"/>
      <c r="M7" s="1137"/>
      <c r="N7" s="1137"/>
      <c r="O7" s="1137"/>
      <c r="P7" s="1137"/>
      <c r="Q7" s="1137"/>
      <c r="R7" s="1137"/>
      <c r="S7" s="1137"/>
      <c r="T7" s="1137"/>
      <c r="U7" s="1137"/>
    </row>
    <row r="8" spans="1:21" ht="15.75" thickBot="1">
      <c r="A8" s="1137"/>
      <c r="B8" s="1143" t="s">
        <v>26</v>
      </c>
      <c r="C8" s="1141">
        <v>117585</v>
      </c>
      <c r="D8" s="1142">
        <v>83838</v>
      </c>
      <c r="E8" s="1142">
        <v>57300</v>
      </c>
      <c r="F8" s="1142">
        <v>20294</v>
      </c>
      <c r="G8" s="1142">
        <v>12086</v>
      </c>
      <c r="H8" s="1142">
        <v>13328</v>
      </c>
      <c r="I8" s="1142">
        <f t="shared" si="0"/>
        <v>304431</v>
      </c>
      <c r="J8" s="1137"/>
      <c r="K8" s="1137"/>
      <c r="L8" s="1137"/>
      <c r="M8" s="1137"/>
      <c r="N8" s="1137"/>
      <c r="O8" s="1137"/>
      <c r="P8" s="1137"/>
      <c r="Q8" s="1137"/>
      <c r="R8" s="1137"/>
      <c r="S8" s="1137"/>
      <c r="T8" s="1137"/>
      <c r="U8" s="1137"/>
    </row>
    <row r="9" spans="1:21" ht="15.75" thickBot="1">
      <c r="A9" s="1137"/>
      <c r="B9" s="1140" t="s">
        <v>27</v>
      </c>
      <c r="C9" s="1141">
        <v>755665</v>
      </c>
      <c r="D9" s="1142">
        <v>737405</v>
      </c>
      <c r="E9" s="1142">
        <v>504312</v>
      </c>
      <c r="F9" s="1142">
        <v>200497</v>
      </c>
      <c r="G9" s="1142">
        <v>79576</v>
      </c>
      <c r="H9" s="1142">
        <v>45633</v>
      </c>
      <c r="I9" s="1142">
        <f t="shared" si="0"/>
        <v>2323088</v>
      </c>
      <c r="J9" s="1137"/>
      <c r="K9" s="1137"/>
      <c r="L9" s="1137"/>
      <c r="M9" s="1137"/>
      <c r="N9" s="1137"/>
      <c r="O9" s="1137"/>
      <c r="P9" s="1137"/>
      <c r="Q9" s="1137"/>
      <c r="R9" s="1137"/>
      <c r="S9" s="1137"/>
      <c r="T9" s="1137"/>
      <c r="U9" s="1137"/>
    </row>
    <row r="10" spans="1:21">
      <c r="A10" s="1137"/>
      <c r="B10" s="1144"/>
      <c r="C10" s="1137"/>
      <c r="D10" s="1137"/>
      <c r="E10" s="1137"/>
      <c r="F10" s="1137"/>
      <c r="G10" s="1137"/>
      <c r="H10" s="1137"/>
      <c r="I10" s="1137"/>
      <c r="J10" s="1137"/>
      <c r="K10" s="1137"/>
      <c r="L10" s="1137"/>
      <c r="M10" s="1137"/>
      <c r="N10" s="1137"/>
      <c r="O10" s="1137"/>
      <c r="P10" s="1137"/>
      <c r="Q10" s="1137"/>
      <c r="R10" s="1137"/>
      <c r="S10" s="1137"/>
      <c r="T10" s="1137"/>
      <c r="U10" s="1137"/>
    </row>
    <row r="11" spans="1:21">
      <c r="A11" s="1137"/>
      <c r="B11" s="1140" t="s">
        <v>885</v>
      </c>
      <c r="C11" s="1145">
        <f t="shared" ref="C11:H11" si="1">+C3/$I$3</f>
        <v>7.736546781330414E-2</v>
      </c>
      <c r="D11" s="1145">
        <f t="shared" si="1"/>
        <v>0.34013181285355731</v>
      </c>
      <c r="E11" s="1145">
        <f t="shared" si="1"/>
        <v>0.35571737592272518</v>
      </c>
      <c r="F11" s="1145">
        <f t="shared" si="1"/>
        <v>0.14330049599228378</v>
      </c>
      <c r="G11" s="1145">
        <f t="shared" si="1"/>
        <v>4.6815652094326539E-2</v>
      </c>
      <c r="H11" s="1145">
        <f t="shared" si="1"/>
        <v>3.6669195323803055E-2</v>
      </c>
      <c r="I11" s="1146">
        <f>SUM(C11:H11)</f>
        <v>1</v>
      </c>
      <c r="J11" s="1137"/>
      <c r="K11" s="1315" t="s">
        <v>1435</v>
      </c>
      <c r="L11" s="1315"/>
      <c r="M11" s="1315"/>
      <c r="N11" s="1137"/>
      <c r="O11" s="1137"/>
      <c r="P11" s="1137"/>
      <c r="Q11" s="1137"/>
      <c r="R11" s="1137"/>
      <c r="S11" s="1137"/>
      <c r="T11" s="1137"/>
      <c r="U11" s="1137"/>
    </row>
    <row r="12" spans="1:21">
      <c r="A12" s="1137"/>
      <c r="B12" s="1147" t="s">
        <v>887</v>
      </c>
      <c r="C12" s="1148">
        <f t="shared" ref="C12:H12" si="2">+C4/$I$4</f>
        <v>0.341024576388477</v>
      </c>
      <c r="D12" s="1148">
        <f t="shared" si="2"/>
        <v>0.20458198108118031</v>
      </c>
      <c r="E12" s="1148">
        <f t="shared" si="2"/>
        <v>0.23169198873570426</v>
      </c>
      <c r="F12" s="1148">
        <f t="shared" si="2"/>
        <v>0.13606410593183238</v>
      </c>
      <c r="G12" s="1148">
        <f t="shared" si="2"/>
        <v>4.9282706142543618E-2</v>
      </c>
      <c r="H12" s="1148">
        <f t="shared" si="2"/>
        <v>3.7354641720262455E-2</v>
      </c>
      <c r="I12" s="1149">
        <f>SUM(C12:H12)</f>
        <v>1</v>
      </c>
      <c r="J12" s="1137"/>
      <c r="K12" s="1315"/>
      <c r="L12" s="1315"/>
      <c r="M12" s="1315"/>
      <c r="N12" s="1137"/>
      <c r="O12" s="1137"/>
      <c r="P12" s="1137"/>
      <c r="Q12" s="1137"/>
      <c r="R12" s="1137"/>
      <c r="S12" s="1137"/>
      <c r="T12" s="1137"/>
      <c r="U12" s="1137"/>
    </row>
    <row r="13" spans="1:21">
      <c r="A13" s="1137"/>
      <c r="B13" s="1150" t="s">
        <v>886</v>
      </c>
      <c r="C13" s="1148">
        <f t="shared" ref="C13:H13" si="3">+C5/$I$5</f>
        <v>0.14345972803070478</v>
      </c>
      <c r="D13" s="1148">
        <f t="shared" si="3"/>
        <v>0.33812301598642586</v>
      </c>
      <c r="E13" s="1148">
        <f t="shared" si="3"/>
        <v>0.28148938489889802</v>
      </c>
      <c r="F13" s="1148">
        <f t="shared" si="3"/>
        <v>0.11177902044903407</v>
      </c>
      <c r="G13" s="1148">
        <f t="shared" si="3"/>
        <v>8.1844826983960645E-2</v>
      </c>
      <c r="H13" s="1148">
        <f t="shared" si="3"/>
        <v>4.3304023650976617E-2</v>
      </c>
      <c r="I13" s="1149">
        <f>SUM(C13:H13)</f>
        <v>1</v>
      </c>
      <c r="J13" s="1137"/>
      <c r="K13" s="1315"/>
      <c r="L13" s="1315"/>
      <c r="M13" s="1315"/>
      <c r="N13" s="1137"/>
      <c r="O13" s="1137"/>
      <c r="P13" s="1137"/>
      <c r="Q13" s="1137"/>
      <c r="R13" s="1137"/>
      <c r="S13" s="1137"/>
      <c r="T13" s="1137"/>
      <c r="U13" s="1137"/>
    </row>
    <row r="14" spans="1:21">
      <c r="A14" s="1137"/>
      <c r="B14" s="1140" t="s">
        <v>24</v>
      </c>
      <c r="C14" s="1148">
        <f t="shared" ref="C14:H14" si="4">+C6/$I$6</f>
        <v>0.17984227275651624</v>
      </c>
      <c r="D14" s="1148">
        <f t="shared" si="4"/>
        <v>0.25211821613509905</v>
      </c>
      <c r="E14" s="1148">
        <f t="shared" si="4"/>
        <v>0.29268263489180379</v>
      </c>
      <c r="F14" s="1148">
        <f t="shared" si="4"/>
        <v>0.14734525389418121</v>
      </c>
      <c r="G14" s="1148">
        <f t="shared" si="4"/>
        <v>9.2957632684939007E-2</v>
      </c>
      <c r="H14" s="1148">
        <f t="shared" si="4"/>
        <v>3.5053989637460745E-2</v>
      </c>
      <c r="I14" s="1149">
        <f t="shared" ref="I14:I17" si="5">SUM(C14:H14)</f>
        <v>1</v>
      </c>
      <c r="J14" s="1137"/>
      <c r="K14" s="1315"/>
      <c r="L14" s="1315"/>
      <c r="M14" s="1315"/>
      <c r="N14" s="1137"/>
      <c r="O14" s="1137"/>
      <c r="P14" s="1137"/>
      <c r="Q14" s="1137"/>
      <c r="R14" s="1137"/>
      <c r="S14" s="1137"/>
      <c r="T14" s="1137"/>
      <c r="U14" s="1137"/>
    </row>
    <row r="15" spans="1:21">
      <c r="A15" s="1137"/>
      <c r="B15" s="1140" t="s">
        <v>25</v>
      </c>
      <c r="C15" s="1148">
        <f>+C7/$I$7</f>
        <v>0.19542286007175808</v>
      </c>
      <c r="D15" s="1148">
        <f t="shared" ref="D15:H15" si="6">+D7/$I$7</f>
        <v>0.17070732957457713</v>
      </c>
      <c r="E15" s="1148">
        <f t="shared" si="6"/>
        <v>0.23538698103536648</v>
      </c>
      <c r="F15" s="1148">
        <f t="shared" si="6"/>
        <v>0.3155407483341876</v>
      </c>
      <c r="G15" s="1148">
        <f t="shared" si="6"/>
        <v>3.0763710917478215E-2</v>
      </c>
      <c r="H15" s="1148">
        <f t="shared" si="6"/>
        <v>5.2178370066632493E-2</v>
      </c>
      <c r="I15" s="1149">
        <f t="shared" si="5"/>
        <v>1</v>
      </c>
      <c r="J15" s="1137"/>
      <c r="K15" s="1315"/>
      <c r="L15" s="1315"/>
      <c r="M15" s="1315"/>
      <c r="N15" s="1137"/>
      <c r="O15" s="1137"/>
      <c r="P15" s="1137"/>
      <c r="Q15" s="1137"/>
      <c r="R15" s="1137"/>
      <c r="S15" s="1137"/>
      <c r="T15" s="1137"/>
      <c r="U15" s="1137"/>
    </row>
    <row r="16" spans="1:21">
      <c r="A16" s="1137"/>
      <c r="B16" s="1140" t="s">
        <v>26</v>
      </c>
      <c r="C16" s="1145">
        <f>+C8/$I$8</f>
        <v>0.38624515900154716</v>
      </c>
      <c r="D16" s="1145">
        <f t="shared" ref="D16:H16" si="7">+D8/$I$8</f>
        <v>0.27539245346236091</v>
      </c>
      <c r="E16" s="1145">
        <f t="shared" si="7"/>
        <v>0.18821999073681722</v>
      </c>
      <c r="F16" s="1145">
        <f t="shared" si="7"/>
        <v>6.6662067923437499E-2</v>
      </c>
      <c r="G16" s="1145">
        <f t="shared" si="7"/>
        <v>3.9700293334121686E-2</v>
      </c>
      <c r="H16" s="1145">
        <f t="shared" si="7"/>
        <v>4.3780035541715528E-2</v>
      </c>
      <c r="I16" s="1149">
        <f t="shared" si="5"/>
        <v>1</v>
      </c>
      <c r="J16" s="1137"/>
      <c r="K16" s="1315"/>
      <c r="L16" s="1315"/>
      <c r="M16" s="1315"/>
      <c r="N16" s="1137"/>
      <c r="O16" s="1137"/>
      <c r="P16" s="1137"/>
      <c r="Q16" s="1137"/>
      <c r="R16" s="1137"/>
      <c r="S16" s="1137"/>
      <c r="T16" s="1137"/>
      <c r="U16" s="1137"/>
    </row>
    <row r="17" spans="1:115">
      <c r="A17" s="1137"/>
      <c r="B17" s="1140" t="s">
        <v>1434</v>
      </c>
      <c r="C17" s="1148">
        <f>+C9/$I$9</f>
        <v>0.32528470725172703</v>
      </c>
      <c r="D17" s="1148">
        <f t="shared" ref="D17:H17" si="8">+D9/$I$9</f>
        <v>0.31742447983029487</v>
      </c>
      <c r="E17" s="1148">
        <f t="shared" si="8"/>
        <v>0.21708691190346643</v>
      </c>
      <c r="F17" s="1148">
        <f t="shared" si="8"/>
        <v>8.6306244102677121E-2</v>
      </c>
      <c r="G17" s="1148">
        <f t="shared" si="8"/>
        <v>3.4254406204155846E-2</v>
      </c>
      <c r="H17" s="1148">
        <f t="shared" si="8"/>
        <v>1.9643250707678746E-2</v>
      </c>
      <c r="I17" s="1149">
        <f t="shared" si="5"/>
        <v>1</v>
      </c>
      <c r="J17" s="1137"/>
      <c r="K17" s="1315"/>
      <c r="L17" s="1315"/>
      <c r="M17" s="1315"/>
      <c r="N17" s="1137"/>
      <c r="O17" s="1137"/>
      <c r="P17" s="1137"/>
      <c r="Q17" s="1137"/>
      <c r="R17" s="1137"/>
      <c r="S17" s="1137"/>
      <c r="T17" s="1137"/>
      <c r="U17" s="1137"/>
    </row>
    <row r="18" spans="1:115">
      <c r="A18" s="1137"/>
      <c r="B18" s="1137"/>
      <c r="C18" s="1137"/>
      <c r="D18" s="1137"/>
      <c r="E18" s="1137"/>
      <c r="F18" s="1137"/>
      <c r="G18" s="1137"/>
      <c r="H18" s="1137"/>
      <c r="I18" s="1137"/>
      <c r="J18" s="1137"/>
      <c r="K18" s="1137"/>
      <c r="L18" s="1137"/>
      <c r="M18" s="1137"/>
      <c r="N18" s="1137"/>
      <c r="O18" s="1137"/>
      <c r="P18" s="1137"/>
      <c r="Q18" s="1137"/>
      <c r="R18" s="1137"/>
      <c r="S18" s="1137"/>
      <c r="T18" s="1137"/>
      <c r="U18" s="1137"/>
    </row>
    <row r="19" spans="1:115">
      <c r="A19" s="1137"/>
      <c r="B19" s="1137"/>
      <c r="C19" s="1137"/>
      <c r="D19" s="1137"/>
      <c r="E19" s="1137"/>
      <c r="F19" s="1137"/>
      <c r="G19" s="1137"/>
      <c r="H19" s="1137"/>
      <c r="I19" s="1137"/>
      <c r="J19" s="1137"/>
      <c r="K19" s="1137"/>
      <c r="L19" s="1137"/>
      <c r="M19" s="1137"/>
      <c r="N19" s="1137"/>
      <c r="O19" s="1137"/>
      <c r="P19" s="1137"/>
      <c r="Q19" s="1137"/>
      <c r="R19" s="1137"/>
      <c r="S19" s="1137"/>
      <c r="T19" s="1137"/>
      <c r="U19" s="1137"/>
    </row>
    <row r="20" spans="1:115">
      <c r="B20" s="127" t="s">
        <v>1430</v>
      </c>
    </row>
    <row r="21" spans="1:115">
      <c r="B21" s="288" t="s">
        <v>13</v>
      </c>
      <c r="C21" s="297">
        <f>COUNTIF(A23:A29,"VERDADERO")</f>
        <v>0</v>
      </c>
      <c r="D21" s="297">
        <f>SUM(D23:D29)</f>
        <v>0</v>
      </c>
      <c r="E21" s="297">
        <f>SUM(E23:E29)</f>
        <v>0</v>
      </c>
      <c r="F21" s="297">
        <f t="shared" ref="F21:I21" si="9">SUM(F23:F29)</f>
        <v>0</v>
      </c>
      <c r="G21" s="297">
        <f t="shared" si="9"/>
        <v>0</v>
      </c>
      <c r="H21" s="297">
        <f t="shared" si="9"/>
        <v>0</v>
      </c>
      <c r="I21" s="297">
        <f t="shared" si="9"/>
        <v>0</v>
      </c>
      <c r="J21" s="486" t="s">
        <v>1431</v>
      </c>
      <c r="K21" s="1152"/>
      <c r="L21" s="1152"/>
      <c r="M21" s="1152"/>
      <c r="N21" s="1152"/>
      <c r="O21" s="1152"/>
      <c r="P21" s="1152"/>
      <c r="Q21" s="1152"/>
      <c r="R21" s="1152"/>
      <c r="S21" s="1152"/>
      <c r="T21" s="1152"/>
      <c r="U21" s="1152"/>
      <c r="V21" s="1152"/>
      <c r="W21" s="1152"/>
      <c r="X21" s="1152"/>
      <c r="Y21" s="1152"/>
      <c r="Z21" s="1152"/>
      <c r="AA21" s="1152"/>
      <c r="AB21" s="1152"/>
      <c r="AC21" s="1152"/>
      <c r="AD21" s="1152"/>
      <c r="AE21" s="1152"/>
      <c r="AF21" s="1152"/>
      <c r="AG21" s="1152"/>
      <c r="AH21" s="1152"/>
      <c r="AI21" s="1152"/>
      <c r="AJ21" s="1152"/>
      <c r="AK21" s="1152"/>
      <c r="AL21" s="1152"/>
      <c r="AM21" s="1152"/>
      <c r="AN21" s="1152"/>
      <c r="AO21" s="1152"/>
      <c r="AP21" s="1152"/>
      <c r="AQ21" s="1152"/>
      <c r="AR21" s="1152"/>
      <c r="AS21" s="1152"/>
      <c r="AT21" s="1152"/>
      <c r="AU21" s="1152"/>
      <c r="AV21" s="1152"/>
      <c r="AW21" s="1152"/>
      <c r="AX21" s="1152"/>
      <c r="AY21" s="1152"/>
      <c r="AZ21" s="1152"/>
      <c r="BA21" s="1152"/>
      <c r="BB21" s="1152"/>
      <c r="BC21" s="1152"/>
      <c r="BD21" s="1152"/>
      <c r="BE21" s="1152"/>
      <c r="BF21" s="1152"/>
      <c r="BG21" s="1152"/>
      <c r="BH21" s="1152"/>
      <c r="BI21" s="1152"/>
      <c r="BJ21" s="1152"/>
      <c r="BK21" s="1152"/>
      <c r="BL21" s="1152"/>
      <c r="BM21" s="1152"/>
      <c r="BN21" s="1152"/>
      <c r="BO21" s="1152"/>
      <c r="BP21" s="1152"/>
      <c r="BQ21" s="1152"/>
      <c r="BR21" s="1152"/>
      <c r="BS21" s="1152"/>
      <c r="BT21" s="1152"/>
      <c r="BU21" s="1152"/>
      <c r="BV21" s="1152"/>
      <c r="BW21" s="1152"/>
      <c r="BX21" s="1152"/>
      <c r="BY21" s="1152"/>
      <c r="BZ21" s="1152"/>
      <c r="CA21" s="1152"/>
      <c r="CB21" s="1152"/>
      <c r="CC21" s="1152"/>
      <c r="CD21" s="1152"/>
      <c r="CE21" s="1152"/>
      <c r="CF21" s="1152"/>
      <c r="CG21" s="1152"/>
      <c r="CH21" s="1152"/>
      <c r="CI21" s="1152"/>
      <c r="CJ21" s="1152"/>
      <c r="CK21" s="1152"/>
      <c r="CL21" s="1152"/>
      <c r="CM21" s="1152"/>
      <c r="CN21" s="1152"/>
      <c r="CO21" s="1152"/>
      <c r="CP21" s="1152"/>
      <c r="CQ21" s="1152"/>
      <c r="CR21" s="1152"/>
      <c r="CS21" s="1152"/>
      <c r="CT21" s="1152"/>
      <c r="CU21" s="1152"/>
      <c r="CV21" s="1152"/>
      <c r="CW21" s="1152"/>
      <c r="CX21" s="1152"/>
      <c r="CY21" s="1152"/>
      <c r="CZ21" s="1152"/>
      <c r="DA21" s="1152"/>
      <c r="DB21" s="1152"/>
      <c r="DC21" s="1152"/>
      <c r="DD21" s="1152"/>
      <c r="DE21" s="1152"/>
      <c r="DF21" s="1152"/>
      <c r="DG21" s="1152"/>
      <c r="DH21" s="1152"/>
      <c r="DI21" s="1152"/>
      <c r="DJ21" s="1152"/>
      <c r="DK21" s="1152"/>
    </row>
    <row r="22" spans="1:115" ht="30">
      <c r="B22" s="283" t="s">
        <v>14</v>
      </c>
      <c r="C22" s="693">
        <f>SUM(C23:C29)</f>
        <v>0</v>
      </c>
      <c r="D22" s="290" t="s">
        <v>15</v>
      </c>
      <c r="E22" s="290" t="s">
        <v>16</v>
      </c>
      <c r="F22" s="290" t="s">
        <v>17</v>
      </c>
      <c r="G22" s="290" t="s">
        <v>18</v>
      </c>
      <c r="H22" s="290" t="s">
        <v>19</v>
      </c>
      <c r="I22" s="290" t="s">
        <v>20</v>
      </c>
      <c r="J22" s="487">
        <f>SUM(J23:J29)</f>
        <v>0</v>
      </c>
      <c r="K22" s="1153" t="s">
        <v>1432</v>
      </c>
      <c r="L22" s="1152"/>
      <c r="M22" s="1152"/>
      <c r="N22" s="1152"/>
      <c r="O22" s="1152"/>
      <c r="P22" s="1152"/>
      <c r="Q22" s="1152"/>
      <c r="R22" s="1152"/>
      <c r="S22" s="1152"/>
      <c r="T22" s="1152"/>
      <c r="U22" s="1152"/>
      <c r="V22" s="1152"/>
      <c r="W22" s="1152"/>
      <c r="X22" s="1152"/>
      <c r="Y22" s="1152"/>
      <c r="Z22" s="1152"/>
      <c r="AA22" s="1152"/>
      <c r="AB22" s="1152"/>
      <c r="AC22" s="1152"/>
      <c r="AD22" s="1152"/>
      <c r="AE22" s="1152"/>
      <c r="AF22" s="1152"/>
      <c r="AG22" s="1152"/>
      <c r="AH22" s="1152"/>
      <c r="AI22" s="1152"/>
      <c r="AJ22" s="1152"/>
      <c r="AK22" s="1152"/>
      <c r="AL22" s="1152"/>
      <c r="AM22" s="1152"/>
      <c r="AN22" s="1152"/>
      <c r="AO22" s="1152"/>
      <c r="AP22" s="1152"/>
      <c r="AQ22" s="1152"/>
      <c r="AR22" s="1152"/>
      <c r="AS22" s="1152"/>
      <c r="AT22" s="1152"/>
      <c r="AU22" s="1152"/>
      <c r="AV22" s="1152"/>
      <c r="AW22" s="1152"/>
      <c r="AX22" s="1152"/>
      <c r="AY22" s="1152"/>
      <c r="AZ22" s="1152"/>
      <c r="BA22" s="1152"/>
      <c r="BB22" s="1152"/>
      <c r="BC22" s="1152"/>
      <c r="BD22" s="1152"/>
      <c r="BE22" s="1152"/>
      <c r="BF22" s="1152"/>
      <c r="BG22" s="1152"/>
      <c r="BH22" s="1152"/>
      <c r="BI22" s="1152"/>
      <c r="BJ22" s="1152"/>
      <c r="BK22" s="1152"/>
      <c r="BL22" s="1152"/>
      <c r="BM22" s="1152"/>
      <c r="BN22" s="1152"/>
      <c r="BO22" s="1152"/>
      <c r="BP22" s="1152"/>
      <c r="BQ22" s="1152"/>
      <c r="BR22" s="1152"/>
      <c r="BS22" s="1152"/>
      <c r="BT22" s="1152"/>
      <c r="BU22" s="1152"/>
      <c r="BV22" s="1152"/>
      <c r="BW22" s="1152"/>
      <c r="BX22" s="1152"/>
      <c r="BY22" s="1152"/>
      <c r="BZ22" s="1152"/>
      <c r="CA22" s="1152"/>
      <c r="CB22" s="1152"/>
      <c r="CC22" s="1152"/>
      <c r="CD22" s="1152"/>
      <c r="CE22" s="1152"/>
      <c r="CF22" s="1152"/>
      <c r="CG22" s="1152"/>
      <c r="CH22" s="1152"/>
      <c r="CI22" s="1152"/>
      <c r="CJ22" s="1152"/>
      <c r="CK22" s="1152"/>
      <c r="CL22" s="1152"/>
      <c r="CM22" s="1152"/>
      <c r="CN22" s="1152"/>
      <c r="CO22" s="1152"/>
      <c r="CP22" s="1152"/>
      <c r="CQ22" s="1152"/>
      <c r="CR22" s="1152"/>
      <c r="CS22" s="1152"/>
      <c r="CT22" s="1152"/>
      <c r="CU22" s="1152"/>
      <c r="CV22" s="1152"/>
      <c r="CW22" s="1152"/>
      <c r="CX22" s="1152"/>
      <c r="CY22" s="1152"/>
      <c r="CZ22" s="1152"/>
      <c r="DA22" s="1152"/>
      <c r="DB22" s="1152"/>
      <c r="DC22" s="1152"/>
      <c r="DD22" s="1152"/>
      <c r="DE22" s="1152"/>
      <c r="DF22" s="1152"/>
      <c r="DG22" s="1152"/>
      <c r="DH22" s="1152"/>
      <c r="DI22" s="1152"/>
      <c r="DJ22" s="1152"/>
      <c r="DK22" s="1152"/>
    </row>
    <row r="23" spans="1:115">
      <c r="B23" s="312" t="s">
        <v>21</v>
      </c>
      <c r="C23" s="1225">
        <f t="shared" ref="C23:C29" si="10">SUM(D23:I23)</f>
        <v>0</v>
      </c>
      <c r="D23" s="1224">
        <f>+$J$23*C11</f>
        <v>0</v>
      </c>
      <c r="E23" s="1224">
        <f t="shared" ref="E23:I23" si="11">+$J$23*D11</f>
        <v>0</v>
      </c>
      <c r="F23" s="1224">
        <f t="shared" si="11"/>
        <v>0</v>
      </c>
      <c r="G23" s="1224">
        <f t="shared" si="11"/>
        <v>0</v>
      </c>
      <c r="H23" s="1224">
        <f t="shared" si="11"/>
        <v>0</v>
      </c>
      <c r="I23" s="1224">
        <f t="shared" si="11"/>
        <v>0</v>
      </c>
      <c r="J23" s="1151"/>
      <c r="K23" s="1152"/>
      <c r="L23" s="1152"/>
      <c r="M23" s="1152"/>
      <c r="N23" s="1152"/>
      <c r="O23" s="1152"/>
      <c r="P23" s="1152"/>
      <c r="Q23" s="1152"/>
      <c r="R23" s="1152"/>
      <c r="S23" s="1152"/>
      <c r="T23" s="1152"/>
      <c r="U23" s="1152"/>
      <c r="V23" s="1152"/>
      <c r="W23" s="1152"/>
      <c r="X23" s="1152"/>
      <c r="Y23" s="1152"/>
      <c r="Z23" s="1152"/>
      <c r="AA23" s="1152"/>
      <c r="AB23" s="1152"/>
      <c r="AC23" s="1152"/>
      <c r="AD23" s="1152"/>
      <c r="AE23" s="1152"/>
      <c r="AF23" s="1152"/>
      <c r="AG23" s="1152"/>
      <c r="AH23" s="1152"/>
      <c r="AI23" s="1152"/>
      <c r="AJ23" s="1152"/>
      <c r="AK23" s="1152"/>
      <c r="AL23" s="1152"/>
      <c r="AM23" s="1152"/>
      <c r="AN23" s="1152"/>
      <c r="AO23" s="1152"/>
      <c r="AP23" s="1152"/>
      <c r="AQ23" s="1152"/>
      <c r="AR23" s="1152"/>
      <c r="AS23" s="1152"/>
      <c r="AT23" s="1152"/>
      <c r="AU23" s="1152"/>
      <c r="AV23" s="1152"/>
      <c r="AW23" s="1152"/>
      <c r="AX23" s="1152"/>
      <c r="AY23" s="1152"/>
      <c r="AZ23" s="1152"/>
      <c r="BA23" s="1152"/>
      <c r="BB23" s="1152"/>
      <c r="BC23" s="1152"/>
      <c r="BD23" s="1152"/>
      <c r="BE23" s="1152"/>
      <c r="BF23" s="1152"/>
      <c r="BG23" s="1152"/>
      <c r="BH23" s="1152"/>
      <c r="BI23" s="1152"/>
      <c r="BJ23" s="1152"/>
      <c r="BK23" s="1152"/>
      <c r="BL23" s="1152"/>
      <c r="BM23" s="1152"/>
      <c r="BN23" s="1152"/>
      <c r="BO23" s="1152"/>
      <c r="BP23" s="1152"/>
      <c r="BQ23" s="1152"/>
      <c r="BR23" s="1152"/>
      <c r="BS23" s="1152"/>
      <c r="BT23" s="1152"/>
      <c r="BU23" s="1152"/>
      <c r="BV23" s="1152"/>
      <c r="BW23" s="1152"/>
      <c r="BX23" s="1152"/>
      <c r="BY23" s="1152"/>
      <c r="BZ23" s="1152"/>
      <c r="CA23" s="1152"/>
      <c r="CB23" s="1152"/>
      <c r="CC23" s="1152"/>
      <c r="CD23" s="1152"/>
      <c r="CE23" s="1152"/>
      <c r="CF23" s="1152"/>
      <c r="CG23" s="1152"/>
      <c r="CH23" s="1152"/>
      <c r="CI23" s="1152"/>
      <c r="CJ23" s="1152"/>
      <c r="CK23" s="1152"/>
      <c r="CL23" s="1152"/>
      <c r="CM23" s="1152"/>
      <c r="CN23" s="1152"/>
      <c r="CO23" s="1152"/>
      <c r="CP23" s="1152"/>
      <c r="CQ23" s="1152"/>
      <c r="CR23" s="1152"/>
      <c r="CS23" s="1152"/>
      <c r="CT23" s="1152"/>
      <c r="CU23" s="1152"/>
      <c r="CV23" s="1152"/>
      <c r="CW23" s="1152"/>
      <c r="CX23" s="1152"/>
      <c r="CY23" s="1152"/>
      <c r="CZ23" s="1152"/>
      <c r="DA23" s="1152"/>
      <c r="DB23" s="1152"/>
      <c r="DC23" s="1152"/>
      <c r="DD23" s="1152"/>
      <c r="DE23" s="1152"/>
      <c r="DF23" s="1152"/>
      <c r="DG23" s="1152"/>
      <c r="DH23" s="1152"/>
      <c r="DI23" s="1152"/>
      <c r="DJ23" s="1152"/>
      <c r="DK23" s="1152"/>
    </row>
    <row r="24" spans="1:115">
      <c r="B24" s="312" t="s">
        <v>22</v>
      </c>
      <c r="C24" s="1225">
        <f t="shared" si="10"/>
        <v>0</v>
      </c>
      <c r="D24" s="1224">
        <f>+$J$24*C12</f>
        <v>0</v>
      </c>
      <c r="E24" s="1224">
        <f t="shared" ref="E24:I24" si="12">+$J$24*D12</f>
        <v>0</v>
      </c>
      <c r="F24" s="1224">
        <f t="shared" si="12"/>
        <v>0</v>
      </c>
      <c r="G24" s="1224">
        <f t="shared" si="12"/>
        <v>0</v>
      </c>
      <c r="H24" s="1224">
        <f t="shared" si="12"/>
        <v>0</v>
      </c>
      <c r="I24" s="1224">
        <f t="shared" si="12"/>
        <v>0</v>
      </c>
      <c r="J24" s="1151"/>
      <c r="K24" s="1152"/>
      <c r="L24" s="1152"/>
      <c r="M24" s="1152"/>
      <c r="N24" s="1152"/>
      <c r="O24" s="1152"/>
      <c r="P24" s="1152"/>
      <c r="Q24" s="1152"/>
      <c r="R24" s="1152"/>
      <c r="S24" s="1152"/>
      <c r="T24" s="1152"/>
      <c r="U24" s="1152"/>
      <c r="V24" s="1152"/>
      <c r="W24" s="1152"/>
      <c r="X24" s="1152"/>
      <c r="Y24" s="1152"/>
      <c r="Z24" s="1152"/>
      <c r="AA24" s="1152"/>
      <c r="AB24" s="1152"/>
      <c r="AC24" s="1152"/>
      <c r="AD24" s="1152"/>
      <c r="AE24" s="1152"/>
      <c r="AF24" s="1152"/>
      <c r="AG24" s="1152"/>
      <c r="AH24" s="1152"/>
      <c r="AI24" s="1152"/>
      <c r="AJ24" s="1152"/>
      <c r="AK24" s="1152"/>
      <c r="AL24" s="1152"/>
      <c r="AM24" s="1152"/>
      <c r="AN24" s="1152"/>
      <c r="AO24" s="1152"/>
      <c r="AP24" s="1152"/>
      <c r="AQ24" s="1152"/>
      <c r="AR24" s="1152"/>
      <c r="AS24" s="1152"/>
      <c r="AT24" s="1152"/>
      <c r="AU24" s="1152"/>
      <c r="AV24" s="1152"/>
      <c r="AW24" s="1152"/>
      <c r="AX24" s="1152"/>
      <c r="AY24" s="1152"/>
      <c r="AZ24" s="1152"/>
      <c r="BA24" s="1152"/>
      <c r="BB24" s="1152"/>
      <c r="BC24" s="1152"/>
      <c r="BD24" s="1152"/>
      <c r="BE24" s="1152"/>
      <c r="BF24" s="1152"/>
      <c r="BG24" s="1152"/>
      <c r="BH24" s="1152"/>
      <c r="BI24" s="1152"/>
      <c r="BJ24" s="1152"/>
      <c r="BK24" s="1152"/>
      <c r="BL24" s="1152"/>
      <c r="BM24" s="1152"/>
      <c r="BN24" s="1152"/>
      <c r="BO24" s="1152"/>
      <c r="BP24" s="1152"/>
      <c r="BQ24" s="1152"/>
      <c r="BR24" s="1152"/>
      <c r="BS24" s="1152"/>
      <c r="BT24" s="1152"/>
      <c r="BU24" s="1152"/>
      <c r="BV24" s="1152"/>
      <c r="BW24" s="1152"/>
      <c r="BX24" s="1152"/>
      <c r="BY24" s="1152"/>
      <c r="BZ24" s="1152"/>
      <c r="CA24" s="1152"/>
      <c r="CB24" s="1152"/>
      <c r="CC24" s="1152"/>
      <c r="CD24" s="1152"/>
      <c r="CE24" s="1152"/>
      <c r="CF24" s="1152"/>
      <c r="CG24" s="1152"/>
      <c r="CH24" s="1152"/>
      <c r="CI24" s="1152"/>
      <c r="CJ24" s="1152"/>
      <c r="CK24" s="1152"/>
      <c r="CL24" s="1152"/>
      <c r="CM24" s="1152"/>
      <c r="CN24" s="1152"/>
      <c r="CO24" s="1152"/>
      <c r="CP24" s="1152"/>
      <c r="CQ24" s="1152"/>
      <c r="CR24" s="1152"/>
      <c r="CS24" s="1152"/>
      <c r="CT24" s="1152"/>
      <c r="CU24" s="1152"/>
      <c r="CV24" s="1152"/>
      <c r="CW24" s="1152"/>
      <c r="CX24" s="1152"/>
      <c r="CY24" s="1152"/>
      <c r="CZ24" s="1152"/>
      <c r="DA24" s="1152"/>
      <c r="DB24" s="1152"/>
      <c r="DC24" s="1152"/>
      <c r="DD24" s="1152"/>
      <c r="DE24" s="1152"/>
      <c r="DF24" s="1152"/>
      <c r="DG24" s="1152"/>
      <c r="DH24" s="1152"/>
      <c r="DI24" s="1152"/>
      <c r="DJ24" s="1152"/>
      <c r="DK24" s="1152"/>
    </row>
    <row r="25" spans="1:115">
      <c r="B25" s="312" t="s">
        <v>23</v>
      </c>
      <c r="C25" s="1225">
        <f t="shared" si="10"/>
        <v>0</v>
      </c>
      <c r="D25" s="1224">
        <f>+$J$25*C13</f>
        <v>0</v>
      </c>
      <c r="E25" s="1224">
        <f t="shared" ref="E25:I25" si="13">+$J$25*D13</f>
        <v>0</v>
      </c>
      <c r="F25" s="1224">
        <f t="shared" si="13"/>
        <v>0</v>
      </c>
      <c r="G25" s="1224">
        <f t="shared" si="13"/>
        <v>0</v>
      </c>
      <c r="H25" s="1224">
        <f t="shared" si="13"/>
        <v>0</v>
      </c>
      <c r="I25" s="1224">
        <f t="shared" si="13"/>
        <v>0</v>
      </c>
      <c r="J25" s="1151"/>
      <c r="K25" s="1152"/>
      <c r="L25" s="1152"/>
      <c r="M25" s="1152"/>
      <c r="N25" s="1152"/>
      <c r="O25" s="1152"/>
      <c r="P25" s="1152"/>
      <c r="Q25" s="1152"/>
      <c r="R25" s="1152"/>
      <c r="S25" s="1152"/>
      <c r="T25" s="1152"/>
      <c r="U25" s="1152"/>
      <c r="V25" s="1152"/>
      <c r="W25" s="1152"/>
      <c r="X25" s="1152"/>
      <c r="Y25" s="1152"/>
      <c r="Z25" s="1152"/>
      <c r="AA25" s="1152"/>
      <c r="AB25" s="1152"/>
      <c r="AC25" s="1152"/>
      <c r="AD25" s="1152"/>
      <c r="AE25" s="1152"/>
      <c r="AF25" s="1152"/>
      <c r="AG25" s="1152"/>
      <c r="AH25" s="1152"/>
      <c r="AI25" s="1152"/>
      <c r="AJ25" s="1152"/>
      <c r="AK25" s="1152"/>
      <c r="AL25" s="1152"/>
      <c r="AM25" s="1152"/>
      <c r="AN25" s="1152"/>
      <c r="AO25" s="1152"/>
      <c r="AP25" s="1152"/>
      <c r="AQ25" s="1152"/>
      <c r="AR25" s="1152"/>
      <c r="AS25" s="1152"/>
      <c r="AT25" s="1152"/>
      <c r="AU25" s="1152"/>
      <c r="AV25" s="1152"/>
      <c r="AW25" s="1152"/>
      <c r="AX25" s="1152"/>
      <c r="AY25" s="1152"/>
      <c r="AZ25" s="1152"/>
      <c r="BA25" s="1152"/>
      <c r="BB25" s="1152"/>
      <c r="BC25" s="1152"/>
      <c r="BD25" s="1152"/>
      <c r="BE25" s="1152"/>
      <c r="BF25" s="1152"/>
      <c r="BG25" s="1152"/>
      <c r="BH25" s="1152"/>
      <c r="BI25" s="1152"/>
      <c r="BJ25" s="1152"/>
      <c r="BK25" s="1152"/>
      <c r="BL25" s="1152"/>
      <c r="BM25" s="1152"/>
      <c r="BN25" s="1152"/>
      <c r="BO25" s="1152"/>
      <c r="BP25" s="1152"/>
      <c r="BQ25" s="1152"/>
      <c r="BR25" s="1152"/>
      <c r="BS25" s="1152"/>
      <c r="BT25" s="1152"/>
      <c r="BU25" s="1152"/>
      <c r="BV25" s="1152"/>
      <c r="BW25" s="1152"/>
      <c r="BX25" s="1152"/>
      <c r="BY25" s="1152"/>
      <c r="BZ25" s="1152"/>
      <c r="CA25" s="1152"/>
      <c r="CB25" s="1152"/>
      <c r="CC25" s="1152"/>
      <c r="CD25" s="1152"/>
      <c r="CE25" s="1152"/>
      <c r="CF25" s="1152"/>
      <c r="CG25" s="1152"/>
      <c r="CH25" s="1152"/>
      <c r="CI25" s="1152"/>
      <c r="CJ25" s="1152"/>
      <c r="CK25" s="1152"/>
      <c r="CL25" s="1152"/>
      <c r="CM25" s="1152"/>
      <c r="CN25" s="1152"/>
      <c r="CO25" s="1152"/>
      <c r="CP25" s="1152"/>
      <c r="CQ25" s="1152"/>
      <c r="CR25" s="1152"/>
      <c r="CS25" s="1152"/>
      <c r="CT25" s="1152"/>
      <c r="CU25" s="1152"/>
      <c r="CV25" s="1152"/>
      <c r="CW25" s="1152"/>
      <c r="CX25" s="1152"/>
      <c r="CY25" s="1152"/>
      <c r="CZ25" s="1152"/>
      <c r="DA25" s="1152"/>
      <c r="DB25" s="1152"/>
      <c r="DC25" s="1152"/>
      <c r="DD25" s="1152"/>
      <c r="DE25" s="1152"/>
      <c r="DF25" s="1152"/>
      <c r="DG25" s="1152"/>
      <c r="DH25" s="1152"/>
      <c r="DI25" s="1152"/>
      <c r="DJ25" s="1152"/>
      <c r="DK25" s="1152"/>
    </row>
    <row r="26" spans="1:115">
      <c r="B26" s="312" t="s">
        <v>24</v>
      </c>
      <c r="C26" s="1225">
        <f t="shared" si="10"/>
        <v>0</v>
      </c>
      <c r="D26" s="1224">
        <f>+$J$26*C14</f>
        <v>0</v>
      </c>
      <c r="E26" s="1224">
        <f t="shared" ref="E26:I26" si="14">+$J$26*D14</f>
        <v>0</v>
      </c>
      <c r="F26" s="1224">
        <f t="shared" si="14"/>
        <v>0</v>
      </c>
      <c r="G26" s="1224">
        <f t="shared" si="14"/>
        <v>0</v>
      </c>
      <c r="H26" s="1224">
        <f t="shared" si="14"/>
        <v>0</v>
      </c>
      <c r="I26" s="1224">
        <f t="shared" si="14"/>
        <v>0</v>
      </c>
      <c r="J26" s="1151"/>
      <c r="K26" s="1152"/>
      <c r="L26" s="1152"/>
      <c r="M26" s="1152"/>
      <c r="N26" s="1152"/>
      <c r="O26" s="1152"/>
      <c r="P26" s="1152"/>
      <c r="Q26" s="1152"/>
      <c r="R26" s="1152"/>
      <c r="S26" s="1152"/>
      <c r="T26" s="1152"/>
      <c r="U26" s="1152"/>
      <c r="V26" s="1152"/>
      <c r="W26" s="1152"/>
      <c r="X26" s="1152"/>
      <c r="Y26" s="1152"/>
      <c r="Z26" s="1152"/>
      <c r="AA26" s="1152"/>
      <c r="AB26" s="1152"/>
      <c r="AC26" s="1152"/>
      <c r="AD26" s="1152"/>
      <c r="AE26" s="1152"/>
      <c r="AF26" s="1152"/>
      <c r="AG26" s="1152"/>
      <c r="AH26" s="1152"/>
      <c r="AI26" s="1152"/>
      <c r="AJ26" s="1152"/>
      <c r="AK26" s="1152"/>
      <c r="AL26" s="1152"/>
      <c r="AM26" s="1152"/>
      <c r="AN26" s="1152"/>
      <c r="AO26" s="1152"/>
      <c r="AP26" s="1152"/>
      <c r="AQ26" s="1152"/>
      <c r="AR26" s="1152"/>
      <c r="AS26" s="1152"/>
      <c r="AT26" s="1152"/>
      <c r="AU26" s="1152"/>
      <c r="AV26" s="1152"/>
      <c r="AW26" s="1152"/>
      <c r="AX26" s="1152"/>
      <c r="AY26" s="1152"/>
      <c r="AZ26" s="1152"/>
      <c r="BA26" s="1152"/>
      <c r="BB26" s="1152"/>
      <c r="BC26" s="1152"/>
      <c r="BD26" s="1152"/>
      <c r="BE26" s="1152"/>
      <c r="BF26" s="1152"/>
      <c r="BG26" s="1152"/>
      <c r="BH26" s="1152"/>
      <c r="BI26" s="1152"/>
      <c r="BJ26" s="1152"/>
      <c r="BK26" s="1152"/>
      <c r="BL26" s="1152"/>
      <c r="BM26" s="1152"/>
      <c r="BN26" s="1152"/>
      <c r="BO26" s="1152"/>
      <c r="BP26" s="1152"/>
      <c r="BQ26" s="1152"/>
      <c r="BR26" s="1152"/>
      <c r="BS26" s="1152"/>
      <c r="BT26" s="1152"/>
      <c r="BU26" s="1152"/>
      <c r="BV26" s="1152"/>
      <c r="BW26" s="1152"/>
      <c r="BX26" s="1152"/>
      <c r="BY26" s="1152"/>
      <c r="BZ26" s="1152"/>
      <c r="CA26" s="1152"/>
      <c r="CB26" s="1152"/>
      <c r="CC26" s="1152"/>
      <c r="CD26" s="1152"/>
      <c r="CE26" s="1152"/>
      <c r="CF26" s="1152"/>
      <c r="CG26" s="1152"/>
      <c r="CH26" s="1152"/>
      <c r="CI26" s="1152"/>
      <c r="CJ26" s="1152"/>
      <c r="CK26" s="1152"/>
      <c r="CL26" s="1152"/>
      <c r="CM26" s="1152"/>
      <c r="CN26" s="1152"/>
      <c r="CO26" s="1152"/>
      <c r="CP26" s="1152"/>
      <c r="CQ26" s="1152"/>
      <c r="CR26" s="1152"/>
      <c r="CS26" s="1152"/>
      <c r="CT26" s="1152"/>
      <c r="CU26" s="1152"/>
      <c r="CV26" s="1152"/>
      <c r="CW26" s="1152"/>
      <c r="CX26" s="1152"/>
      <c r="CY26" s="1152"/>
      <c r="CZ26" s="1152"/>
      <c r="DA26" s="1152"/>
      <c r="DB26" s="1152"/>
      <c r="DC26" s="1152"/>
      <c r="DD26" s="1152"/>
      <c r="DE26" s="1152"/>
      <c r="DF26" s="1152"/>
      <c r="DG26" s="1152"/>
      <c r="DH26" s="1152"/>
      <c r="DI26" s="1152"/>
      <c r="DJ26" s="1152"/>
      <c r="DK26" s="1152"/>
    </row>
    <row r="27" spans="1:115">
      <c r="B27" s="312" t="s">
        <v>25</v>
      </c>
      <c r="C27" s="1225">
        <f t="shared" si="10"/>
        <v>0</v>
      </c>
      <c r="D27" s="1224">
        <f>+$J$27*C15</f>
        <v>0</v>
      </c>
      <c r="E27" s="1224">
        <f t="shared" ref="E27:I27" si="15">+$J$27*D15</f>
        <v>0</v>
      </c>
      <c r="F27" s="1224">
        <f t="shared" si="15"/>
        <v>0</v>
      </c>
      <c r="G27" s="1224">
        <f t="shared" si="15"/>
        <v>0</v>
      </c>
      <c r="H27" s="1224">
        <f t="shared" si="15"/>
        <v>0</v>
      </c>
      <c r="I27" s="1224">
        <f t="shared" si="15"/>
        <v>0</v>
      </c>
      <c r="J27" s="1151"/>
      <c r="K27" s="1152"/>
      <c r="L27" s="1152"/>
      <c r="M27" s="1152"/>
      <c r="N27" s="1152"/>
      <c r="O27" s="1152"/>
      <c r="P27" s="1152"/>
      <c r="Q27" s="1152"/>
      <c r="R27" s="1152"/>
      <c r="S27" s="1152"/>
      <c r="T27" s="1152"/>
      <c r="U27" s="1152"/>
      <c r="V27" s="1152"/>
      <c r="W27" s="1152"/>
      <c r="X27" s="1152"/>
      <c r="Y27" s="1152"/>
      <c r="Z27" s="1152"/>
      <c r="AA27" s="1152"/>
      <c r="AB27" s="1152"/>
      <c r="AC27" s="1152"/>
      <c r="AD27" s="1152"/>
      <c r="AE27" s="1152"/>
      <c r="AF27" s="1152"/>
      <c r="AG27" s="1152"/>
      <c r="AH27" s="1152"/>
      <c r="AI27" s="1152"/>
      <c r="AJ27" s="1152"/>
      <c r="AK27" s="1152"/>
      <c r="AL27" s="1152"/>
      <c r="AM27" s="1152"/>
      <c r="AN27" s="1152"/>
      <c r="AO27" s="1152"/>
      <c r="AP27" s="1152"/>
      <c r="AQ27" s="1152"/>
      <c r="AR27" s="1152"/>
      <c r="AS27" s="1152"/>
      <c r="AT27" s="1152"/>
      <c r="AU27" s="1152"/>
      <c r="AV27" s="1152"/>
      <c r="AW27" s="1152"/>
      <c r="AX27" s="1152"/>
      <c r="AY27" s="1152"/>
      <c r="AZ27" s="1152"/>
      <c r="BA27" s="1152"/>
      <c r="BB27" s="1152"/>
      <c r="BC27" s="1152"/>
      <c r="BD27" s="1152"/>
      <c r="BE27" s="1152"/>
      <c r="BF27" s="1152"/>
      <c r="BG27" s="1152"/>
      <c r="BH27" s="1152"/>
      <c r="BI27" s="1152"/>
      <c r="BJ27" s="1152"/>
      <c r="BK27" s="1152"/>
      <c r="BL27" s="1152"/>
      <c r="BM27" s="1152"/>
      <c r="BN27" s="1152"/>
      <c r="BO27" s="1152"/>
      <c r="BP27" s="1152"/>
      <c r="BQ27" s="1152"/>
      <c r="BR27" s="1152"/>
      <c r="BS27" s="1152"/>
      <c r="BT27" s="1152"/>
      <c r="BU27" s="1152"/>
      <c r="BV27" s="1152"/>
      <c r="BW27" s="1152"/>
      <c r="BX27" s="1152"/>
      <c r="BY27" s="1152"/>
      <c r="BZ27" s="1152"/>
      <c r="CA27" s="1152"/>
      <c r="CB27" s="1152"/>
      <c r="CC27" s="1152"/>
      <c r="CD27" s="1152"/>
      <c r="CE27" s="1152"/>
      <c r="CF27" s="1152"/>
      <c r="CG27" s="1152"/>
      <c r="CH27" s="1152"/>
      <c r="CI27" s="1152"/>
      <c r="CJ27" s="1152"/>
      <c r="CK27" s="1152"/>
      <c r="CL27" s="1152"/>
      <c r="CM27" s="1152"/>
      <c r="CN27" s="1152"/>
      <c r="CO27" s="1152"/>
      <c r="CP27" s="1152"/>
      <c r="CQ27" s="1152"/>
      <c r="CR27" s="1152"/>
      <c r="CS27" s="1152"/>
      <c r="CT27" s="1152"/>
      <c r="CU27" s="1152"/>
      <c r="CV27" s="1152"/>
      <c r="CW27" s="1152"/>
      <c r="CX27" s="1152"/>
      <c r="CY27" s="1152"/>
      <c r="CZ27" s="1152"/>
      <c r="DA27" s="1152"/>
      <c r="DB27" s="1152"/>
      <c r="DC27" s="1152"/>
      <c r="DD27" s="1152"/>
      <c r="DE27" s="1152"/>
      <c r="DF27" s="1152"/>
      <c r="DG27" s="1152"/>
      <c r="DH27" s="1152"/>
      <c r="DI27" s="1152"/>
      <c r="DJ27" s="1152"/>
      <c r="DK27" s="1152"/>
    </row>
    <row r="28" spans="1:115">
      <c r="B28" s="312" t="s">
        <v>26</v>
      </c>
      <c r="C28" s="1225">
        <f t="shared" si="10"/>
        <v>0</v>
      </c>
      <c r="D28" s="1224">
        <f>+$J$28*C16</f>
        <v>0</v>
      </c>
      <c r="E28" s="1224">
        <f t="shared" ref="E28:I28" si="16">+$J$28*D16</f>
        <v>0</v>
      </c>
      <c r="F28" s="1224">
        <f t="shared" si="16"/>
        <v>0</v>
      </c>
      <c r="G28" s="1224">
        <f t="shared" si="16"/>
        <v>0</v>
      </c>
      <c r="H28" s="1224">
        <f t="shared" si="16"/>
        <v>0</v>
      </c>
      <c r="I28" s="1224">
        <f t="shared" si="16"/>
        <v>0</v>
      </c>
      <c r="J28" s="1151"/>
      <c r="K28" s="1152"/>
      <c r="L28" s="1152"/>
      <c r="M28" s="1152"/>
      <c r="N28" s="1152"/>
      <c r="O28" s="1152"/>
      <c r="P28" s="1152"/>
      <c r="Q28" s="1152"/>
      <c r="R28" s="1152"/>
      <c r="S28" s="1152"/>
      <c r="T28" s="1152"/>
      <c r="U28" s="1152"/>
      <c r="V28" s="1152"/>
      <c r="W28" s="1152"/>
      <c r="X28" s="1152"/>
      <c r="Y28" s="1152"/>
      <c r="Z28" s="1152"/>
      <c r="AA28" s="1152"/>
      <c r="AB28" s="1152"/>
      <c r="AC28" s="1152"/>
      <c r="AD28" s="1152"/>
      <c r="AE28" s="1152"/>
      <c r="AF28" s="1152"/>
      <c r="AG28" s="1152"/>
      <c r="AH28" s="1152"/>
      <c r="AI28" s="1152"/>
      <c r="AJ28" s="1152"/>
      <c r="AK28" s="1152"/>
      <c r="AL28" s="1152"/>
      <c r="AM28" s="1152"/>
      <c r="AN28" s="1152"/>
      <c r="AO28" s="1152"/>
      <c r="AP28" s="1152"/>
      <c r="AQ28" s="1152"/>
      <c r="AR28" s="1152"/>
      <c r="AS28" s="1152"/>
      <c r="AT28" s="1152"/>
      <c r="AU28" s="1152"/>
      <c r="AV28" s="1152"/>
      <c r="AW28" s="1152"/>
      <c r="AX28" s="1152"/>
      <c r="AY28" s="1152"/>
      <c r="AZ28" s="1152"/>
      <c r="BA28" s="1152"/>
      <c r="BB28" s="1152"/>
      <c r="BC28" s="1152"/>
      <c r="BD28" s="1152"/>
      <c r="BE28" s="1152"/>
      <c r="BF28" s="1152"/>
      <c r="BG28" s="1152"/>
      <c r="BH28" s="1152"/>
      <c r="BI28" s="1152"/>
      <c r="BJ28" s="1152"/>
      <c r="BK28" s="1152"/>
      <c r="BL28" s="1152"/>
      <c r="BM28" s="1152"/>
      <c r="BN28" s="1152"/>
      <c r="BO28" s="1152"/>
      <c r="BP28" s="1152"/>
      <c r="BQ28" s="1152"/>
      <c r="BR28" s="1152"/>
      <c r="BS28" s="1152"/>
      <c r="BT28" s="1152"/>
      <c r="BU28" s="1152"/>
      <c r="BV28" s="1152"/>
      <c r="BW28" s="1152"/>
      <c r="BX28" s="1152"/>
      <c r="BY28" s="1152"/>
      <c r="BZ28" s="1152"/>
      <c r="CA28" s="1152"/>
      <c r="CB28" s="1152"/>
      <c r="CC28" s="1152"/>
      <c r="CD28" s="1152"/>
      <c r="CE28" s="1152"/>
      <c r="CF28" s="1152"/>
      <c r="CG28" s="1152"/>
      <c r="CH28" s="1152"/>
      <c r="CI28" s="1152"/>
      <c r="CJ28" s="1152"/>
      <c r="CK28" s="1152"/>
      <c r="CL28" s="1152"/>
      <c r="CM28" s="1152"/>
      <c r="CN28" s="1152"/>
      <c r="CO28" s="1152"/>
      <c r="CP28" s="1152"/>
      <c r="CQ28" s="1152"/>
      <c r="CR28" s="1152"/>
      <c r="CS28" s="1152"/>
      <c r="CT28" s="1152"/>
      <c r="CU28" s="1152"/>
      <c r="CV28" s="1152"/>
      <c r="CW28" s="1152"/>
      <c r="CX28" s="1152"/>
      <c r="CY28" s="1152"/>
      <c r="CZ28" s="1152"/>
      <c r="DA28" s="1152"/>
      <c r="DB28" s="1152"/>
      <c r="DC28" s="1152"/>
      <c r="DD28" s="1152"/>
      <c r="DE28" s="1152"/>
      <c r="DF28" s="1152"/>
      <c r="DG28" s="1152"/>
      <c r="DH28" s="1152"/>
      <c r="DI28" s="1152"/>
      <c r="DJ28" s="1152"/>
      <c r="DK28" s="1152"/>
    </row>
    <row r="29" spans="1:115" ht="23.25">
      <c r="B29" s="312" t="s">
        <v>27</v>
      </c>
      <c r="C29" s="1225">
        <f t="shared" si="10"/>
        <v>0</v>
      </c>
      <c r="D29" s="1224">
        <f>+$J$29*C17</f>
        <v>0</v>
      </c>
      <c r="E29" s="1224">
        <f t="shared" ref="E29:I29" si="17">+$J$29*D17</f>
        <v>0</v>
      </c>
      <c r="F29" s="1224">
        <f t="shared" si="17"/>
        <v>0</v>
      </c>
      <c r="G29" s="1224">
        <f t="shared" si="17"/>
        <v>0</v>
      </c>
      <c r="H29" s="1224">
        <f t="shared" si="17"/>
        <v>0</v>
      </c>
      <c r="I29" s="1224">
        <f t="shared" si="17"/>
        <v>0</v>
      </c>
      <c r="J29" s="1151"/>
      <c r="K29" s="1237" t="s">
        <v>2235</v>
      </c>
      <c r="L29" s="1156"/>
      <c r="M29" s="1152"/>
      <c r="N29" s="1152"/>
      <c r="O29" s="1152"/>
      <c r="P29" s="1152"/>
      <c r="Q29" s="1152"/>
      <c r="R29" s="1152"/>
      <c r="S29" s="1152"/>
      <c r="T29" s="1152"/>
      <c r="U29" s="1152"/>
      <c r="V29" s="1152"/>
      <c r="W29" s="1152"/>
      <c r="X29" s="1152"/>
      <c r="Y29" s="1152"/>
      <c r="Z29" s="1152"/>
      <c r="AA29" s="1152"/>
      <c r="AB29" s="1152"/>
      <c r="AC29" s="1152"/>
      <c r="AD29" s="1152"/>
      <c r="AE29" s="1152"/>
      <c r="AF29" s="1152"/>
      <c r="AG29" s="1152"/>
      <c r="AH29" s="1152"/>
      <c r="AI29" s="1152"/>
      <c r="AJ29" s="1152"/>
      <c r="AK29" s="1152"/>
      <c r="AL29" s="1152"/>
      <c r="AM29" s="1152"/>
      <c r="AN29" s="1152"/>
      <c r="AO29" s="1152"/>
      <c r="AP29" s="1152"/>
      <c r="AQ29" s="1152"/>
      <c r="AR29" s="1152"/>
      <c r="AS29" s="1152"/>
      <c r="AT29" s="1152"/>
      <c r="AU29" s="1152"/>
      <c r="AV29" s="1152"/>
      <c r="AW29" s="1152"/>
      <c r="AX29" s="1152"/>
      <c r="AY29" s="1152"/>
      <c r="AZ29" s="1152"/>
      <c r="BA29" s="1152"/>
      <c r="BB29" s="1152"/>
      <c r="BC29" s="1152"/>
      <c r="BD29" s="1152"/>
      <c r="BE29" s="1152"/>
      <c r="BF29" s="1152"/>
      <c r="BG29" s="1152"/>
      <c r="BH29" s="1152"/>
      <c r="BI29" s="1152"/>
      <c r="BJ29" s="1152"/>
      <c r="BK29" s="1152"/>
      <c r="BL29" s="1152"/>
      <c r="BM29" s="1152"/>
      <c r="BN29" s="1152"/>
      <c r="BO29" s="1152"/>
      <c r="BP29" s="1152"/>
      <c r="BQ29" s="1152"/>
      <c r="BR29" s="1152"/>
      <c r="BS29" s="1152"/>
      <c r="BT29" s="1152"/>
      <c r="BU29" s="1152"/>
      <c r="BV29" s="1152"/>
      <c r="BW29" s="1152"/>
      <c r="BX29" s="1152"/>
      <c r="BY29" s="1152"/>
      <c r="BZ29" s="1152"/>
      <c r="CA29" s="1152"/>
      <c r="CB29" s="1152"/>
      <c r="CC29" s="1152"/>
      <c r="CD29" s="1152"/>
      <c r="CE29" s="1152"/>
      <c r="CF29" s="1152"/>
      <c r="CG29" s="1152"/>
      <c r="CH29" s="1152"/>
      <c r="CI29" s="1152"/>
      <c r="CJ29" s="1152"/>
      <c r="CK29" s="1152"/>
      <c r="CL29" s="1152"/>
      <c r="CM29" s="1152"/>
      <c r="CN29" s="1152"/>
      <c r="CO29" s="1152"/>
      <c r="CP29" s="1152"/>
      <c r="CQ29" s="1152"/>
      <c r="CR29" s="1152"/>
      <c r="CS29" s="1152"/>
      <c r="CT29" s="1152"/>
      <c r="CU29" s="1152"/>
      <c r="CV29" s="1152"/>
      <c r="CW29" s="1152"/>
      <c r="CX29" s="1152"/>
      <c r="CY29" s="1152"/>
      <c r="CZ29" s="1152"/>
      <c r="DA29" s="1152"/>
      <c r="DB29" s="1152"/>
      <c r="DC29" s="1152"/>
      <c r="DD29" s="1152"/>
      <c r="DE29" s="1152"/>
      <c r="DF29" s="1152"/>
      <c r="DG29" s="1152"/>
      <c r="DH29" s="1152"/>
      <c r="DI29" s="1152"/>
      <c r="DJ29" s="1152"/>
      <c r="DK29" s="1152"/>
    </row>
    <row r="30" spans="1:115" ht="34.5">
      <c r="B30" s="695"/>
      <c r="C30" s="694"/>
      <c r="D30" s="694"/>
      <c r="E30" s="694"/>
      <c r="F30" s="694"/>
      <c r="G30" s="694"/>
      <c r="H30" s="694"/>
      <c r="I30" s="694"/>
      <c r="J30" s="1152"/>
      <c r="K30" s="1237" t="s">
        <v>2233</v>
      </c>
      <c r="L30" s="1156">
        <f>+D41+H41+L41+P41</f>
        <v>0</v>
      </c>
      <c r="M30" s="1152"/>
      <c r="N30" s="1152"/>
      <c r="O30" s="1152"/>
      <c r="P30" s="1152"/>
      <c r="Q30" s="1152"/>
      <c r="R30" s="1152"/>
      <c r="S30" s="1152"/>
      <c r="T30" s="1152"/>
      <c r="U30" s="1152"/>
      <c r="V30" s="1152"/>
      <c r="W30" s="1152"/>
      <c r="X30" s="1152"/>
      <c r="Y30" s="1152"/>
      <c r="Z30" s="1152"/>
      <c r="AA30" s="1152"/>
      <c r="AB30" s="1152"/>
      <c r="AC30" s="1152"/>
      <c r="AD30" s="1152"/>
      <c r="AE30" s="1152"/>
      <c r="AF30" s="1152"/>
      <c r="AG30" s="1152"/>
      <c r="AH30" s="1152"/>
      <c r="AI30" s="1152"/>
      <c r="AJ30" s="1152"/>
      <c r="AK30" s="1152"/>
      <c r="AL30" s="1152"/>
      <c r="AM30" s="1152"/>
      <c r="AN30" s="1152"/>
      <c r="AO30" s="1152"/>
      <c r="AP30" s="1152"/>
      <c r="AQ30" s="1152"/>
      <c r="AR30" s="1152"/>
      <c r="AS30" s="1152"/>
      <c r="AT30" s="1152"/>
      <c r="AU30" s="1152"/>
      <c r="AV30" s="1152"/>
      <c r="AW30" s="1152"/>
      <c r="AX30" s="1152"/>
      <c r="AY30" s="1152"/>
      <c r="AZ30" s="1152"/>
      <c r="BA30" s="1152"/>
      <c r="BB30" s="1152"/>
      <c r="BC30" s="1152"/>
      <c r="BD30" s="1152"/>
      <c r="BE30" s="1152"/>
      <c r="BF30" s="1152"/>
      <c r="BG30" s="1152"/>
      <c r="BH30" s="1152"/>
      <c r="BI30" s="1152"/>
      <c r="BJ30" s="1152"/>
      <c r="BK30" s="1152"/>
      <c r="BL30" s="1152"/>
      <c r="BM30" s="1152"/>
      <c r="BN30" s="1152"/>
      <c r="BO30" s="1152"/>
      <c r="BP30" s="1152"/>
      <c r="BQ30" s="1152"/>
      <c r="BR30" s="1152"/>
      <c r="BS30" s="1152"/>
      <c r="BT30" s="1152"/>
      <c r="BU30" s="1152"/>
      <c r="BV30" s="1152"/>
      <c r="BW30" s="1152"/>
      <c r="BX30" s="1152"/>
      <c r="BY30" s="1152"/>
      <c r="BZ30" s="1152"/>
      <c r="CA30" s="1152"/>
      <c r="CB30" s="1152"/>
      <c r="CC30" s="1152"/>
      <c r="CD30" s="1152"/>
      <c r="CE30" s="1152"/>
      <c r="CF30" s="1152"/>
      <c r="CG30" s="1152"/>
      <c r="CH30" s="1152"/>
      <c r="CI30" s="1152"/>
      <c r="CJ30" s="1152"/>
      <c r="CK30" s="1152"/>
      <c r="CL30" s="1152"/>
      <c r="CM30" s="1152"/>
      <c r="CN30" s="1152"/>
      <c r="CO30" s="1152"/>
      <c r="CP30" s="1152"/>
      <c r="CQ30" s="1152"/>
      <c r="CR30" s="1152"/>
      <c r="CS30" s="1152"/>
      <c r="CT30" s="1152"/>
      <c r="CU30" s="1152"/>
      <c r="CV30" s="1152"/>
      <c r="CW30" s="1152"/>
      <c r="CX30" s="1152"/>
      <c r="CY30" s="1152"/>
      <c r="CZ30" s="1152"/>
      <c r="DA30" s="1152"/>
      <c r="DB30" s="1152"/>
      <c r="DC30" s="1152"/>
      <c r="DD30" s="1152"/>
      <c r="DE30" s="1152"/>
      <c r="DF30" s="1152"/>
      <c r="DG30" s="1152"/>
      <c r="DH30" s="1152"/>
      <c r="DI30" s="1152"/>
      <c r="DJ30" s="1152"/>
      <c r="DK30" s="1152"/>
    </row>
    <row r="31" spans="1:115" s="1152" customFormat="1"/>
    <row r="32" spans="1:115" s="1152" customFormat="1"/>
    <row r="33" spans="2:18" s="1152" customFormat="1">
      <c r="B33" s="1154" t="s">
        <v>2200</v>
      </c>
      <c r="C33" s="1154">
        <v>5</v>
      </c>
      <c r="F33" s="1154">
        <v>5</v>
      </c>
      <c r="J33" s="1154">
        <v>5</v>
      </c>
      <c r="N33" s="1154">
        <v>5</v>
      </c>
    </row>
    <row r="34" spans="2:18" s="1152" customFormat="1">
      <c r="B34" s="1154" t="s">
        <v>2201</v>
      </c>
      <c r="C34" s="1155">
        <v>4</v>
      </c>
      <c r="F34" s="1155">
        <v>2</v>
      </c>
      <c r="J34" s="1155">
        <v>2</v>
      </c>
      <c r="N34" s="1155">
        <v>2</v>
      </c>
    </row>
    <row r="35" spans="2:18" s="1152" customFormat="1">
      <c r="B35" s="1156" t="s">
        <v>2144</v>
      </c>
      <c r="C35" s="1156" t="s">
        <v>79</v>
      </c>
      <c r="D35" s="1156" t="s">
        <v>2202</v>
      </c>
      <c r="E35" s="1156" t="s">
        <v>2203</v>
      </c>
      <c r="F35" s="1156" t="s">
        <v>2145</v>
      </c>
      <c r="G35" s="1156" t="s">
        <v>79</v>
      </c>
      <c r="H35" s="1156" t="s">
        <v>2202</v>
      </c>
      <c r="I35" s="1156" t="s">
        <v>2203</v>
      </c>
      <c r="J35" s="1156" t="s">
        <v>2146</v>
      </c>
      <c r="K35" s="1156" t="s">
        <v>79</v>
      </c>
      <c r="L35" s="1156" t="s">
        <v>2202</v>
      </c>
      <c r="M35" s="1156" t="s">
        <v>2203</v>
      </c>
      <c r="N35" s="1156" t="s">
        <v>2147</v>
      </c>
      <c r="O35" s="1156" t="s">
        <v>79</v>
      </c>
      <c r="P35" s="1156" t="s">
        <v>2202</v>
      </c>
      <c r="Q35" s="1156" t="s">
        <v>2203</v>
      </c>
    </row>
    <row r="36" spans="2:18" s="1152" customFormat="1">
      <c r="B36" s="1157"/>
      <c r="C36" s="1157"/>
      <c r="D36" s="1157"/>
      <c r="E36" s="1233"/>
      <c r="F36" s="1157"/>
      <c r="G36" s="1157"/>
      <c r="H36" s="1157"/>
      <c r="I36" s="1233"/>
      <c r="J36" s="1157"/>
      <c r="K36" s="1157"/>
      <c r="L36" s="1157"/>
      <c r="M36" s="1233"/>
      <c r="N36" s="1157"/>
      <c r="O36" s="1157"/>
      <c r="P36" s="1157"/>
      <c r="Q36" s="1233"/>
    </row>
    <row r="37" spans="2:18" s="1152" customFormat="1">
      <c r="B37" s="1157"/>
      <c r="C37" s="1157"/>
      <c r="D37" s="1157"/>
      <c r="E37" s="1233"/>
      <c r="F37" s="1157"/>
      <c r="G37" s="1157"/>
      <c r="H37" s="1157"/>
      <c r="I37" s="1233"/>
      <c r="J37" s="1157"/>
      <c r="K37" s="1157"/>
      <c r="L37" s="1157"/>
      <c r="M37" s="1233"/>
      <c r="N37" s="1157"/>
      <c r="O37" s="1157"/>
      <c r="P37" s="1157"/>
      <c r="Q37" s="1233"/>
    </row>
    <row r="38" spans="2:18" s="1152" customFormat="1">
      <c r="B38" s="1157"/>
      <c r="C38" s="1157"/>
      <c r="D38" s="1157"/>
      <c r="E38" s="1233"/>
      <c r="F38" s="1157"/>
      <c r="G38" s="1157"/>
      <c r="H38" s="1157"/>
      <c r="I38" s="1233"/>
      <c r="J38" s="1157"/>
      <c r="K38" s="1157"/>
      <c r="L38" s="1157"/>
      <c r="M38" s="1233"/>
      <c r="N38" s="1157"/>
      <c r="O38" s="1157"/>
      <c r="P38" s="1157"/>
      <c r="Q38" s="1233"/>
    </row>
    <row r="39" spans="2:18" s="1152" customFormat="1">
      <c r="B39" s="1157"/>
      <c r="C39" s="1157"/>
      <c r="D39" s="1157"/>
      <c r="E39" s="1233"/>
      <c r="F39" s="1157"/>
      <c r="G39" s="1157"/>
      <c r="H39" s="1157"/>
      <c r="I39" s="1233"/>
      <c r="J39" s="1157"/>
      <c r="K39" s="1157"/>
      <c r="L39" s="1157"/>
      <c r="M39" s="1233"/>
      <c r="N39" s="1157"/>
      <c r="O39" s="1157"/>
      <c r="P39" s="1157"/>
      <c r="Q39" s="1233"/>
    </row>
    <row r="40" spans="2:18" s="1152" customFormat="1">
      <c r="B40" s="1160"/>
      <c r="C40" s="1160"/>
      <c r="D40" s="1160"/>
      <c r="E40" s="1233"/>
      <c r="F40" s="1160"/>
      <c r="G40" s="1157"/>
      <c r="H40" s="1160"/>
      <c r="I40" s="1233"/>
      <c r="J40" s="1160"/>
      <c r="K40" s="1157"/>
      <c r="L40" s="1160"/>
      <c r="M40" s="1233"/>
      <c r="N40" s="1160"/>
      <c r="O40" s="1157"/>
      <c r="P40" s="1160"/>
      <c r="Q40" s="1233"/>
    </row>
    <row r="41" spans="2:18" s="1152" customFormat="1">
      <c r="B41" s="1236" t="s">
        <v>65</v>
      </c>
      <c r="C41" s="1234">
        <f>SUM(C36:C40)</f>
        <v>0</v>
      </c>
      <c r="D41" s="1234">
        <f>SUM(D36:D40)</f>
        <v>0</v>
      </c>
      <c r="E41" s="1235">
        <f>SUM(E36:E40)</f>
        <v>0</v>
      </c>
      <c r="F41" s="1234"/>
      <c r="G41" s="1234">
        <f>SUM(G36:G40)</f>
        <v>0</v>
      </c>
      <c r="H41" s="1234">
        <f>SUM(H36:H40)</f>
        <v>0</v>
      </c>
      <c r="I41" s="1235">
        <f>SUM(I36:I40)</f>
        <v>0</v>
      </c>
      <c r="J41" s="1234"/>
      <c r="K41" s="1234">
        <f>SUM(K36:K40)</f>
        <v>0</v>
      </c>
      <c r="L41" s="1234">
        <f>SUM(L36:L40)</f>
        <v>0</v>
      </c>
      <c r="M41" s="1235">
        <f>SUM(M36:M40)</f>
        <v>0</v>
      </c>
      <c r="N41" s="1234"/>
      <c r="O41" s="1234">
        <f>SUM(O36:O40)</f>
        <v>0</v>
      </c>
      <c r="P41" s="1234">
        <f>SUM(P36:P40)</f>
        <v>0</v>
      </c>
      <c r="Q41" s="1235">
        <f>SUM(Q36:Q40)</f>
        <v>0</v>
      </c>
      <c r="R41" s="1152">
        <f>+O41+K41+G41+C41</f>
        <v>0</v>
      </c>
    </row>
    <row r="42" spans="2:18" s="1152" customFormat="1">
      <c r="D42" s="1152">
        <f>+D36*C33*C34</f>
        <v>0</v>
      </c>
      <c r="H42" s="1152">
        <f>+H36*F33*F34</f>
        <v>0</v>
      </c>
      <c r="L42" s="1152">
        <f>+L36*J33*J34</f>
        <v>0</v>
      </c>
      <c r="P42" s="1152">
        <f>+P36*N33*N34</f>
        <v>0</v>
      </c>
    </row>
    <row r="43" spans="2:18" s="1152" customFormat="1">
      <c r="O43" s="1316" t="s">
        <v>2206</v>
      </c>
      <c r="P43" s="1316"/>
      <c r="Q43" s="1164">
        <f>+Q41+M41+I41+E41</f>
        <v>0</v>
      </c>
    </row>
    <row r="44" spans="2:18" s="1152" customFormat="1"/>
    <row r="45" spans="2:18" s="1152" customFormat="1"/>
    <row r="46" spans="2:18" s="1152" customFormat="1">
      <c r="K46" s="1228">
        <v>52000</v>
      </c>
      <c r="L46" s="1228">
        <v>40000</v>
      </c>
    </row>
    <row r="47" spans="2:18" s="1152" customFormat="1">
      <c r="J47" s="1162"/>
      <c r="K47" s="1155" t="s">
        <v>2204</v>
      </c>
      <c r="L47" s="1155" t="s">
        <v>2205</v>
      </c>
    </row>
    <row r="48" spans="2:18" s="1152" customFormat="1">
      <c r="J48" s="1162"/>
      <c r="K48" s="1165"/>
      <c r="L48" s="1165"/>
    </row>
    <row r="49" spans="2:14" s="1152" customFormat="1">
      <c r="J49" s="1162"/>
      <c r="K49" s="1165"/>
      <c r="L49" s="1165"/>
    </row>
    <row r="50" spans="2:14" s="1152" customFormat="1">
      <c r="J50" s="1162"/>
      <c r="K50" s="1165"/>
      <c r="L50" s="1165"/>
    </row>
    <row r="51" spans="2:14" s="1152" customFormat="1">
      <c r="J51" s="1162"/>
      <c r="K51" s="1165"/>
      <c r="L51" s="1165"/>
    </row>
    <row r="52" spans="2:14" s="1152" customFormat="1">
      <c r="J52" s="1162"/>
      <c r="K52" s="1165"/>
      <c r="L52" s="1165"/>
    </row>
    <row r="53" spans="2:14" s="1152" customFormat="1">
      <c r="J53" s="1162"/>
      <c r="K53" s="1165"/>
      <c r="L53" s="1165"/>
    </row>
    <row r="54" spans="2:14" s="1152" customFormat="1">
      <c r="J54" s="1234" t="s">
        <v>65</v>
      </c>
      <c r="K54" s="1235">
        <f>SUM(K48:K53)</f>
        <v>0</v>
      </c>
      <c r="L54" s="1235">
        <f>SUM(L48:L53)</f>
        <v>0</v>
      </c>
      <c r="M54" s="1166" t="s">
        <v>2207</v>
      </c>
      <c r="N54" s="1164">
        <f>+K54+L54</f>
        <v>0</v>
      </c>
    </row>
    <row r="55" spans="2:14" s="1152" customFormat="1">
      <c r="M55" s="1155" t="s">
        <v>2208</v>
      </c>
      <c r="N55" s="1164">
        <f>+N54+Q43</f>
        <v>0</v>
      </c>
    </row>
    <row r="56" spans="2:14" s="1152" customFormat="1"/>
    <row r="57" spans="2:14" s="1152" customFormat="1"/>
    <row r="58" spans="2:14" s="1152" customFormat="1" ht="30">
      <c r="B58" s="1229" t="s">
        <v>2220</v>
      </c>
      <c r="C58" s="1230" t="s">
        <v>2228</v>
      </c>
      <c r="D58" s="1229" t="s">
        <v>2229</v>
      </c>
      <c r="E58" s="1229" t="s">
        <v>65</v>
      </c>
      <c r="F58" s="1229" t="s">
        <v>2221</v>
      </c>
    </row>
    <row r="59" spans="2:14" s="1152" customFormat="1">
      <c r="B59" s="1162" t="s">
        <v>2158</v>
      </c>
      <c r="C59" s="1165">
        <f>38000*2</f>
        <v>76000</v>
      </c>
      <c r="D59" s="1165">
        <v>26000</v>
      </c>
      <c r="E59" s="1165">
        <f>SUM(C59:D59)</f>
        <v>102000</v>
      </c>
      <c r="F59" s="1165">
        <v>13000</v>
      </c>
    </row>
    <row r="60" spans="2:14" s="1152" customFormat="1">
      <c r="B60" s="1162" t="s">
        <v>2230</v>
      </c>
      <c r="C60" s="1165">
        <f>60000*2</f>
        <v>120000</v>
      </c>
      <c r="D60" s="1165">
        <v>26000</v>
      </c>
      <c r="E60" s="1165">
        <f t="shared" ref="E60:E82" si="18">SUM(C60:D60)</f>
        <v>146000</v>
      </c>
      <c r="F60" s="1165">
        <v>13000</v>
      </c>
    </row>
    <row r="61" spans="2:14" s="1152" customFormat="1">
      <c r="B61" s="1162" t="s">
        <v>2231</v>
      </c>
      <c r="C61" s="1165">
        <f>38000*2</f>
        <v>76000</v>
      </c>
      <c r="D61" s="1165">
        <v>26000</v>
      </c>
      <c r="E61" s="1165">
        <f t="shared" si="18"/>
        <v>102000</v>
      </c>
      <c r="F61" s="1165">
        <v>13000</v>
      </c>
    </row>
    <row r="62" spans="2:14" s="1152" customFormat="1">
      <c r="B62" s="1162" t="s">
        <v>2159</v>
      </c>
      <c r="C62" s="1165">
        <f>69000*2</f>
        <v>138000</v>
      </c>
      <c r="D62" s="1165">
        <v>26000</v>
      </c>
      <c r="E62" s="1165">
        <f t="shared" si="18"/>
        <v>164000</v>
      </c>
      <c r="F62" s="1165">
        <v>13000</v>
      </c>
    </row>
    <row r="63" spans="2:14" s="1152" customFormat="1">
      <c r="B63" s="1162" t="s">
        <v>2157</v>
      </c>
      <c r="C63" s="1165">
        <v>26000</v>
      </c>
      <c r="D63" s="1165">
        <v>8000</v>
      </c>
      <c r="E63" s="1165">
        <f t="shared" si="18"/>
        <v>34000</v>
      </c>
      <c r="F63" s="1165">
        <v>13000</v>
      </c>
    </row>
    <row r="64" spans="2:14" s="1152" customFormat="1">
      <c r="B64" s="1162" t="s">
        <v>2148</v>
      </c>
      <c r="C64" s="1165">
        <f>5000*2</f>
        <v>10000</v>
      </c>
      <c r="D64" s="1165">
        <v>8000</v>
      </c>
      <c r="E64" s="1165">
        <f t="shared" si="18"/>
        <v>18000</v>
      </c>
      <c r="F64" s="1165">
        <v>8000</v>
      </c>
    </row>
    <row r="65" spans="2:6" s="1152" customFormat="1">
      <c r="B65" s="1162" t="s">
        <v>2151</v>
      </c>
      <c r="C65" s="1165">
        <f>4000*2</f>
        <v>8000</v>
      </c>
      <c r="D65" s="1165">
        <v>8000</v>
      </c>
      <c r="E65" s="1165">
        <f t="shared" si="18"/>
        <v>16000</v>
      </c>
      <c r="F65" s="1165">
        <v>8000</v>
      </c>
    </row>
    <row r="66" spans="2:6" s="1152" customFormat="1">
      <c r="B66" s="1162" t="s">
        <v>2152</v>
      </c>
      <c r="C66" s="1165">
        <f>4000*2</f>
        <v>8000</v>
      </c>
      <c r="D66" s="1165">
        <v>8000</v>
      </c>
      <c r="E66" s="1165">
        <f t="shared" si="18"/>
        <v>16000</v>
      </c>
      <c r="F66" s="1165">
        <v>13000</v>
      </c>
    </row>
    <row r="67" spans="2:6" s="1152" customFormat="1">
      <c r="B67" s="1162" t="s">
        <v>2156</v>
      </c>
      <c r="C67" s="1165">
        <f>40000*2</f>
        <v>80000</v>
      </c>
      <c r="D67" s="1165">
        <v>26000</v>
      </c>
      <c r="E67" s="1165">
        <f t="shared" si="18"/>
        <v>106000</v>
      </c>
      <c r="F67" s="1165">
        <v>13000</v>
      </c>
    </row>
    <row r="68" spans="2:6" s="1152" customFormat="1">
      <c r="B68" s="1162" t="s">
        <v>2154</v>
      </c>
      <c r="C68" s="1165">
        <v>20000</v>
      </c>
      <c r="D68" s="1165">
        <v>8000</v>
      </c>
      <c r="E68" s="1165">
        <f t="shared" si="18"/>
        <v>28000</v>
      </c>
      <c r="F68" s="1165">
        <v>13000</v>
      </c>
    </row>
    <row r="69" spans="2:6" s="1152" customFormat="1">
      <c r="B69" s="1162" t="s">
        <v>2155</v>
      </c>
      <c r="C69" s="1165">
        <f>20000*2</f>
        <v>40000</v>
      </c>
      <c r="D69" s="1165">
        <v>13000</v>
      </c>
      <c r="E69" s="1165">
        <f t="shared" si="18"/>
        <v>53000</v>
      </c>
      <c r="F69" s="1165">
        <v>12000</v>
      </c>
    </row>
    <row r="70" spans="2:6" s="1152" customFormat="1">
      <c r="B70" s="1162" t="s">
        <v>2232</v>
      </c>
      <c r="C70" s="1165">
        <f>30000*2</f>
        <v>60000</v>
      </c>
      <c r="D70" s="1165">
        <v>13000</v>
      </c>
      <c r="E70" s="1165">
        <f t="shared" si="18"/>
        <v>73000</v>
      </c>
      <c r="F70" s="1165">
        <v>13000</v>
      </c>
    </row>
    <row r="71" spans="2:6" s="1152" customFormat="1">
      <c r="B71" s="1162" t="s">
        <v>2160</v>
      </c>
      <c r="C71" s="1165">
        <v>8000</v>
      </c>
      <c r="D71" s="1165">
        <v>8000</v>
      </c>
      <c r="E71" s="1165">
        <f t="shared" si="18"/>
        <v>16000</v>
      </c>
      <c r="F71" s="1165">
        <v>8000</v>
      </c>
    </row>
    <row r="72" spans="2:6" s="1152" customFormat="1">
      <c r="B72" s="1162" t="s">
        <v>2161</v>
      </c>
      <c r="C72" s="1165">
        <v>8000</v>
      </c>
      <c r="D72" s="1165">
        <v>8000</v>
      </c>
      <c r="E72" s="1165">
        <f t="shared" si="18"/>
        <v>16000</v>
      </c>
      <c r="F72" s="1165">
        <v>8000</v>
      </c>
    </row>
    <row r="73" spans="2:6" s="1152" customFormat="1">
      <c r="B73" s="1162" t="s">
        <v>2153</v>
      </c>
      <c r="C73" s="1165">
        <v>80000</v>
      </c>
      <c r="D73" s="1165">
        <v>26000</v>
      </c>
      <c r="E73" s="1165">
        <f t="shared" si="18"/>
        <v>106000</v>
      </c>
      <c r="F73" s="1165">
        <v>13000</v>
      </c>
    </row>
    <row r="74" spans="2:6" s="1152" customFormat="1">
      <c r="B74" s="1162" t="s">
        <v>2162</v>
      </c>
      <c r="C74" s="1165">
        <v>80000</v>
      </c>
      <c r="D74" s="1165">
        <v>30000</v>
      </c>
      <c r="E74" s="1165">
        <f t="shared" si="18"/>
        <v>110000</v>
      </c>
      <c r="F74" s="1165">
        <v>13000</v>
      </c>
    </row>
    <row r="75" spans="2:6" s="1152" customFormat="1">
      <c r="B75" s="1162" t="s">
        <v>2149</v>
      </c>
      <c r="C75" s="1165">
        <v>26000</v>
      </c>
      <c r="D75" s="1165">
        <v>16000</v>
      </c>
      <c r="E75" s="1165">
        <f t="shared" si="18"/>
        <v>42000</v>
      </c>
      <c r="F75" s="1165">
        <v>13000</v>
      </c>
    </row>
    <row r="76" spans="2:6" s="1152" customFormat="1">
      <c r="B76" s="1162" t="s">
        <v>2222</v>
      </c>
      <c r="C76" s="1165">
        <f>36000*2</f>
        <v>72000</v>
      </c>
      <c r="D76" s="1165">
        <v>26000</v>
      </c>
      <c r="E76" s="1165">
        <f t="shared" si="18"/>
        <v>98000</v>
      </c>
      <c r="F76" s="1165">
        <v>13000</v>
      </c>
    </row>
    <row r="77" spans="2:6" s="1152" customFormat="1">
      <c r="B77" s="1162" t="s">
        <v>2223</v>
      </c>
      <c r="C77" s="1165">
        <f>45000*2</f>
        <v>90000</v>
      </c>
      <c r="D77" s="1165">
        <v>26000</v>
      </c>
      <c r="E77" s="1165">
        <f t="shared" si="18"/>
        <v>116000</v>
      </c>
      <c r="F77" s="1165">
        <v>13000</v>
      </c>
    </row>
    <row r="78" spans="2:6" s="1152" customFormat="1">
      <c r="B78" s="1162" t="s">
        <v>2224</v>
      </c>
      <c r="C78" s="1165">
        <f>45000*2</f>
        <v>90000</v>
      </c>
      <c r="D78" s="1165">
        <v>26000</v>
      </c>
      <c r="E78" s="1165">
        <f t="shared" si="18"/>
        <v>116000</v>
      </c>
      <c r="F78" s="1165">
        <v>13000</v>
      </c>
    </row>
    <row r="79" spans="2:6" s="1152" customFormat="1">
      <c r="B79" s="1162" t="s">
        <v>2225</v>
      </c>
      <c r="C79" s="1165">
        <f>49000*2</f>
        <v>98000</v>
      </c>
      <c r="D79" s="1165">
        <v>26000</v>
      </c>
      <c r="E79" s="1165">
        <f t="shared" si="18"/>
        <v>124000</v>
      </c>
      <c r="F79" s="1165">
        <v>13000</v>
      </c>
    </row>
    <row r="80" spans="2:6" s="1152" customFormat="1">
      <c r="B80" s="1162" t="s">
        <v>2226</v>
      </c>
      <c r="C80" s="1165">
        <f>70000*2</f>
        <v>140000</v>
      </c>
      <c r="D80" s="1165">
        <v>26000</v>
      </c>
      <c r="E80" s="1165">
        <f t="shared" si="18"/>
        <v>166000</v>
      </c>
      <c r="F80" s="1165">
        <v>13000</v>
      </c>
    </row>
    <row r="81" spans="2:6" s="1152" customFormat="1">
      <c r="B81" s="1162" t="s">
        <v>2227</v>
      </c>
      <c r="C81" s="1165">
        <f>39000*2</f>
        <v>78000</v>
      </c>
      <c r="D81" s="1165">
        <v>26000</v>
      </c>
      <c r="E81" s="1165">
        <f t="shared" si="18"/>
        <v>104000</v>
      </c>
      <c r="F81" s="1165">
        <v>13000</v>
      </c>
    </row>
    <row r="82" spans="2:6" s="1152" customFormat="1">
      <c r="B82" s="1162" t="s">
        <v>2150</v>
      </c>
      <c r="C82" s="1165">
        <f>50000*2</f>
        <v>100000</v>
      </c>
      <c r="D82" s="1165">
        <v>26000</v>
      </c>
      <c r="E82" s="1165">
        <f t="shared" si="18"/>
        <v>126000</v>
      </c>
      <c r="F82" s="1165">
        <v>13000</v>
      </c>
    </row>
    <row r="83" spans="2:6" s="1152" customFormat="1">
      <c r="B83" s="1156"/>
      <c r="C83" s="1165"/>
      <c r="D83" s="1165"/>
      <c r="E83" s="1165"/>
      <c r="F83" s="1165"/>
    </row>
    <row r="84" spans="2:6" s="1152" customFormat="1">
      <c r="B84" s="1156"/>
      <c r="C84" s="1165"/>
      <c r="D84" s="1165"/>
      <c r="E84" s="1165"/>
      <c r="F84" s="1165"/>
    </row>
    <row r="85" spans="2:6" s="1152" customFormat="1">
      <c r="B85" s="1156"/>
      <c r="C85" s="1165"/>
      <c r="D85" s="1165"/>
      <c r="E85" s="1165"/>
      <c r="F85" s="1165"/>
    </row>
    <row r="86" spans="2:6" s="1152" customFormat="1">
      <c r="B86" s="1156"/>
      <c r="C86" s="1165"/>
      <c r="D86" s="1165"/>
      <c r="E86" s="1165"/>
      <c r="F86" s="1165"/>
    </row>
    <row r="87" spans="2:6" s="1152" customFormat="1">
      <c r="B87" s="1156"/>
      <c r="C87" s="1165"/>
      <c r="D87" s="1165"/>
      <c r="E87" s="1165"/>
      <c r="F87" s="1165"/>
    </row>
    <row r="88" spans="2:6" s="1152" customFormat="1">
      <c r="B88" s="1156"/>
      <c r="C88" s="1165"/>
      <c r="D88" s="1165"/>
      <c r="E88" s="1165"/>
      <c r="F88" s="1165"/>
    </row>
    <row r="89" spans="2:6" s="1152" customFormat="1">
      <c r="B89" s="1156"/>
      <c r="C89" s="1165"/>
      <c r="D89" s="1165"/>
      <c r="E89" s="1165"/>
      <c r="F89" s="1165"/>
    </row>
    <row r="90" spans="2:6" s="1152" customFormat="1">
      <c r="B90" s="1156"/>
      <c r="C90" s="1165"/>
      <c r="D90" s="1165"/>
      <c r="E90" s="1165"/>
      <c r="F90" s="1165"/>
    </row>
    <row r="91" spans="2:6" s="1152" customFormat="1">
      <c r="B91" s="1156"/>
      <c r="C91" s="1165"/>
      <c r="D91" s="1165"/>
      <c r="E91" s="1165"/>
      <c r="F91" s="1165"/>
    </row>
    <row r="92" spans="2:6" s="1152" customFormat="1">
      <c r="B92" s="1156"/>
      <c r="C92" s="1165"/>
      <c r="D92" s="1165"/>
      <c r="E92" s="1165"/>
      <c r="F92" s="1165"/>
    </row>
    <row r="93" spans="2:6" s="1152" customFormat="1"/>
    <row r="94" spans="2:6" s="1152" customFormat="1"/>
    <row r="95" spans="2:6" s="1152" customFormat="1"/>
    <row r="96" spans="2:6" s="1152" customFormat="1"/>
    <row r="97" s="1152" customFormat="1"/>
    <row r="98" s="1152" customFormat="1"/>
    <row r="99" s="1152" customFormat="1"/>
    <row r="100" s="1152" customFormat="1"/>
    <row r="101" s="1152" customFormat="1"/>
    <row r="102" s="1152" customFormat="1"/>
    <row r="103" s="1152" customFormat="1"/>
    <row r="104" s="1152" customFormat="1"/>
    <row r="105" s="1152" customFormat="1"/>
    <row r="106" s="1152" customFormat="1"/>
    <row r="107" s="1152" customFormat="1"/>
    <row r="108" s="1152" customFormat="1"/>
    <row r="109" s="1152" customFormat="1"/>
    <row r="110" s="1152" customFormat="1"/>
    <row r="111" s="1152" customFormat="1"/>
    <row r="112" s="1152" customFormat="1"/>
    <row r="113" s="1152" customFormat="1"/>
    <row r="114" s="1152" customFormat="1"/>
    <row r="115" s="1152" customFormat="1"/>
    <row r="116" s="1152" customFormat="1"/>
    <row r="117" s="1152" customFormat="1"/>
    <row r="118" s="1152" customFormat="1"/>
    <row r="119" s="1152" customFormat="1"/>
    <row r="120" s="1152" customFormat="1"/>
    <row r="121" s="1152" customFormat="1"/>
    <row r="122" s="1152" customFormat="1"/>
    <row r="123" s="1152" customFormat="1"/>
    <row r="124" s="1152" customFormat="1"/>
    <row r="125" s="1152" customFormat="1"/>
    <row r="126" s="1152" customFormat="1"/>
    <row r="127" s="1152" customFormat="1"/>
    <row r="128" s="1152" customFormat="1"/>
    <row r="129" s="1152" customFormat="1"/>
    <row r="130" s="1152" customFormat="1"/>
    <row r="131" s="1152" customFormat="1"/>
    <row r="132" s="1152" customFormat="1"/>
    <row r="133" s="1152" customFormat="1"/>
    <row r="134" s="1152" customFormat="1"/>
    <row r="135" s="1152" customFormat="1"/>
    <row r="136" s="1152" customFormat="1"/>
    <row r="137" s="1152" customFormat="1"/>
    <row r="138" s="1152" customFormat="1"/>
    <row r="139" s="1152" customFormat="1"/>
    <row r="140" s="1152" customFormat="1"/>
    <row r="141" s="1152" customFormat="1"/>
    <row r="142" s="1152" customFormat="1"/>
    <row r="143" s="1152" customFormat="1"/>
    <row r="144" s="1152" customFormat="1"/>
    <row r="145" s="1152" customFormat="1"/>
    <row r="146" s="1152" customFormat="1"/>
    <row r="147" s="1152" customFormat="1"/>
    <row r="148" s="1152" customFormat="1"/>
    <row r="149" s="1152" customFormat="1"/>
    <row r="150" s="1152" customFormat="1"/>
    <row r="151" s="1152" customFormat="1"/>
    <row r="152" s="1152" customFormat="1"/>
    <row r="153" s="1152" customFormat="1"/>
    <row r="154" s="1152" customFormat="1"/>
    <row r="155" s="1152" customFormat="1"/>
    <row r="156" s="1152" customFormat="1"/>
    <row r="157" s="1152" customFormat="1"/>
    <row r="158" s="1152" customFormat="1"/>
    <row r="159" s="1152" customFormat="1"/>
    <row r="160" s="1152" customFormat="1"/>
    <row r="161" s="1152" customFormat="1"/>
    <row r="162" s="1152" customFormat="1"/>
    <row r="163" s="1152" customFormat="1"/>
    <row r="164" s="1152" customFormat="1"/>
    <row r="165" s="1152" customFormat="1"/>
    <row r="166" s="1152" customFormat="1"/>
    <row r="167" s="1152" customFormat="1"/>
    <row r="168" s="1152" customFormat="1"/>
    <row r="169" s="1152" customFormat="1"/>
    <row r="170" s="1152" customFormat="1"/>
    <row r="171" s="1152" customFormat="1"/>
    <row r="172" s="1152" customFormat="1"/>
    <row r="173" s="1152" customFormat="1"/>
    <row r="174" s="1152" customFormat="1"/>
    <row r="175" s="1152" customFormat="1"/>
    <row r="176" s="1152" customFormat="1"/>
    <row r="177" s="1152" customFormat="1"/>
    <row r="178" s="1152" customFormat="1"/>
    <row r="179" s="1152" customFormat="1"/>
    <row r="180" s="1152" customFormat="1"/>
    <row r="181" s="1152" customFormat="1"/>
    <row r="182" s="1152" customFormat="1"/>
    <row r="183" s="1152" customFormat="1"/>
    <row r="184" s="1152" customFormat="1"/>
    <row r="185" s="1152" customFormat="1"/>
    <row r="186" s="1152" customFormat="1"/>
    <row r="187" s="1152" customFormat="1"/>
    <row r="188" s="1152" customFormat="1"/>
    <row r="189" s="1152" customFormat="1"/>
    <row r="190" s="1152" customFormat="1"/>
    <row r="191" s="1152" customFormat="1"/>
    <row r="192" s="1152" customFormat="1"/>
    <row r="193" s="1152" customFormat="1"/>
    <row r="194" s="1152" customFormat="1"/>
    <row r="195" s="1152" customFormat="1"/>
    <row r="196" s="1152" customFormat="1"/>
    <row r="197" s="1152" customFormat="1"/>
    <row r="198" s="1152" customFormat="1"/>
    <row r="199" s="1152" customFormat="1"/>
    <row r="200" s="1152" customFormat="1"/>
    <row r="201" s="1152" customFormat="1"/>
    <row r="202" s="1152" customFormat="1"/>
    <row r="203" s="1152" customFormat="1"/>
    <row r="204" s="1152" customFormat="1"/>
    <row r="205" s="1152" customFormat="1"/>
    <row r="206" s="1152" customFormat="1"/>
    <row r="207" s="1152" customFormat="1"/>
    <row r="208" s="1152" customFormat="1"/>
    <row r="209" s="1152" customFormat="1"/>
    <row r="210" s="1152" customFormat="1"/>
    <row r="211" s="1152" customFormat="1"/>
    <row r="212" s="1152" customFormat="1"/>
    <row r="213" s="1152" customFormat="1"/>
    <row r="214" s="1152" customFormat="1"/>
    <row r="215" s="1152" customFormat="1"/>
    <row r="216" s="1152" customFormat="1"/>
    <row r="217" s="1152" customFormat="1"/>
    <row r="218" s="1152" customFormat="1"/>
    <row r="219" s="1152" customFormat="1"/>
    <row r="220" s="1152" customFormat="1"/>
    <row r="221" s="1152" customFormat="1"/>
    <row r="222" s="1152" customFormat="1"/>
    <row r="223" s="1152" customFormat="1"/>
    <row r="224" s="1152" customFormat="1"/>
    <row r="225" s="1152" customFormat="1"/>
    <row r="226" s="1152" customFormat="1"/>
    <row r="227" s="1152" customFormat="1"/>
    <row r="228" s="1152" customFormat="1"/>
    <row r="229" s="1152" customFormat="1"/>
    <row r="230" s="1152" customFormat="1"/>
    <row r="231" s="1152" customFormat="1"/>
    <row r="232" s="1152" customFormat="1"/>
    <row r="233" s="1152" customFormat="1"/>
    <row r="234" s="1152" customFormat="1"/>
    <row r="235" s="1152" customFormat="1"/>
    <row r="236" s="1152" customFormat="1"/>
    <row r="237" s="1152" customFormat="1"/>
    <row r="238" s="1152" customFormat="1"/>
    <row r="239" s="1152" customFormat="1"/>
    <row r="240" s="1152" customFormat="1"/>
    <row r="241" s="1152" customFormat="1"/>
    <row r="242" s="1152" customFormat="1"/>
    <row r="243" s="1152" customFormat="1"/>
    <row r="244" s="1152" customFormat="1"/>
    <row r="245" s="1152" customFormat="1"/>
    <row r="246" s="1152" customFormat="1"/>
    <row r="247" s="1152" customFormat="1"/>
    <row r="248" s="1152" customFormat="1"/>
    <row r="249" s="1152" customFormat="1"/>
    <row r="250" s="1152" customFormat="1"/>
    <row r="251" s="1152" customFormat="1"/>
    <row r="252" s="1152" customFormat="1"/>
    <row r="253" s="1152" customFormat="1"/>
    <row r="254" s="1152" customFormat="1"/>
    <row r="255" s="1152" customFormat="1"/>
    <row r="256" s="1152" customFormat="1"/>
    <row r="257" s="1152" customFormat="1"/>
    <row r="258" s="1152" customFormat="1"/>
    <row r="259" s="1152" customFormat="1"/>
    <row r="260" s="1152" customFormat="1"/>
    <row r="261" s="1152" customFormat="1"/>
    <row r="262" s="1152" customFormat="1"/>
  </sheetData>
  <mergeCells count="2">
    <mergeCell ref="K11:M17"/>
    <mergeCell ref="O43:P43"/>
  </mergeCells>
  <conditionalFormatting sqref="C30:I30 C23:C29">
    <cfRule type="expression" dxfId="0" priority="1">
      <formula>#REF!=FALSE</formula>
    </cfRule>
  </conditionalFormatting>
  <hyperlinks>
    <hyperlink ref="K22" location="Entradas!A1" display="Volver" xr:uid="{116C8B9E-25BE-4746-A026-F6BB2E5CF91A}"/>
  </hyperlinks>
  <pageMargins left="0.7" right="0.7" top="0.75" bottom="0.75" header="0.3" footer="0.3"/>
  <ignoredErrors>
    <ignoredError sqref="C23:C29 D23:I29 C59:E59 C61:E82 D60:E60" unlockedFormula="1"/>
    <ignoredError sqref="C60" formula="1"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97F9-7595-43CD-A41B-FDFF996C6C97}">
  <sheetPr codeName="Hoja19"/>
  <dimension ref="A2:R50"/>
  <sheetViews>
    <sheetView showGridLines="0" zoomScale="120" zoomScaleNormal="120" workbookViewId="0">
      <pane xSplit="3" ySplit="6" topLeftCell="D7" activePane="bottomRight" state="frozen"/>
      <selection pane="topRight" activeCell="D1" sqref="D1"/>
      <selection pane="bottomLeft" activeCell="A8" sqref="A8"/>
      <selection pane="bottomRight" activeCell="M50" sqref="M50"/>
    </sheetView>
  </sheetViews>
  <sheetFormatPr baseColWidth="10" defaultColWidth="11.42578125" defaultRowHeight="11.25"/>
  <cols>
    <col min="1" max="1" width="12.140625" style="658" customWidth="1"/>
    <col min="2" max="2" width="26.85546875" style="658" customWidth="1"/>
    <col min="3" max="3" width="39.7109375" style="658" customWidth="1"/>
    <col min="4" max="4" width="8.7109375" style="692" bestFit="1" customWidth="1"/>
    <col min="5" max="5" width="9.85546875" style="658" customWidth="1"/>
    <col min="6" max="6" width="13.140625" style="692" customWidth="1"/>
    <col min="7" max="7" width="15" style="658" customWidth="1"/>
    <col min="8" max="8" width="13.140625" style="692" bestFit="1" customWidth="1"/>
    <col min="9" max="11" width="18.28515625" style="658" customWidth="1"/>
    <col min="12" max="12" width="12.140625" style="692" bestFit="1" customWidth="1"/>
    <col min="13" max="13" width="18.28515625" style="658" customWidth="1"/>
    <col min="14" max="14" width="40.5703125" style="658" customWidth="1"/>
    <col min="15" max="15" width="17" style="770" customWidth="1"/>
    <col min="16" max="16" width="12.28515625" style="770" bestFit="1" customWidth="1"/>
    <col min="17" max="18" width="11.5703125" style="658" bestFit="1" customWidth="1"/>
    <col min="19" max="16384" width="11.42578125" style="658"/>
  </cols>
  <sheetData>
    <row r="2" spans="1:16" s="656" customFormat="1" ht="14.25" customHeight="1">
      <c r="A2" s="852">
        <f>MAX(A3,A4,A5)</f>
        <v>1</v>
      </c>
      <c r="B2" s="803" t="s">
        <v>1562</v>
      </c>
      <c r="C2" s="803" t="s">
        <v>1436</v>
      </c>
      <c r="D2" s="655"/>
      <c r="E2" s="655"/>
      <c r="F2" s="702" t="s">
        <v>1441</v>
      </c>
      <c r="G2" s="703">
        <f>+Entradas!D72</f>
        <v>1</v>
      </c>
      <c r="H2" s="704" t="s">
        <v>1441</v>
      </c>
      <c r="I2" s="705">
        <f>+Entradas!E72</f>
        <v>1</v>
      </c>
      <c r="J2" s="800" t="s">
        <v>1441</v>
      </c>
      <c r="K2" s="801">
        <f>+Entradas!F72</f>
        <v>1</v>
      </c>
      <c r="L2" s="706" t="s">
        <v>1441</v>
      </c>
      <c r="M2" s="707">
        <f>+G2+I2+K2</f>
        <v>3</v>
      </c>
      <c r="N2" s="657"/>
      <c r="O2" s="771"/>
      <c r="P2" s="771"/>
    </row>
    <row r="3" spans="1:16" s="656" customFormat="1">
      <c r="A3" s="698">
        <f>VLOOKUP(C3,Parametros!$B$125:$E$135,4,0)</f>
        <v>1</v>
      </c>
      <c r="B3" s="698" t="s">
        <v>1443</v>
      </c>
      <c r="C3" s="698" t="str">
        <f>+Entradas!G16</f>
        <v>Básica - Video</v>
      </c>
      <c r="D3" s="850">
        <f>+IF(C3="Ninguna",0,1)</f>
        <v>1</v>
      </c>
      <c r="E3" s="655"/>
      <c r="F3" s="655"/>
      <c r="G3" s="655"/>
      <c r="H3" s="655"/>
      <c r="I3" s="655"/>
      <c r="J3" s="655"/>
      <c r="K3" s="655"/>
      <c r="L3" s="655"/>
      <c r="M3" s="655"/>
      <c r="N3" s="657"/>
      <c r="O3" s="771"/>
      <c r="P3" s="771"/>
    </row>
    <row r="4" spans="1:16" s="656" customFormat="1" ht="12" thickBot="1">
      <c r="A4" s="698">
        <f>VLOOKUP(C4,Parametros!$B$125:$E$135,4,0)</f>
        <v>0</v>
      </c>
      <c r="B4" s="698" t="s">
        <v>1444</v>
      </c>
      <c r="C4" s="698" t="str">
        <f>+Entradas!J16</f>
        <v>Ninguna</v>
      </c>
      <c r="D4" s="850">
        <f>+IF(C4="Ninguna",0,1)</f>
        <v>0</v>
      </c>
      <c r="E4" s="655"/>
      <c r="F4" s="657"/>
      <c r="G4" s="655"/>
      <c r="H4" s="657"/>
      <c r="I4" s="655"/>
      <c r="J4" s="655"/>
      <c r="K4" s="655"/>
      <c r="L4" s="657"/>
      <c r="M4" s="655"/>
      <c r="N4" s="657"/>
      <c r="O4" s="771"/>
      <c r="P4" s="771"/>
    </row>
    <row r="5" spans="1:16" ht="15.75" customHeight="1" thickBot="1">
      <c r="A5" s="698">
        <f>VLOOKUP(C5,Parametros!$B$125:$E$135,4,0)</f>
        <v>0</v>
      </c>
      <c r="B5" s="698" t="s">
        <v>1561</v>
      </c>
      <c r="C5" s="698" t="str">
        <f>+Entradas!M16</f>
        <v>Ninguna</v>
      </c>
      <c r="D5" s="851">
        <f>+IF(C5="Ninguna",0,1)</f>
        <v>0</v>
      </c>
      <c r="E5" s="655">
        <f>+F7+H8+J9</f>
        <v>0</v>
      </c>
      <c r="F5" s="1317" t="s">
        <v>1557</v>
      </c>
      <c r="G5" s="1318"/>
      <c r="H5" s="1319" t="s">
        <v>1558</v>
      </c>
      <c r="I5" s="1320"/>
      <c r="J5" s="1324" t="s">
        <v>1559</v>
      </c>
      <c r="K5" s="1325"/>
      <c r="L5" s="1321" t="s">
        <v>1560</v>
      </c>
      <c r="M5" s="1322"/>
      <c r="N5" s="708"/>
    </row>
    <row r="6" spans="1:16" s="714" customFormat="1" ht="23.25" thickBot="1">
      <c r="A6" s="1323" t="s">
        <v>1406</v>
      </c>
      <c r="B6" s="1323"/>
      <c r="C6" s="743" t="s">
        <v>1407</v>
      </c>
      <c r="D6" s="743" t="s">
        <v>1408</v>
      </c>
      <c r="E6" s="744" t="s">
        <v>1409</v>
      </c>
      <c r="F6" s="709" t="s">
        <v>1410</v>
      </c>
      <c r="G6" s="710" t="s">
        <v>1411</v>
      </c>
      <c r="H6" s="711" t="s">
        <v>1410</v>
      </c>
      <c r="I6" s="712" t="s">
        <v>1411</v>
      </c>
      <c r="J6" s="795" t="s">
        <v>1410</v>
      </c>
      <c r="K6" s="796" t="s">
        <v>1411</v>
      </c>
      <c r="L6" s="713" t="s">
        <v>1410</v>
      </c>
      <c r="M6" s="713" t="s">
        <v>1411</v>
      </c>
      <c r="N6" s="786" t="s">
        <v>1442</v>
      </c>
      <c r="O6" s="772"/>
      <c r="P6" s="772"/>
    </row>
    <row r="7" spans="1:16" s="664" customFormat="1" ht="14.25" customHeight="1">
      <c r="A7" s="669" t="s">
        <v>1412</v>
      </c>
      <c r="B7" s="667" t="s">
        <v>1414</v>
      </c>
      <c r="C7" s="698" t="s">
        <v>1443</v>
      </c>
      <c r="D7" s="715">
        <v>5418</v>
      </c>
      <c r="E7" s="872">
        <f>VLOOKUP($C$3,Parametros!$B$109:$D$122,3,0)</f>
        <v>55000</v>
      </c>
      <c r="F7" s="822">
        <f>+Entradas!H16</f>
        <v>0</v>
      </c>
      <c r="G7" s="675">
        <f>+F7*$E7*D3</f>
        <v>0</v>
      </c>
      <c r="H7" s="824"/>
      <c r="I7" s="826">
        <f>+H7*$E7</f>
        <v>0</v>
      </c>
      <c r="J7" s="824"/>
      <c r="K7" s="825"/>
      <c r="L7" s="701">
        <f>+F7*$G$2</f>
        <v>0</v>
      </c>
      <c r="M7" s="780">
        <f>+G7*G2</f>
        <v>0</v>
      </c>
      <c r="N7" s="728"/>
      <c r="O7" s="773"/>
      <c r="P7" s="773"/>
    </row>
    <row r="8" spans="1:16" s="664" customFormat="1" ht="14.25" customHeight="1">
      <c r="A8" s="669" t="s">
        <v>1412</v>
      </c>
      <c r="B8" s="667" t="s">
        <v>1414</v>
      </c>
      <c r="C8" s="698" t="s">
        <v>1444</v>
      </c>
      <c r="D8" s="715">
        <v>5418</v>
      </c>
      <c r="E8" s="828">
        <f>VLOOKUP($C$4,Parametros!$B$109:$D$122,3,0)</f>
        <v>0</v>
      </c>
      <c r="F8" s="827"/>
      <c r="G8" s="826"/>
      <c r="H8" s="822">
        <f>+Entradas!K16</f>
        <v>0</v>
      </c>
      <c r="I8" s="675">
        <f>+H8*$E8*D4</f>
        <v>0</v>
      </c>
      <c r="J8" s="824"/>
      <c r="K8" s="826"/>
      <c r="L8" s="701">
        <f>+H8*$I$2</f>
        <v>0</v>
      </c>
      <c r="M8" s="780">
        <f>+I8*I2</f>
        <v>0</v>
      </c>
      <c r="N8" s="728"/>
      <c r="O8" s="773"/>
      <c r="P8" s="773"/>
    </row>
    <row r="9" spans="1:16" s="664" customFormat="1" ht="14.25" customHeight="1">
      <c r="A9" s="669" t="s">
        <v>1412</v>
      </c>
      <c r="B9" s="667" t="s">
        <v>1414</v>
      </c>
      <c r="C9" s="698" t="s">
        <v>1561</v>
      </c>
      <c r="D9" s="715">
        <v>5418</v>
      </c>
      <c r="E9" s="828">
        <f>VLOOKUP($C$5,Parametros!$B$109:$D$122,3,0)</f>
        <v>0</v>
      </c>
      <c r="F9" s="827"/>
      <c r="G9" s="826"/>
      <c r="H9" s="824"/>
      <c r="I9" s="826"/>
      <c r="J9" s="822">
        <f>+Entradas!N16</f>
        <v>0</v>
      </c>
      <c r="K9" s="675">
        <f>+J9*E9*D5</f>
        <v>0</v>
      </c>
      <c r="L9" s="701">
        <f>+J9*$K$2</f>
        <v>0</v>
      </c>
      <c r="M9" s="780">
        <f>+K9*K2</f>
        <v>0</v>
      </c>
      <c r="N9" s="728"/>
      <c r="O9" s="773"/>
      <c r="P9" s="773"/>
    </row>
    <row r="10" spans="1:16" s="659" customFormat="1">
      <c r="A10" s="699" t="s">
        <v>1412</v>
      </c>
      <c r="B10" s="699" t="s">
        <v>1413</v>
      </c>
      <c r="C10" s="699" t="s">
        <v>1568</v>
      </c>
      <c r="D10" s="699">
        <v>5420</v>
      </c>
      <c r="E10" s="700">
        <f t="shared" ref="E10:E15" si="0">63211*9.53%+63211</f>
        <v>69235.008300000001</v>
      </c>
      <c r="F10" s="701">
        <f>VLOOKUP($A$3,Parametros!$A$125:$D$135,3,0)*2</f>
        <v>4</v>
      </c>
      <c r="G10" s="675">
        <f>+F10*$E10*D3</f>
        <v>276940.03320000001</v>
      </c>
      <c r="H10" s="701">
        <f>VLOOKUP($A$4,Parametros!$A$125:$D$135,3,0)*2</f>
        <v>0</v>
      </c>
      <c r="I10" s="675">
        <f>+H10*$E10*D4</f>
        <v>0</v>
      </c>
      <c r="J10" s="701">
        <f>VLOOKUP($A$5,Parametros!$A$125:$D$135,3,0)*2</f>
        <v>0</v>
      </c>
      <c r="K10" s="675">
        <f>+J10*$E10*D5</f>
        <v>0</v>
      </c>
      <c r="L10" s="701">
        <f t="shared" ref="L10:M15" si="1">+(F10*$G$2)+(H10*$I$2)+(J10*$K$2)</f>
        <v>4</v>
      </c>
      <c r="M10" s="780">
        <f t="shared" si="1"/>
        <v>276940.03320000001</v>
      </c>
      <c r="N10" s="787"/>
      <c r="O10" s="774"/>
      <c r="P10" s="774"/>
    </row>
    <row r="11" spans="1:16" s="659" customFormat="1">
      <c r="A11" s="660" t="s">
        <v>1412</v>
      </c>
      <c r="B11" s="660" t="s">
        <v>1413</v>
      </c>
      <c r="C11" s="660" t="s">
        <v>1437</v>
      </c>
      <c r="D11" s="699">
        <v>5420</v>
      </c>
      <c r="E11" s="700">
        <f t="shared" si="0"/>
        <v>69235.008300000001</v>
      </c>
      <c r="F11" s="701">
        <f>+Entradas!D79</f>
        <v>4</v>
      </c>
      <c r="G11" s="675">
        <f>+F11*$E11*D3</f>
        <v>276940.03320000001</v>
      </c>
      <c r="H11" s="701">
        <f>+Entradas!E79</f>
        <v>0</v>
      </c>
      <c r="I11" s="675">
        <f>+H11*$E11*D4</f>
        <v>0</v>
      </c>
      <c r="J11" s="701">
        <f>+Entradas!F79</f>
        <v>0</v>
      </c>
      <c r="K11" s="675">
        <f>+J11*$E11*D5</f>
        <v>0</v>
      </c>
      <c r="L11" s="701">
        <f t="shared" si="1"/>
        <v>4</v>
      </c>
      <c r="M11" s="780">
        <f t="shared" si="1"/>
        <v>276940.03320000001</v>
      </c>
      <c r="N11" s="787"/>
      <c r="O11" s="774"/>
      <c r="P11" s="774"/>
    </row>
    <row r="12" spans="1:16" s="659" customFormat="1">
      <c r="A12" s="699" t="s">
        <v>1412</v>
      </c>
      <c r="B12" s="699" t="s">
        <v>1413</v>
      </c>
      <c r="C12" s="699" t="s">
        <v>1567</v>
      </c>
      <c r="D12" s="699">
        <v>5420</v>
      </c>
      <c r="E12" s="700">
        <f t="shared" si="0"/>
        <v>69235.008300000001</v>
      </c>
      <c r="F12" s="701">
        <f>+Entradas!D80</f>
        <v>36</v>
      </c>
      <c r="G12" s="675">
        <f>+F12*$E12*D3</f>
        <v>2492460.2988</v>
      </c>
      <c r="H12" s="701">
        <f>+Entradas!E80</f>
        <v>0</v>
      </c>
      <c r="I12" s="675">
        <f>+H12*$E12*D4</f>
        <v>0</v>
      </c>
      <c r="J12" s="701">
        <f>+Entradas!F80</f>
        <v>0</v>
      </c>
      <c r="K12" s="675">
        <f>+J12*$E12*D5</f>
        <v>0</v>
      </c>
      <c r="L12" s="701">
        <f t="shared" si="1"/>
        <v>36</v>
      </c>
      <c r="M12" s="780">
        <f t="shared" si="1"/>
        <v>2492460.2988</v>
      </c>
      <c r="N12" s="787"/>
      <c r="O12" s="774"/>
      <c r="P12" s="774"/>
    </row>
    <row r="13" spans="1:16" s="659" customFormat="1">
      <c r="A13" s="660" t="s">
        <v>1412</v>
      </c>
      <c r="B13" s="660" t="s">
        <v>1413</v>
      </c>
      <c r="C13" s="660" t="s">
        <v>1438</v>
      </c>
      <c r="D13" s="699">
        <v>5420</v>
      </c>
      <c r="E13" s="700">
        <f t="shared" si="0"/>
        <v>69235.008300000001</v>
      </c>
      <c r="F13" s="701">
        <f>+Entradas!D81</f>
        <v>36</v>
      </c>
      <c r="G13" s="675">
        <f>+F13*$E13*D3</f>
        <v>2492460.2988</v>
      </c>
      <c r="H13" s="701">
        <f>+Entradas!E81</f>
        <v>0</v>
      </c>
      <c r="I13" s="675">
        <f>+H13*$E13*D4</f>
        <v>0</v>
      </c>
      <c r="J13" s="701">
        <f>+Entradas!F81</f>
        <v>0</v>
      </c>
      <c r="K13" s="675">
        <f>+J13*$E13*D5</f>
        <v>0</v>
      </c>
      <c r="L13" s="701">
        <f t="shared" si="1"/>
        <v>36</v>
      </c>
      <c r="M13" s="780">
        <f t="shared" si="1"/>
        <v>2492460.2988</v>
      </c>
      <c r="N13" s="787"/>
      <c r="O13" s="774"/>
      <c r="P13" s="774"/>
    </row>
    <row r="14" spans="1:16" s="659" customFormat="1">
      <c r="A14" s="661" t="s">
        <v>1412</v>
      </c>
      <c r="B14" s="660" t="s">
        <v>1413</v>
      </c>
      <c r="C14" s="662" t="s">
        <v>1439</v>
      </c>
      <c r="D14" s="662">
        <v>200</v>
      </c>
      <c r="E14" s="873">
        <f t="shared" si="0"/>
        <v>69235.008300000001</v>
      </c>
      <c r="F14" s="701">
        <f>VLOOKUP(IF($F$7&lt;=50,50,IF($F$7&lt;=100,100,IF($F$7&lt;=200,200,IF($F$7&lt;=300,300,300)))),Parametros!$H$124:$M$128,2,0)</f>
        <v>10</v>
      </c>
      <c r="G14" s="675">
        <f>+F14*$E14*D3</f>
        <v>692350.08299999998</v>
      </c>
      <c r="H14" s="701">
        <f>VLOOKUP(IF($H$8&lt;=50,50,IF($H$8&lt;=100,100,IF($H$8&lt;=200,200,IF($H$8&lt;=300,300,300)))),Parametros!$H$124:$M$128,2,0)</f>
        <v>10</v>
      </c>
      <c r="I14" s="675">
        <f>+H14*$E14*D4</f>
        <v>0</v>
      </c>
      <c r="J14" s="701">
        <f>VLOOKUP(IF($J$9&lt;=50,50,IF($J$9&lt;=100,100,IF($J$9&lt;=200,200,IF($J$9&lt;=300,300,300)))),Parametros!$H$124:$M$128,2,0)</f>
        <v>10</v>
      </c>
      <c r="K14" s="675">
        <f>+J14*$E14*D5</f>
        <v>0</v>
      </c>
      <c r="L14" s="701">
        <f t="shared" si="1"/>
        <v>30</v>
      </c>
      <c r="M14" s="780">
        <f t="shared" si="1"/>
        <v>692350.08299999998</v>
      </c>
      <c r="N14" s="788"/>
      <c r="O14" s="774"/>
      <c r="P14" s="774"/>
    </row>
    <row r="15" spans="1:16" s="659" customFormat="1">
      <c r="A15" s="661" t="s">
        <v>1412</v>
      </c>
      <c r="B15" s="660" t="s">
        <v>1413</v>
      </c>
      <c r="C15" s="662" t="s">
        <v>1440</v>
      </c>
      <c r="D15" s="662">
        <v>200</v>
      </c>
      <c r="E15" s="873">
        <f t="shared" si="0"/>
        <v>69235.008300000001</v>
      </c>
      <c r="F15" s="701">
        <f>VLOOKUP(IF($F$7&lt;=50,50,IF($F$7&lt;=100,100,IF($F$7&lt;=200,200,IF($F$7&lt;=300,300,300)))),Parametros!$H$124:$M$128,2,0)</f>
        <v>10</v>
      </c>
      <c r="G15" s="675">
        <f>+F15*$E15*D3</f>
        <v>692350.08299999998</v>
      </c>
      <c r="H15" s="701">
        <f>VLOOKUP(IF($H$8&lt;=50,50,IF($H$8&lt;=100,100,IF($H$8&lt;=200,200,IF($H$8&lt;=300,300,300)))),Parametros!$H$124:$M$128,2,0)</f>
        <v>10</v>
      </c>
      <c r="I15" s="675">
        <f>+H15*$E15*D4</f>
        <v>0</v>
      </c>
      <c r="J15" s="701">
        <f>VLOOKUP(IF($J$9&lt;=50,50,IF($J$9&lt;=100,100,IF($J$9&lt;=200,200,IF($J$9&lt;=300,300,300)))),Parametros!$H$124:$M$128,2,0)</f>
        <v>10</v>
      </c>
      <c r="K15" s="675">
        <f>+J15*$E15*D5</f>
        <v>0</v>
      </c>
      <c r="L15" s="701">
        <f t="shared" si="1"/>
        <v>30</v>
      </c>
      <c r="M15" s="780">
        <f t="shared" si="1"/>
        <v>692350.08299999998</v>
      </c>
      <c r="N15" s="788"/>
      <c r="O15" s="774"/>
      <c r="P15" s="774"/>
    </row>
    <row r="16" spans="1:16" s="684" customFormat="1">
      <c r="A16" s="836" t="s">
        <v>1412</v>
      </c>
      <c r="B16" s="836"/>
      <c r="C16" s="836" t="s">
        <v>1415</v>
      </c>
      <c r="D16" s="836"/>
      <c r="E16" s="837"/>
      <c r="F16" s="838">
        <f>SUM(F7:F9)</f>
        <v>0</v>
      </c>
      <c r="G16" s="839">
        <f>SUM(G7:G15)</f>
        <v>6923500.8299999991</v>
      </c>
      <c r="H16" s="838">
        <f>SUM(H7:H9)</f>
        <v>0</v>
      </c>
      <c r="I16" s="839">
        <f>SUM(I7:I15)</f>
        <v>0</v>
      </c>
      <c r="J16" s="838">
        <f>SUM(J7:J9)</f>
        <v>0</v>
      </c>
      <c r="K16" s="839">
        <f>SUM(K7:K15)</f>
        <v>0</v>
      </c>
      <c r="L16" s="838">
        <f>SUM(L7:L9)</f>
        <v>0</v>
      </c>
      <c r="M16" s="840">
        <f>SUM(M7:M15)</f>
        <v>6923500.8299999991</v>
      </c>
      <c r="N16" s="841"/>
      <c r="O16" s="775"/>
      <c r="P16" s="685"/>
    </row>
    <row r="17" spans="1:16">
      <c r="A17" s="669" t="s">
        <v>1412</v>
      </c>
      <c r="B17" s="669" t="s">
        <v>1416</v>
      </c>
      <c r="C17" s="698" t="s">
        <v>1443</v>
      </c>
      <c r="D17" s="670">
        <v>5504</v>
      </c>
      <c r="E17" s="671">
        <f>102183*9.53%+102183</f>
        <v>111921.0399</v>
      </c>
      <c r="F17" s="717">
        <f>(F7/12)*1.1</f>
        <v>0</v>
      </c>
      <c r="G17" s="675">
        <f>+F17*$E17*D3</f>
        <v>0</v>
      </c>
      <c r="H17" s="835"/>
      <c r="I17" s="826"/>
      <c r="J17" s="835"/>
      <c r="K17" s="826"/>
      <c r="L17" s="701">
        <f t="shared" ref="L17:M21" si="2">+(F17*$G$2)+(H17*$I$2)+(J17*$K$2)</f>
        <v>0</v>
      </c>
      <c r="M17" s="780">
        <f t="shared" si="2"/>
        <v>0</v>
      </c>
      <c r="N17" s="728"/>
    </row>
    <row r="18" spans="1:16">
      <c r="A18" s="669" t="s">
        <v>1412</v>
      </c>
      <c r="B18" s="669" t="s">
        <v>1416</v>
      </c>
      <c r="C18" s="698" t="s">
        <v>1444</v>
      </c>
      <c r="D18" s="670">
        <v>5504</v>
      </c>
      <c r="E18" s="671">
        <f>102183*9.53%+102183</f>
        <v>111921.0399</v>
      </c>
      <c r="F18" s="835"/>
      <c r="G18" s="826"/>
      <c r="H18" s="717">
        <f>(H8/12)*1.1</f>
        <v>0</v>
      </c>
      <c r="I18" s="675">
        <f>+H18*$E18*D4</f>
        <v>0</v>
      </c>
      <c r="J18" s="835"/>
      <c r="K18" s="826"/>
      <c r="L18" s="701">
        <f t="shared" si="2"/>
        <v>0</v>
      </c>
      <c r="M18" s="780">
        <f t="shared" si="2"/>
        <v>0</v>
      </c>
      <c r="N18" s="728"/>
    </row>
    <row r="19" spans="1:16">
      <c r="A19" s="669" t="s">
        <v>1412</v>
      </c>
      <c r="B19" s="669" t="s">
        <v>1416</v>
      </c>
      <c r="C19" s="698" t="s">
        <v>1445</v>
      </c>
      <c r="D19" s="670">
        <v>5504</v>
      </c>
      <c r="E19" s="671">
        <f>102183*9.53%+102183</f>
        <v>111921.0399</v>
      </c>
      <c r="F19" s="835"/>
      <c r="G19" s="826"/>
      <c r="H19" s="835"/>
      <c r="I19" s="826"/>
      <c r="J19" s="717">
        <f>(J9/12)*1.1</f>
        <v>0</v>
      </c>
      <c r="K19" s="675">
        <f>+J19*$E19*D5</f>
        <v>0</v>
      </c>
      <c r="L19" s="701">
        <f t="shared" si="2"/>
        <v>0</v>
      </c>
      <c r="M19" s="780">
        <f t="shared" si="2"/>
        <v>0</v>
      </c>
      <c r="N19" s="728"/>
    </row>
    <row r="20" spans="1:16">
      <c r="A20" s="669" t="s">
        <v>1412</v>
      </c>
      <c r="B20" s="669" t="s">
        <v>1416</v>
      </c>
      <c r="C20" s="669" t="s">
        <v>1417</v>
      </c>
      <c r="D20" s="670">
        <v>5504</v>
      </c>
      <c r="E20" s="671">
        <f>102183*9.53%+102183</f>
        <v>111921.0399</v>
      </c>
      <c r="F20" s="672">
        <f>+((2*1)+(4*2))/9</f>
        <v>1.1111111111111112</v>
      </c>
      <c r="G20" s="675">
        <f>+F20*$E20*D3</f>
        <v>124356.71100000001</v>
      </c>
      <c r="H20" s="672">
        <f>+((2*1)+(4*2))/9</f>
        <v>1.1111111111111112</v>
      </c>
      <c r="I20" s="675">
        <f>+H20*$E20*D4</f>
        <v>0</v>
      </c>
      <c r="J20" s="672">
        <f>+((2*1)+(4*2))/9</f>
        <v>1.1111111111111112</v>
      </c>
      <c r="K20" s="675">
        <f>+J20*$E20*D5</f>
        <v>0</v>
      </c>
      <c r="L20" s="701">
        <f t="shared" si="2"/>
        <v>3.3333333333333335</v>
      </c>
      <c r="M20" s="780">
        <f t="shared" si="2"/>
        <v>124356.71100000001</v>
      </c>
      <c r="N20" s="790" t="s">
        <v>1446</v>
      </c>
    </row>
    <row r="21" spans="1:16">
      <c r="A21" s="669" t="s">
        <v>1412</v>
      </c>
      <c r="B21" s="669" t="s">
        <v>1416</v>
      </c>
      <c r="C21" s="669" t="s">
        <v>1447</v>
      </c>
      <c r="D21" s="670">
        <v>5504</v>
      </c>
      <c r="E21" s="874">
        <f>102183*9.53%+102183</f>
        <v>111921.0399</v>
      </c>
      <c r="F21" s="701">
        <f>VLOOKUP(IF($F$7&lt;=50,50,IF($F$7&lt;=100,100,IF($F$7&lt;=200,200,IF($F$7&lt;=300,300,300)))),Parametros!$H$124:$M$128,4,0)</f>
        <v>1</v>
      </c>
      <c r="G21" s="675">
        <f>+F21*$E21*D3</f>
        <v>111921.0399</v>
      </c>
      <c r="H21" s="701">
        <f>VLOOKUP(IF($H$8&lt;=50,50,IF($H$8&lt;=100,100,IF($H$8&lt;=200,200,IF($H$8&lt;=300,300,300)))),Parametros!$H$124:$M$128,4,0)</f>
        <v>1</v>
      </c>
      <c r="I21" s="675">
        <f>+H21*$E21*D4</f>
        <v>0</v>
      </c>
      <c r="J21" s="701">
        <f>VLOOKUP(IF($J$9&lt;=50,50,IF($J$9&lt;=100,100,IF($J$9&lt;=200,200,IF($J$9&lt;=300,300,300)))),Parametros!$H$124:$M$128,4,0)</f>
        <v>1</v>
      </c>
      <c r="K21" s="675">
        <f>+J21*$E21*D5</f>
        <v>0</v>
      </c>
      <c r="L21" s="701">
        <f t="shared" si="2"/>
        <v>3</v>
      </c>
      <c r="M21" s="780">
        <f t="shared" si="2"/>
        <v>111921.0399</v>
      </c>
      <c r="N21" s="728"/>
    </row>
    <row r="22" spans="1:16" s="684" customFormat="1">
      <c r="A22" s="836" t="s">
        <v>1412</v>
      </c>
      <c r="B22" s="836"/>
      <c r="C22" s="836" t="s">
        <v>1418</v>
      </c>
      <c r="D22" s="836">
        <f>+D17</f>
        <v>5504</v>
      </c>
      <c r="E22" s="837"/>
      <c r="F22" s="838"/>
      <c r="G22" s="839">
        <f>SUM(G17:G21)</f>
        <v>236277.75090000001</v>
      </c>
      <c r="H22" s="838"/>
      <c r="I22" s="839">
        <f>SUM(I17:I21)</f>
        <v>0</v>
      </c>
      <c r="J22" s="838"/>
      <c r="K22" s="839">
        <f>SUM(K17:K21)</f>
        <v>0</v>
      </c>
      <c r="L22" s="838"/>
      <c r="M22" s="840">
        <f>SUM(M17:M21)</f>
        <v>236277.75090000001</v>
      </c>
      <c r="N22" s="841"/>
      <c r="O22" s="685"/>
      <c r="P22" s="685"/>
    </row>
    <row r="23" spans="1:16" s="656" customFormat="1">
      <c r="A23" s="666" t="s">
        <v>1412</v>
      </c>
      <c r="B23" s="666" t="s">
        <v>1419</v>
      </c>
      <c r="C23" s="666" t="s">
        <v>1419</v>
      </c>
      <c r="D23" s="718">
        <v>9997</v>
      </c>
      <c r="E23" s="701">
        <v>1</v>
      </c>
      <c r="F23" s="853">
        <f>+Entradas!D73</f>
        <v>0</v>
      </c>
      <c r="G23" s="675">
        <f>+F23*$E23*D3</f>
        <v>0</v>
      </c>
      <c r="H23" s="822">
        <f>+Entradas!E73</f>
        <v>0</v>
      </c>
      <c r="I23" s="675">
        <f>+H23*$E23*D4</f>
        <v>0</v>
      </c>
      <c r="J23" s="822">
        <f>+Entradas!F73</f>
        <v>0</v>
      </c>
      <c r="K23" s="675">
        <f>+J23*$E23*D5</f>
        <v>0</v>
      </c>
      <c r="L23" s="701">
        <f>+(F23*$G$2)+(H23*$I$2)+(J23*$K$2)</f>
        <v>0</v>
      </c>
      <c r="M23" s="780">
        <f>+(G23*$G$2)+(I23*$I$2)+(K23*$K$2)</f>
        <v>0</v>
      </c>
      <c r="N23" s="791"/>
      <c r="O23" s="776"/>
      <c r="P23" s="776"/>
    </row>
    <row r="24" spans="1:16" s="656" customFormat="1">
      <c r="A24" s="666" t="s">
        <v>1412</v>
      </c>
      <c r="B24" s="666" t="s">
        <v>1464</v>
      </c>
      <c r="C24" s="666" t="s">
        <v>1465</v>
      </c>
      <c r="D24" s="718">
        <v>9997</v>
      </c>
      <c r="E24" s="701">
        <v>1</v>
      </c>
      <c r="F24" s="853">
        <f>+Entradas!D74</f>
        <v>0</v>
      </c>
      <c r="G24" s="675">
        <f>+F24*$E24*D3</f>
        <v>0</v>
      </c>
      <c r="H24" s="822">
        <f>+Entradas!E74</f>
        <v>0</v>
      </c>
      <c r="I24" s="675">
        <f>+H24*$E24*D4</f>
        <v>0</v>
      </c>
      <c r="J24" s="822">
        <f>+Entradas!F74</f>
        <v>0</v>
      </c>
      <c r="K24" s="675">
        <f>+J24*$E24*D5</f>
        <v>0</v>
      </c>
      <c r="L24" s="701">
        <f>+E24</f>
        <v>1</v>
      </c>
      <c r="M24" s="780">
        <f>+(G24*$G$2)+(I24*$I$2)+(K24*$K$2)</f>
        <v>0</v>
      </c>
      <c r="N24" s="742"/>
      <c r="O24" s="776"/>
      <c r="P24" s="776"/>
    </row>
    <row r="25" spans="1:16" s="684" customFormat="1">
      <c r="A25" s="836" t="s">
        <v>1412</v>
      </c>
      <c r="B25" s="836"/>
      <c r="C25" s="836" t="s">
        <v>1420</v>
      </c>
      <c r="D25" s="836"/>
      <c r="E25" s="837"/>
      <c r="F25" s="838"/>
      <c r="G25" s="839">
        <f>SUM(G23:G24)</f>
        <v>0</v>
      </c>
      <c r="H25" s="838"/>
      <c r="I25" s="839">
        <f>SUM(I23:I24)</f>
        <v>0</v>
      </c>
      <c r="J25" s="838"/>
      <c r="K25" s="839">
        <f>SUM(K23:K24)</f>
        <v>0</v>
      </c>
      <c r="L25" s="838"/>
      <c r="M25" s="840">
        <f>SUM(M23:M24)</f>
        <v>0</v>
      </c>
      <c r="N25" s="841"/>
      <c r="O25" s="685"/>
      <c r="P25" s="685"/>
    </row>
    <row r="26" spans="1:16" s="659" customFormat="1">
      <c r="A26" s="660" t="s">
        <v>1412</v>
      </c>
      <c r="B26" s="660" t="s">
        <v>1448</v>
      </c>
      <c r="C26" s="660"/>
      <c r="D26" s="674">
        <v>6305</v>
      </c>
      <c r="E26" s="829">
        <f>VLOOKUP(IF($F$7&lt;=50,50,IF($F$7&lt;=100,100,IF($F$7&lt;=200,200,IF($F$7&lt;=300,300,300)))),Parametros!$H$124:$M$128,5,0)</f>
        <v>30000</v>
      </c>
      <c r="F26" s="871">
        <v>1</v>
      </c>
      <c r="G26" s="675">
        <f>+F26*$E26*D3</f>
        <v>30000</v>
      </c>
      <c r="H26" s="701">
        <f>+H8</f>
        <v>0</v>
      </c>
      <c r="I26" s="675">
        <f>+H26*$E26*D4</f>
        <v>0</v>
      </c>
      <c r="J26" s="701">
        <f>+J9</f>
        <v>0</v>
      </c>
      <c r="K26" s="675">
        <f>+J26*$E26*D5</f>
        <v>0</v>
      </c>
      <c r="L26" s="701">
        <f>+(F26*$G$2)+(H26*$I$2)+(J26*$K$2)</f>
        <v>1</v>
      </c>
      <c r="M26" s="780">
        <f>+(G26*$G$2)+(I26*$I$2)+(K26*$K$2)</f>
        <v>30000</v>
      </c>
      <c r="N26" s="787"/>
      <c r="O26" s="774"/>
      <c r="P26" s="774"/>
    </row>
    <row r="27" spans="1:16" s="656" customFormat="1" ht="12" thickBot="1">
      <c r="A27" s="665" t="s">
        <v>1412</v>
      </c>
      <c r="B27" s="665" t="s">
        <v>1449</v>
      </c>
      <c r="C27" s="665" t="s">
        <v>1450</v>
      </c>
      <c r="D27" s="665">
        <v>9997</v>
      </c>
      <c r="E27" s="830">
        <f>1100*5.2%+1100</f>
        <v>1157.2</v>
      </c>
      <c r="F27" s="822">
        <f>+Entradas!D75</f>
        <v>0</v>
      </c>
      <c r="G27" s="675">
        <f>+SUM(F27:F27)*E27*D3</f>
        <v>0</v>
      </c>
      <c r="H27" s="822">
        <f>+Entradas!E75</f>
        <v>1</v>
      </c>
      <c r="I27" s="675">
        <f>+SUM(H27:H27)*G27*D4</f>
        <v>0</v>
      </c>
      <c r="J27" s="822">
        <f>+Entradas!F75</f>
        <v>0</v>
      </c>
      <c r="K27" s="675">
        <f>+SUM(J27:J27)*I27*D5</f>
        <v>0</v>
      </c>
      <c r="L27" s="701">
        <f>+(F27*$G$2)+(H27*$I$2)+(J27*$K$2)</f>
        <v>1</v>
      </c>
      <c r="M27" s="780">
        <f>+(G27*$G$2)+(I27*$I$2)+(K27*$K$2)</f>
        <v>0</v>
      </c>
      <c r="N27" s="789"/>
      <c r="O27" s="776"/>
      <c r="P27" s="776"/>
    </row>
    <row r="28" spans="1:16" s="676" customFormat="1" ht="12" thickBot="1">
      <c r="A28" s="720"/>
      <c r="B28" s="721" t="s">
        <v>1421</v>
      </c>
      <c r="C28" s="721"/>
      <c r="D28" s="721"/>
      <c r="E28" s="720"/>
      <c r="F28" s="722"/>
      <c r="G28" s="723">
        <f>+G16+G22+G25+G26+G27</f>
        <v>7189778.5808999995</v>
      </c>
      <c r="H28" s="722"/>
      <c r="I28" s="723">
        <f>+I16+I22+I25+I26+I27</f>
        <v>0</v>
      </c>
      <c r="J28" s="722"/>
      <c r="K28" s="723">
        <f>+K16+K22+K25+K26+K27</f>
        <v>0</v>
      </c>
      <c r="L28" s="722"/>
      <c r="M28" s="781">
        <f>+M16+M22+M25+M26+M27</f>
        <v>7189778.5808999995</v>
      </c>
      <c r="N28" s="792"/>
      <c r="O28" s="777"/>
      <c r="P28" s="777"/>
    </row>
    <row r="29" spans="1:16" s="659" customFormat="1">
      <c r="A29" s="660" t="s">
        <v>1412</v>
      </c>
      <c r="B29" s="660" t="s">
        <v>1451</v>
      </c>
      <c r="C29" s="660"/>
      <c r="D29" s="674">
        <v>8005</v>
      </c>
      <c r="E29" s="829">
        <f>+Parametros!C139</f>
        <v>23144</v>
      </c>
      <c r="F29" s="822">
        <f>+Entradas!D76</f>
        <v>0</v>
      </c>
      <c r="G29" s="673">
        <f>+F29*$E29*D3</f>
        <v>0</v>
      </c>
      <c r="H29" s="822">
        <f>+Entradas!E75</f>
        <v>1</v>
      </c>
      <c r="I29" s="673">
        <f>+H29*$E29*D4</f>
        <v>0</v>
      </c>
      <c r="J29" s="822">
        <f>+Entradas!F76</f>
        <v>0</v>
      </c>
      <c r="K29" s="673">
        <f>+J29*$E29*D5</f>
        <v>0</v>
      </c>
      <c r="L29" s="701">
        <f t="shared" ref="L29:M35" si="3">+(F29*$G$2)+(H29*$I$2)+(J29*$K$2)</f>
        <v>1</v>
      </c>
      <c r="M29" s="780">
        <f t="shared" si="3"/>
        <v>0</v>
      </c>
      <c r="N29" s="787"/>
      <c r="O29" s="774"/>
      <c r="P29" s="774"/>
    </row>
    <row r="30" spans="1:16" s="659" customFormat="1">
      <c r="A30" s="660" t="s">
        <v>1412</v>
      </c>
      <c r="B30" s="660" t="s">
        <v>1452</v>
      </c>
      <c r="C30" s="660"/>
      <c r="D30" s="674">
        <v>8005</v>
      </c>
      <c r="E30" s="829">
        <f>+Parametros!C140</f>
        <v>18936</v>
      </c>
      <c r="F30" s="701">
        <f>+F29*15%</f>
        <v>0</v>
      </c>
      <c r="G30" s="673">
        <f>+F30*$E30*D3</f>
        <v>0</v>
      </c>
      <c r="H30" s="701">
        <f>+H29*15%</f>
        <v>0.15</v>
      </c>
      <c r="I30" s="673">
        <f>+H30*$E30*D4</f>
        <v>0</v>
      </c>
      <c r="J30" s="701">
        <f>+J29*15%</f>
        <v>0</v>
      </c>
      <c r="K30" s="673">
        <f>+J30*$E30*D5</f>
        <v>0</v>
      </c>
      <c r="L30" s="701">
        <f t="shared" si="3"/>
        <v>0.15</v>
      </c>
      <c r="M30" s="780">
        <f t="shared" si="3"/>
        <v>0</v>
      </c>
      <c r="N30" s="787"/>
      <c r="O30" s="774"/>
      <c r="P30" s="774"/>
    </row>
    <row r="31" spans="1:16" s="659" customFormat="1">
      <c r="A31" s="660" t="s">
        <v>1412</v>
      </c>
      <c r="B31" s="660" t="s">
        <v>1466</v>
      </c>
      <c r="C31" s="660" t="s">
        <v>1467</v>
      </c>
      <c r="D31" s="674">
        <v>454</v>
      </c>
      <c r="E31" s="870">
        <v>1</v>
      </c>
      <c r="F31" s="853">
        <f>+Entradas!D77</f>
        <v>0</v>
      </c>
      <c r="G31" s="675">
        <f>+F31*E31*D3</f>
        <v>0</v>
      </c>
      <c r="H31" s="822">
        <f>+Entradas!E77</f>
        <v>0</v>
      </c>
      <c r="I31" s="675">
        <f>+H31*E31*D4</f>
        <v>0</v>
      </c>
      <c r="J31" s="822">
        <f>+Entradas!F77</f>
        <v>0</v>
      </c>
      <c r="K31" s="675">
        <f>+J31*E31*D5</f>
        <v>0</v>
      </c>
      <c r="L31" s="701">
        <f>+E31</f>
        <v>1</v>
      </c>
      <c r="M31" s="780">
        <f t="shared" si="3"/>
        <v>0</v>
      </c>
      <c r="N31" s="742"/>
      <c r="O31" s="778"/>
      <c r="P31" s="774"/>
    </row>
    <row r="32" spans="1:16" s="659" customFormat="1">
      <c r="A32" s="660" t="s">
        <v>1412</v>
      </c>
      <c r="B32" s="659" t="s">
        <v>1453</v>
      </c>
      <c r="C32" s="660" t="s">
        <v>1454</v>
      </c>
      <c r="D32" s="674">
        <v>9997</v>
      </c>
      <c r="E32" s="870">
        <v>1</v>
      </c>
      <c r="F32" s="853">
        <f>+Entradas!D86</f>
        <v>0</v>
      </c>
      <c r="G32" s="675">
        <f>+F32</f>
        <v>0</v>
      </c>
      <c r="H32" s="822">
        <f>+Entradas!E86</f>
        <v>0</v>
      </c>
      <c r="I32" s="675">
        <f>+H32</f>
        <v>0</v>
      </c>
      <c r="J32" s="822">
        <f>+Entradas!F86</f>
        <v>0</v>
      </c>
      <c r="K32" s="675">
        <f>+J32</f>
        <v>0</v>
      </c>
      <c r="L32" s="701">
        <v>1</v>
      </c>
      <c r="M32" s="780">
        <f>+(G32*$G$2)+(I32*$I$2)+(K32*$K$2)</f>
        <v>0</v>
      </c>
      <c r="N32" s="787"/>
      <c r="O32" s="774"/>
      <c r="P32" s="774"/>
    </row>
    <row r="33" spans="1:18" s="659" customFormat="1">
      <c r="A33" s="660" t="s">
        <v>1412</v>
      </c>
      <c r="B33" s="660" t="s">
        <v>1455</v>
      </c>
      <c r="C33" s="660"/>
      <c r="D33" s="674">
        <v>9997</v>
      </c>
      <c r="E33" s="828">
        <f>VLOOKUP(C3,Parametros!$B$124:$G$135,6,0)</f>
        <v>25000</v>
      </c>
      <c r="F33" s="719">
        <f>+F7</f>
        <v>0</v>
      </c>
      <c r="G33" s="675">
        <f>+F33*E33*D3</f>
        <v>0</v>
      </c>
      <c r="H33" s="831"/>
      <c r="I33" s="826"/>
      <c r="J33" s="831"/>
      <c r="K33" s="826"/>
      <c r="L33" s="701">
        <f t="shared" si="3"/>
        <v>0</v>
      </c>
      <c r="M33" s="780">
        <f t="shared" si="3"/>
        <v>0</v>
      </c>
      <c r="N33" s="787"/>
      <c r="O33" s="774"/>
      <c r="P33" s="774"/>
    </row>
    <row r="34" spans="1:18" s="659" customFormat="1">
      <c r="A34" s="660" t="s">
        <v>1412</v>
      </c>
      <c r="B34" s="660" t="s">
        <v>1456</v>
      </c>
      <c r="C34" s="660"/>
      <c r="D34" s="674">
        <v>9997</v>
      </c>
      <c r="E34" s="828">
        <f>VLOOKUP(C4,Parametros!$B$124:$G$135,6,0)</f>
        <v>0</v>
      </c>
      <c r="F34" s="831"/>
      <c r="G34" s="826"/>
      <c r="H34" s="719">
        <f>+H8</f>
        <v>0</v>
      </c>
      <c r="I34" s="675">
        <f>+H34*E34*D4</f>
        <v>0</v>
      </c>
      <c r="J34" s="831"/>
      <c r="K34" s="826"/>
      <c r="L34" s="701">
        <f t="shared" si="3"/>
        <v>0</v>
      </c>
      <c r="M34" s="780">
        <f t="shared" si="3"/>
        <v>0</v>
      </c>
      <c r="N34" s="787"/>
      <c r="O34" s="774"/>
      <c r="P34" s="774"/>
    </row>
    <row r="35" spans="1:18" s="659" customFormat="1">
      <c r="A35" s="660" t="s">
        <v>1412</v>
      </c>
      <c r="B35" s="660" t="s">
        <v>1457</v>
      </c>
      <c r="C35" s="660"/>
      <c r="D35" s="674">
        <v>9997</v>
      </c>
      <c r="E35" s="828">
        <f>VLOOKUP(C5,Parametros!$B$124:$G$135,6,0)</f>
        <v>0</v>
      </c>
      <c r="F35" s="831"/>
      <c r="G35" s="826"/>
      <c r="H35" s="831"/>
      <c r="I35" s="826"/>
      <c r="J35" s="719">
        <f>+J9</f>
        <v>0</v>
      </c>
      <c r="K35" s="675">
        <f>+J35*E35*D5</f>
        <v>0</v>
      </c>
      <c r="L35" s="701">
        <f t="shared" si="3"/>
        <v>0</v>
      </c>
      <c r="M35" s="780">
        <f t="shared" si="3"/>
        <v>0</v>
      </c>
      <c r="N35" s="787"/>
      <c r="O35" s="774"/>
      <c r="P35" s="774"/>
    </row>
    <row r="36" spans="1:18" s="688" customFormat="1" ht="12" thickBot="1">
      <c r="A36" s="667" t="s">
        <v>1424</v>
      </c>
      <c r="B36" s="667" t="s">
        <v>1425</v>
      </c>
      <c r="C36" s="667"/>
      <c r="D36" s="730">
        <v>898</v>
      </c>
      <c r="E36" s="842">
        <f>(0.83*3700)*1.25</f>
        <v>3838.75</v>
      </c>
      <c r="F36" s="845">
        <f>+F16</f>
        <v>0</v>
      </c>
      <c r="G36" s="731">
        <f>+F36*$E36*D3</f>
        <v>0</v>
      </c>
      <c r="H36" s="716">
        <f>+H16</f>
        <v>0</v>
      </c>
      <c r="I36" s="731">
        <f>+H36*$E36*D4</f>
        <v>0</v>
      </c>
      <c r="J36" s="716">
        <f>+J16</f>
        <v>0</v>
      </c>
      <c r="K36" s="731">
        <f>+J36*$E36*D5</f>
        <v>0</v>
      </c>
      <c r="L36" s="701">
        <f>+F36+(H36*$I$2)</f>
        <v>0</v>
      </c>
      <c r="M36" s="780">
        <f>+(G36*$G$2)+(I36*$I$2)+(K36*$K$2)</f>
        <v>0</v>
      </c>
      <c r="N36" s="794"/>
      <c r="O36" s="779"/>
      <c r="P36" s="779"/>
      <c r="Q36" s="689"/>
      <c r="R36" s="689"/>
    </row>
    <row r="37" spans="1:18" s="676" customFormat="1" ht="12" thickBot="1">
      <c r="A37" s="721"/>
      <c r="B37" s="721" t="s">
        <v>1422</v>
      </c>
      <c r="C37" s="721"/>
      <c r="D37" s="721"/>
      <c r="E37" s="720"/>
      <c r="F37" s="722"/>
      <c r="G37" s="723">
        <f>+SUM(G29:G36)</f>
        <v>0</v>
      </c>
      <c r="H37" s="722"/>
      <c r="I37" s="723">
        <f>+SUM(I29:I36)</f>
        <v>0</v>
      </c>
      <c r="J37" s="722"/>
      <c r="K37" s="723">
        <f>+SUM(K29:K36)</f>
        <v>0</v>
      </c>
      <c r="L37" s="722"/>
      <c r="M37" s="781">
        <f>+SUM(M29:M36)</f>
        <v>0</v>
      </c>
      <c r="N37" s="792"/>
      <c r="O37" s="777"/>
      <c r="P37" s="777"/>
    </row>
    <row r="38" spans="1:18" ht="12" thickBot="1">
      <c r="A38" s="655"/>
      <c r="B38" s="655"/>
      <c r="C38" s="655"/>
      <c r="D38" s="657"/>
      <c r="E38" s="677"/>
      <c r="F38" s="657"/>
      <c r="G38" s="678"/>
      <c r="H38" s="657"/>
      <c r="I38" s="678"/>
      <c r="J38" s="677"/>
      <c r="K38" s="678"/>
      <c r="L38" s="657"/>
      <c r="M38" s="782"/>
      <c r="N38" s="728"/>
    </row>
    <row r="39" spans="1:18" ht="12" thickBot="1">
      <c r="A39" s="724" t="s">
        <v>1423</v>
      </c>
      <c r="B39" s="725"/>
      <c r="C39" s="725"/>
      <c r="D39" s="725"/>
      <c r="E39" s="724"/>
      <c r="F39" s="726"/>
      <c r="G39" s="727">
        <f>+G28+G37</f>
        <v>7189778.5808999995</v>
      </c>
      <c r="H39" s="726"/>
      <c r="I39" s="727">
        <f>+I28+I37</f>
        <v>0</v>
      </c>
      <c r="J39" s="797"/>
      <c r="K39" s="727">
        <f>+K28+K37</f>
        <v>0</v>
      </c>
      <c r="L39" s="726"/>
      <c r="M39" s="783">
        <f>+M28+M37</f>
        <v>7189778.5808999995</v>
      </c>
      <c r="N39" s="793"/>
    </row>
    <row r="40" spans="1:18" ht="12" thickBot="1">
      <c r="A40" s="655"/>
      <c r="B40" s="679"/>
      <c r="C40" s="680"/>
      <c r="D40" s="657"/>
      <c r="E40" s="681"/>
      <c r="F40" s="682"/>
      <c r="G40" s="683"/>
      <c r="H40" s="682"/>
      <c r="I40" s="683"/>
      <c r="J40" s="798"/>
      <c r="K40" s="683"/>
      <c r="L40" s="682"/>
      <c r="M40" s="784"/>
      <c r="N40" s="728"/>
    </row>
    <row r="41" spans="1:18">
      <c r="A41" s="684"/>
      <c r="B41" s="685"/>
      <c r="C41" s="684"/>
      <c r="D41" s="684"/>
      <c r="E41" s="686"/>
      <c r="F41" s="687"/>
      <c r="G41" s="729"/>
      <c r="H41" s="687"/>
      <c r="I41" s="729"/>
      <c r="J41" s="799"/>
      <c r="K41" s="729"/>
      <c r="L41" s="687"/>
      <c r="M41" s="785"/>
      <c r="N41" s="741"/>
    </row>
    <row r="42" spans="1:18" s="689" customFormat="1">
      <c r="A42" s="663" t="s">
        <v>1412</v>
      </c>
      <c r="B42" s="668" t="s">
        <v>1426</v>
      </c>
      <c r="C42" s="668" t="s">
        <v>1427</v>
      </c>
      <c r="D42" s="732">
        <v>654</v>
      </c>
      <c r="E42" s="849">
        <v>0</v>
      </c>
      <c r="F42" s="846">
        <v>1</v>
      </c>
      <c r="G42" s="731">
        <f>+F42*$E42*D3</f>
        <v>0</v>
      </c>
      <c r="H42" s="733">
        <v>1</v>
      </c>
      <c r="I42" s="734">
        <f>+H42*$E42*D4</f>
        <v>0</v>
      </c>
      <c r="J42" s="733">
        <v>1</v>
      </c>
      <c r="K42" s="734">
        <f>+J42*$E42*D5</f>
        <v>0</v>
      </c>
      <c r="L42" s="701">
        <f t="shared" ref="L42:L46" si="4">+F42+(H42*$I$2)</f>
        <v>2</v>
      </c>
      <c r="M42" s="780">
        <f t="shared" ref="M42:M48" si="5">+(G42*$G$2)+(I42*$I$2)+(K42*$K$2)</f>
        <v>0</v>
      </c>
      <c r="N42" s="739"/>
      <c r="O42" s="779"/>
      <c r="P42" s="779"/>
    </row>
    <row r="43" spans="1:18" s="689" customFormat="1">
      <c r="A43" s="663" t="s">
        <v>1412</v>
      </c>
      <c r="B43" s="668" t="s">
        <v>1458</v>
      </c>
      <c r="C43" s="668" t="s">
        <v>1459</v>
      </c>
      <c r="D43" s="732">
        <v>500</v>
      </c>
      <c r="E43" s="875">
        <f>VLOOKUP(C3,Parametros!$B$124:$G$135,5,0)</f>
        <v>35000</v>
      </c>
      <c r="F43" s="846">
        <f>+F7</f>
        <v>0</v>
      </c>
      <c r="G43" s="731">
        <f>+F43*$E43*D3</f>
        <v>0</v>
      </c>
      <c r="H43" s="832"/>
      <c r="I43" s="833"/>
      <c r="J43" s="832"/>
      <c r="K43" s="833"/>
      <c r="L43" s="701">
        <f t="shared" si="4"/>
        <v>0</v>
      </c>
      <c r="M43" s="780">
        <f t="shared" si="5"/>
        <v>0</v>
      </c>
      <c r="N43" s="739"/>
      <c r="O43" s="779"/>
      <c r="P43" s="779"/>
    </row>
    <row r="44" spans="1:18" s="689" customFormat="1">
      <c r="A44" s="663" t="s">
        <v>1412</v>
      </c>
      <c r="B44" s="668" t="s">
        <v>1458</v>
      </c>
      <c r="C44" s="668" t="s">
        <v>1460</v>
      </c>
      <c r="D44" s="732">
        <v>500</v>
      </c>
      <c r="E44" s="843">
        <f>VLOOKUP(C4,Parametros!$B$124:$G$135,5,0)</f>
        <v>0</v>
      </c>
      <c r="F44" s="847"/>
      <c r="G44" s="833"/>
      <c r="H44" s="733">
        <f>+H8</f>
        <v>0</v>
      </c>
      <c r="I44" s="731">
        <f>+H44*$E44*D4</f>
        <v>0</v>
      </c>
      <c r="J44" s="832"/>
      <c r="K44" s="833"/>
      <c r="L44" s="701">
        <f t="shared" si="4"/>
        <v>0</v>
      </c>
      <c r="M44" s="780">
        <f t="shared" si="5"/>
        <v>0</v>
      </c>
      <c r="N44" s="739"/>
      <c r="O44" s="779"/>
      <c r="P44" s="779"/>
    </row>
    <row r="45" spans="1:18" s="689" customFormat="1">
      <c r="A45" s="663" t="s">
        <v>1412</v>
      </c>
      <c r="B45" s="668" t="s">
        <v>1458</v>
      </c>
      <c r="C45" s="668" t="s">
        <v>1461</v>
      </c>
      <c r="D45" s="732">
        <v>500</v>
      </c>
      <c r="E45" s="843">
        <f>VLOOKUP(C5,Parametros!$B$124:$G$135,5,0)</f>
        <v>0</v>
      </c>
      <c r="F45" s="847"/>
      <c r="G45" s="833"/>
      <c r="H45" s="832"/>
      <c r="I45" s="833"/>
      <c r="J45" s="733">
        <f>+J9</f>
        <v>0</v>
      </c>
      <c r="K45" s="731">
        <f>+J45*$E45*D5</f>
        <v>0</v>
      </c>
      <c r="L45" s="701">
        <f t="shared" si="4"/>
        <v>0</v>
      </c>
      <c r="M45" s="780">
        <f t="shared" si="5"/>
        <v>0</v>
      </c>
      <c r="N45" s="739"/>
      <c r="O45" s="779"/>
      <c r="P45" s="779"/>
    </row>
    <row r="46" spans="1:18" s="689" customFormat="1">
      <c r="A46" s="663" t="s">
        <v>1412</v>
      </c>
      <c r="B46" s="668" t="s">
        <v>1458</v>
      </c>
      <c r="C46" s="668" t="s">
        <v>1462</v>
      </c>
      <c r="D46" s="732">
        <v>500</v>
      </c>
      <c r="E46" s="844">
        <v>0.1</v>
      </c>
      <c r="F46" s="848"/>
      <c r="G46" s="735">
        <f>+SUM(G43:G45)*$E$46</f>
        <v>0</v>
      </c>
      <c r="H46" s="733"/>
      <c r="I46" s="735">
        <f>+SUM(I43:I45)*10%</f>
        <v>0</v>
      </c>
      <c r="J46" s="733"/>
      <c r="K46" s="735">
        <f>+SUM(K43:K45)*10%</f>
        <v>0</v>
      </c>
      <c r="L46" s="701">
        <f t="shared" si="4"/>
        <v>0</v>
      </c>
      <c r="M46" s="780">
        <f t="shared" si="5"/>
        <v>0</v>
      </c>
      <c r="N46" s="739"/>
      <c r="O46" s="779"/>
      <c r="P46" s="779"/>
    </row>
    <row r="47" spans="1:18" s="689" customFormat="1">
      <c r="A47" s="663" t="s">
        <v>1412</v>
      </c>
      <c r="B47" s="668" t="s">
        <v>1458</v>
      </c>
      <c r="C47" s="668" t="s">
        <v>1468</v>
      </c>
      <c r="D47" s="732">
        <v>500</v>
      </c>
      <c r="E47" s="733">
        <v>1</v>
      </c>
      <c r="F47" s="822">
        <v>0</v>
      </c>
      <c r="G47" s="731">
        <f>+F47*$E47*D3</f>
        <v>0</v>
      </c>
      <c r="H47" s="733"/>
      <c r="I47" s="734">
        <f>+H47*$E47*D4</f>
        <v>0</v>
      </c>
      <c r="J47" s="733"/>
      <c r="K47" s="734">
        <f>+J47*$E47*D5</f>
        <v>0</v>
      </c>
      <c r="L47" s="668"/>
      <c r="M47" s="780">
        <f t="shared" si="5"/>
        <v>0</v>
      </c>
      <c r="N47" s="742"/>
      <c r="O47" s="778"/>
      <c r="P47" s="779"/>
    </row>
    <row r="48" spans="1:18" s="689" customFormat="1" ht="12" thickBot="1">
      <c r="A48" s="663" t="s">
        <v>1412</v>
      </c>
      <c r="B48" s="668" t="s">
        <v>1458</v>
      </c>
      <c r="C48" s="668" t="s">
        <v>1463</v>
      </c>
      <c r="D48" s="732">
        <v>500</v>
      </c>
      <c r="E48" s="834">
        <v>0</v>
      </c>
      <c r="F48" s="871">
        <f>VLOOKUP(IF($F$7&lt;=50,50,IF($F$7&lt;=100,100,IF($F$7&lt;=200,200,IF($F$7&lt;=300,300,300)))),Parametros!$H$124:$M$128,6,0)</f>
        <v>300000</v>
      </c>
      <c r="G48" s="731">
        <f>+F48*$E$48*D3</f>
        <v>0</v>
      </c>
      <c r="H48" s="701">
        <f>VLOOKUP(IF($H$8&lt;=50,50,IF($H$8&lt;=100,100,IF($H$8&lt;=200,200,IF($H$8&lt;=F6256,300,300)))),Parametros!$H$124:$M$128,6,0)</f>
        <v>300000</v>
      </c>
      <c r="I48" s="731">
        <f>+H48*$E$48*D4</f>
        <v>0</v>
      </c>
      <c r="J48" s="701">
        <f>VLOOKUP(IF($J$9&lt;=50,50,IF($J$9&lt;=100,100,IF($J$9&lt;=200,200,IF($J$9&lt;=300,300,300)))),Parametros!$H$124:$M$128,6,0)</f>
        <v>300000</v>
      </c>
      <c r="K48" s="731">
        <f>+J48*$E$48*D5</f>
        <v>0</v>
      </c>
      <c r="L48" s="701">
        <f>+F48+(H48*$I$2)</f>
        <v>600000</v>
      </c>
      <c r="M48" s="780">
        <f t="shared" si="5"/>
        <v>0</v>
      </c>
      <c r="N48" s="739"/>
      <c r="O48" s="779"/>
      <c r="P48" s="779"/>
    </row>
    <row r="49" spans="1:16" s="689" customFormat="1" ht="12" thickBot="1">
      <c r="A49" s="745" t="s">
        <v>1428</v>
      </c>
      <c r="B49" s="745"/>
      <c r="C49" s="745"/>
      <c r="D49" s="745"/>
      <c r="E49" s="746"/>
      <c r="F49" s="746"/>
      <c r="G49" s="747">
        <f>+SUM(G42:G48)</f>
        <v>0</v>
      </c>
      <c r="H49" s="746"/>
      <c r="I49" s="747">
        <f>+SUM(I42:I48)</f>
        <v>0</v>
      </c>
      <c r="J49" s="745"/>
      <c r="K49" s="747">
        <f>+SUM(K42:K48)</f>
        <v>0</v>
      </c>
      <c r="L49" s="746"/>
      <c r="M49" s="747">
        <f>+SUM(M42:M48)</f>
        <v>0</v>
      </c>
      <c r="N49" s="740"/>
      <c r="O49" s="779"/>
      <c r="P49" s="779"/>
    </row>
    <row r="50" spans="1:16" s="689" customFormat="1">
      <c r="A50" s="736"/>
      <c r="B50" s="736"/>
      <c r="C50" s="736"/>
      <c r="D50" s="737"/>
      <c r="E50" s="690"/>
      <c r="F50" s="691"/>
      <c r="G50" s="738"/>
      <c r="H50" s="691"/>
      <c r="I50" s="738"/>
      <c r="J50" s="738"/>
      <c r="K50" s="738"/>
      <c r="L50" s="691"/>
      <c r="M50" s="738"/>
      <c r="N50" s="739"/>
      <c r="O50" s="779"/>
      <c r="P50" s="779"/>
    </row>
  </sheetData>
  <mergeCells count="5">
    <mergeCell ref="F5:G5"/>
    <mergeCell ref="H5:I5"/>
    <mergeCell ref="L5:M5"/>
    <mergeCell ref="A6:B6"/>
    <mergeCell ref="J5:K5"/>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58E4-129B-4A58-BDCE-034F9A00AAAC}">
  <sheetPr codeName="Hoja2"/>
  <dimension ref="B2:L173"/>
  <sheetViews>
    <sheetView topLeftCell="B20" zoomScale="85" zoomScaleNormal="85" workbookViewId="0">
      <pane xSplit="1" topLeftCell="C1" activePane="topRight" state="frozen"/>
      <selection activeCell="C80" sqref="C80"/>
      <selection pane="topRight" activeCell="D42" sqref="D42"/>
    </sheetView>
  </sheetViews>
  <sheetFormatPr baseColWidth="10" defaultColWidth="11.42578125" defaultRowHeight="15.75"/>
  <cols>
    <col min="1" max="1" width="11.42578125" style="226"/>
    <col min="2" max="2" width="56.140625" style="226" bestFit="1" customWidth="1"/>
    <col min="3" max="3" width="31.85546875" style="226" customWidth="1"/>
    <col min="4" max="4" width="35.140625" style="226" customWidth="1"/>
    <col min="5" max="5" width="35.85546875" style="226" customWidth="1"/>
    <col min="6" max="6" width="17" style="226" bestFit="1" customWidth="1"/>
    <col min="7" max="7" width="18.140625" style="226" bestFit="1" customWidth="1"/>
    <col min="8" max="8" width="15" style="226" bestFit="1" customWidth="1"/>
    <col min="9" max="9" width="14.5703125" style="226" bestFit="1" customWidth="1"/>
    <col min="10" max="12" width="18.140625" style="226" bestFit="1" customWidth="1"/>
    <col min="13" max="13" width="17" style="226" bestFit="1" customWidth="1"/>
    <col min="14" max="14" width="13.7109375" style="226" bestFit="1" customWidth="1"/>
    <col min="15" max="16384" width="11.42578125" style="226"/>
  </cols>
  <sheetData>
    <row r="2" spans="2:7" hidden="1"/>
    <row r="3" spans="2:7" ht="33.75" customHeight="1">
      <c r="B3" s="479" t="s">
        <v>0</v>
      </c>
      <c r="C3" s="1329">
        <f>+Entradas!D4</f>
        <v>0</v>
      </c>
      <c r="D3" s="1330"/>
    </row>
    <row r="4" spans="2:7" ht="41.25" customHeight="1">
      <c r="B4" s="479" t="s">
        <v>1</v>
      </c>
      <c r="C4" s="1329">
        <f>+Entradas!D5</f>
        <v>0</v>
      </c>
      <c r="D4" s="1330"/>
    </row>
    <row r="5" spans="2:7" ht="18.75" customHeight="1">
      <c r="B5" s="479" t="s">
        <v>2</v>
      </c>
      <c r="C5" s="1329">
        <f>+Entradas!D6</f>
        <v>0</v>
      </c>
      <c r="D5" s="1330"/>
    </row>
    <row r="6" spans="2:7" ht="22.5" customHeight="1">
      <c r="B6" s="479" t="s">
        <v>925</v>
      </c>
      <c r="C6" s="1329">
        <f>+Entradas!D7</f>
        <v>0</v>
      </c>
      <c r="D6" s="1330"/>
    </row>
    <row r="7" spans="2:7" ht="19.5" customHeight="1">
      <c r="B7" s="479" t="s">
        <v>926</v>
      </c>
      <c r="C7" s="489">
        <f>+Entradas!D8</f>
        <v>0</v>
      </c>
      <c r="D7" s="488">
        <f>+Entradas!E8</f>
        <v>0</v>
      </c>
    </row>
    <row r="8" spans="2:7" ht="24.75" customHeight="1">
      <c r="B8" s="480" t="s">
        <v>927</v>
      </c>
      <c r="C8" s="491" t="str">
        <f>+Entradas!D9</f>
        <v>Alta</v>
      </c>
      <c r="G8" s="634"/>
    </row>
    <row r="9" spans="2:7" ht="22.5" customHeight="1">
      <c r="B9" s="480" t="s">
        <v>3</v>
      </c>
      <c r="C9" s="490" t="str">
        <f>+Entradas!D10</f>
        <v>MSU</v>
      </c>
    </row>
    <row r="10" spans="2:7" ht="36" customHeight="1">
      <c r="B10" s="479" t="s">
        <v>916</v>
      </c>
      <c r="C10" s="585" t="str">
        <f>+Entradas!D11</f>
        <v>MSC005 - U&amp;A</v>
      </c>
      <c r="D10" s="489">
        <f>+VLOOKUP(C10,Parametros!B306:C336,2,0)</f>
        <v>0</v>
      </c>
    </row>
    <row r="11" spans="2:7" ht="19.5" customHeight="1">
      <c r="B11" s="479" t="s">
        <v>7</v>
      </c>
      <c r="C11" s="490" t="str">
        <f>+Entradas!D12</f>
        <v>Ops</v>
      </c>
    </row>
    <row r="12" spans="2:7" ht="21" customHeight="1">
      <c r="B12" s="479" t="s">
        <v>9</v>
      </c>
      <c r="C12" s="490" t="str">
        <f>+Entradas!D13</f>
        <v>Otro</v>
      </c>
      <c r="D12" s="489">
        <f>+Entradas!E13</f>
        <v>0</v>
      </c>
    </row>
    <row r="13" spans="2:7" s="520" customFormat="1" ht="21" customHeight="1">
      <c r="B13" s="479" t="s">
        <v>917</v>
      </c>
      <c r="C13" s="490" t="str">
        <f>+Entradas!D16</f>
        <v>Hogares</v>
      </c>
      <c r="D13" s="492">
        <f>+Entradas!E16</f>
        <v>0</v>
      </c>
    </row>
    <row r="14" spans="2:7" s="520" customFormat="1" ht="24.75" customHeight="1">
      <c r="B14" s="479" t="s">
        <v>1433</v>
      </c>
      <c r="C14" s="490" t="str">
        <f>+Entradas!D17</f>
        <v>F2F</v>
      </c>
      <c r="D14" s="492">
        <f>+Entradas!E17</f>
        <v>1</v>
      </c>
      <c r="E14" s="521">
        <f>IF(D14=2,2,1)</f>
        <v>1</v>
      </c>
      <c r="F14" s="580">
        <f>+MuestraTec1!C22</f>
        <v>399.99999999999994</v>
      </c>
    </row>
    <row r="15" spans="2:7" s="520" customFormat="1" ht="24.75" customHeight="1">
      <c r="B15" s="479" t="s">
        <v>1402</v>
      </c>
      <c r="C15" s="490" t="str">
        <f>+Entradas!D18</f>
        <v>NINGUNA</v>
      </c>
      <c r="D15" s="492">
        <f>+Entradas!E18</f>
        <v>0</v>
      </c>
      <c r="E15" s="540"/>
      <c r="F15" s="654">
        <f>+MuestraTec2!C22</f>
        <v>0</v>
      </c>
    </row>
    <row r="16" spans="2:7" s="520" customFormat="1" ht="24.75" customHeight="1">
      <c r="B16" s="479" t="s">
        <v>937</v>
      </c>
      <c r="C16" s="490" t="str">
        <f>+Entradas!D19</f>
        <v>No requiere</v>
      </c>
      <c r="D16" s="492">
        <f>+Entradas!E19</f>
        <v>0</v>
      </c>
      <c r="E16" s="540"/>
    </row>
    <row r="17" spans="2:6">
      <c r="B17" s="479" t="s">
        <v>932</v>
      </c>
      <c r="C17" s="519"/>
      <c r="D17" s="518" t="str">
        <f>+Entradas!E20</f>
        <v>Mas 82%</v>
      </c>
    </row>
    <row r="18" spans="2:6">
      <c r="B18" s="479" t="s">
        <v>38</v>
      </c>
      <c r="C18" s="519"/>
      <c r="D18" s="491" t="str">
        <f>+Entradas!E21</f>
        <v>16-20minutos</v>
      </c>
    </row>
    <row r="19" spans="2:6">
      <c r="B19" s="478" t="s">
        <v>40</v>
      </c>
      <c r="C19" s="519"/>
      <c r="D19" s="491">
        <f>+Entradas!E22</f>
        <v>0</v>
      </c>
    </row>
    <row r="20" spans="2:6">
      <c r="B20" s="477" t="s">
        <v>41</v>
      </c>
      <c r="C20" s="519"/>
      <c r="D20" s="491">
        <f>+Entradas!E23</f>
        <v>0</v>
      </c>
    </row>
    <row r="21" spans="2:6">
      <c r="B21" s="478" t="s">
        <v>42</v>
      </c>
      <c r="C21" s="519"/>
      <c r="D21" s="491">
        <f>+Entradas!E24</f>
        <v>0</v>
      </c>
    </row>
    <row r="22" spans="2:6">
      <c r="B22" s="478" t="s">
        <v>43</v>
      </c>
      <c r="C22" s="491" t="str">
        <f>+Entradas!D25</f>
        <v>No</v>
      </c>
      <c r="D22" s="490" cm="1">
        <f t="array" ref="D22">VLOOKUP(C22,+Parametros!$B$218:$C$220,2,0)</f>
        <v>0</v>
      </c>
    </row>
    <row r="23" spans="2:6">
      <c r="B23" s="479" t="s">
        <v>44</v>
      </c>
      <c r="C23" s="493" t="str">
        <f>VLOOKUP(C22,Parametros!$B$222:$C$223,2,FALSE)</f>
        <v>Total</v>
      </c>
      <c r="D23" s="490">
        <f>VLOOKUP(C23,Parametros!$B$203:$C$205,2,0)</f>
        <v>1</v>
      </c>
    </row>
    <row r="24" spans="2:6">
      <c r="B24" s="481" t="s">
        <v>45</v>
      </c>
      <c r="C24" s="491" t="str">
        <f>+Entradas!D27</f>
        <v>No</v>
      </c>
      <c r="D24" s="490" cm="1">
        <f t="array" ref="D24">VLOOKUP(C24,+Parametros!$B$218:$C$220,2,0)</f>
        <v>0</v>
      </c>
    </row>
    <row r="25" spans="2:6" s="520" customFormat="1">
      <c r="B25" s="479" t="s">
        <v>34</v>
      </c>
      <c r="C25" s="491" t="str">
        <f>+Entradas!D28</f>
        <v>No</v>
      </c>
      <c r="D25" s="490" cm="1">
        <f t="array" ref="D25">VLOOKUP(C25,+Parametros!$B$218:$C$220,2,0)</f>
        <v>0</v>
      </c>
    </row>
    <row r="26" spans="2:6">
      <c r="B26" s="481" t="s">
        <v>46</v>
      </c>
      <c r="C26" s="491" t="str">
        <f>+Entradas!D29</f>
        <v>Si</v>
      </c>
      <c r="D26" s="490" cm="1">
        <f t="array" ref="D26">VLOOKUP(C26,+Parametros!$B$218:$C$220,2,0)</f>
        <v>1</v>
      </c>
      <c r="E26" s="537" t="str">
        <f>+Entradas!F29</f>
        <v>Nuevo</v>
      </c>
      <c r="F26" s="538">
        <f>VLOOKUP(E26,Parametros!$B$180:$C$182,2,0)</f>
        <v>1</v>
      </c>
    </row>
    <row r="27" spans="2:6">
      <c r="B27" s="481" t="s">
        <v>47</v>
      </c>
      <c r="C27" s="491" t="str">
        <f>+Entradas!D30</f>
        <v>No</v>
      </c>
      <c r="D27" s="490" cm="1">
        <f t="array" ref="D27">VLOOKUP(C27,+Parametros!$B$218:$C$220,2,0)</f>
        <v>0</v>
      </c>
    </row>
    <row r="28" spans="2:6">
      <c r="B28" s="481" t="s">
        <v>48</v>
      </c>
      <c r="C28" s="491" t="str">
        <f>+Entradas!D31</f>
        <v>Si</v>
      </c>
      <c r="D28" s="490">
        <f>+Entradas!E31</f>
        <v>1</v>
      </c>
    </row>
    <row r="29" spans="2:6">
      <c r="B29" s="482" t="s">
        <v>49</v>
      </c>
      <c r="C29" s="532"/>
      <c r="D29" s="494">
        <f>+Entradas!E32</f>
        <v>1</v>
      </c>
    </row>
    <row r="30" spans="2:6">
      <c r="B30" s="482" t="s">
        <v>50</v>
      </c>
      <c r="C30" s="491" t="str">
        <f>+Entradas!D33</f>
        <v>No</v>
      </c>
      <c r="D30" s="490" cm="1">
        <f t="array" ref="D30">VLOOKUP(C30,+Parametros!$B$218:$C$220,2,0)</f>
        <v>0</v>
      </c>
    </row>
    <row r="31" spans="2:6">
      <c r="B31" s="482" t="str">
        <f>+Entradas!C34</f>
        <v>Valor GMU (Brasil, francia, EEUU, etc.)</v>
      </c>
      <c r="C31" s="491"/>
      <c r="D31" s="533"/>
    </row>
    <row r="32" spans="2:6">
      <c r="B32" s="481" t="str">
        <f>+Entradas!C37</f>
        <v>Harmoni</v>
      </c>
      <c r="C32" s="491" t="str">
        <f>+Entradas!D37</f>
        <v>No</v>
      </c>
      <c r="D32" s="489">
        <f>+Entradas!E37</f>
        <v>0</v>
      </c>
    </row>
    <row r="33" spans="2:5">
      <c r="B33" s="481" t="str">
        <f>+Entradas!C38</f>
        <v>Graficación</v>
      </c>
      <c r="C33" s="491" t="str">
        <f>+Entradas!D38</f>
        <v>No</v>
      </c>
      <c r="D33" s="489">
        <f>+Entradas!E38</f>
        <v>0</v>
      </c>
    </row>
    <row r="34" spans="2:5">
      <c r="B34" s="481" t="str">
        <f>+Entradas!C39</f>
        <v>Otros costos</v>
      </c>
      <c r="C34" s="491">
        <f>+Entradas!D39</f>
        <v>0</v>
      </c>
      <c r="D34" s="618">
        <f>+Entradas!E39</f>
        <v>0</v>
      </c>
    </row>
    <row r="35" spans="2:5">
      <c r="B35" s="477" t="s">
        <v>83</v>
      </c>
      <c r="C35" s="224"/>
      <c r="D35" s="491">
        <f>+Entradas!E42</f>
        <v>0</v>
      </c>
    </row>
    <row r="36" spans="2:5" s="520" customFormat="1" ht="22.5" customHeight="1">
      <c r="B36" s="479" t="s">
        <v>849</v>
      </c>
      <c r="C36" s="495">
        <f>+Entradas!D43</f>
        <v>1</v>
      </c>
      <c r="E36" s="226"/>
    </row>
    <row r="37" spans="2:5">
      <c r="B37" s="479" t="s">
        <v>11</v>
      </c>
      <c r="C37" s="541" t="str">
        <f>+Entradas!D44</f>
        <v>No</v>
      </c>
      <c r="D37" s="489">
        <f>VLOOKUP(C37,Parametros!B219:C220,2,0)</f>
        <v>0</v>
      </c>
      <c r="E37" s="619"/>
    </row>
    <row r="38" spans="2:5" s="522" customFormat="1">
      <c r="B38" s="211" t="s">
        <v>13</v>
      </c>
      <c r="C38" s="498">
        <f>+Entradas!D47</f>
        <v>1</v>
      </c>
      <c r="D38" s="619"/>
      <c r="E38" s="620"/>
    </row>
    <row r="39" spans="2:5" s="522" customFormat="1">
      <c r="B39" s="211" t="s">
        <v>843</v>
      </c>
      <c r="C39" s="498" t="str">
        <f>+Entradas!D58</f>
        <v>No</v>
      </c>
      <c r="D39" s="619"/>
      <c r="E39" s="620"/>
    </row>
    <row r="40" spans="2:5" s="522" customFormat="1">
      <c r="B40" s="211" t="s">
        <v>892</v>
      </c>
      <c r="C40" s="498" t="str">
        <f>+Entradas!D59</f>
        <v>No</v>
      </c>
      <c r="D40" s="619"/>
      <c r="E40" s="620"/>
    </row>
    <row r="41" spans="2:5" s="522" customFormat="1">
      <c r="B41" s="211" t="s">
        <v>960</v>
      </c>
      <c r="C41" s="566" t="str">
        <f>+Entradas!D60</f>
        <v>Monádica sequencial</v>
      </c>
      <c r="D41" s="621">
        <f>+Entradas!E60</f>
        <v>2</v>
      </c>
      <c r="E41" s="622">
        <f>IF(D41&gt;1,1,2)</f>
        <v>1</v>
      </c>
    </row>
    <row r="42" spans="2:5" s="522" customFormat="1">
      <c r="B42" s="211" t="s">
        <v>953</v>
      </c>
      <c r="C42" s="566" t="str">
        <f>+Entradas!D61</f>
        <v>No</v>
      </c>
      <c r="D42" s="623">
        <f>VLOOKUP(C42,Parametros!B219:C220,2,0)</f>
        <v>0</v>
      </c>
      <c r="E42" s="620"/>
    </row>
    <row r="43" spans="2:5" s="522" customFormat="1">
      <c r="B43" s="211" t="s">
        <v>532</v>
      </c>
      <c r="C43" s="499">
        <f>+Entradas!D62</f>
        <v>0</v>
      </c>
      <c r="D43" s="619"/>
      <c r="E43" s="620"/>
    </row>
    <row r="44" spans="2:5" ht="31.5">
      <c r="B44" s="213" t="s">
        <v>533</v>
      </c>
      <c r="C44" s="500">
        <f>+Entradas!D45</f>
        <v>0</v>
      </c>
      <c r="D44" s="619"/>
      <c r="E44" s="619"/>
    </row>
    <row r="45" spans="2:5" ht="31.5">
      <c r="B45" s="213" t="s">
        <v>28</v>
      </c>
      <c r="C45" s="498" t="str">
        <f>+Entradas!D63</f>
        <v>Blind, o prueba a ciegas</v>
      </c>
      <c r="D45" s="489">
        <f>VLOOKUP(C45,Parametros!B226:D229,3,0)</f>
        <v>1</v>
      </c>
      <c r="E45" s="619"/>
    </row>
    <row r="46" spans="2:5">
      <c r="B46" s="211" t="s">
        <v>78</v>
      </c>
      <c r="C46" s="498" t="str">
        <f>+Entradas!D64</f>
        <v>No</v>
      </c>
    </row>
    <row r="47" spans="2:5">
      <c r="B47" s="496" t="s">
        <v>31</v>
      </c>
      <c r="C47" s="501"/>
      <c r="D47" s="504">
        <f>+Entradas!E65</f>
        <v>2</v>
      </c>
    </row>
    <row r="48" spans="2:5">
      <c r="B48" s="496" t="s">
        <v>32</v>
      </c>
      <c r="C48" s="501"/>
      <c r="D48" s="504">
        <f>+Entradas!E66</f>
        <v>2</v>
      </c>
    </row>
    <row r="49" spans="2:6" s="520" customFormat="1">
      <c r="B49" s="497" t="s">
        <v>33</v>
      </c>
      <c r="C49" s="502">
        <v>2</v>
      </c>
      <c r="D49" s="502">
        <f>+C38*C49</f>
        <v>2</v>
      </c>
    </row>
    <row r="50" spans="2:6" s="520" customFormat="1">
      <c r="B50" s="211" t="s">
        <v>880</v>
      </c>
      <c r="C50" s="498" t="str">
        <f>+Entradas!D68</f>
        <v>No</v>
      </c>
      <c r="D50" s="505">
        <f>+Entradas!E68</f>
        <v>0</v>
      </c>
      <c r="E50" s="624">
        <f>IF(D50,2,1)</f>
        <v>1</v>
      </c>
    </row>
    <row r="51" spans="2:6" s="520" customFormat="1">
      <c r="B51" s="483" t="s">
        <v>36</v>
      </c>
      <c r="C51" s="503" t="str">
        <f>+Entradas!D69</f>
        <v>Ninguno</v>
      </c>
      <c r="D51" s="502">
        <f>VLOOKUP($C$51,Parametros!$B$214:$C$217,2,0)</f>
        <v>0</v>
      </c>
    </row>
    <row r="52" spans="2:6" s="216" customFormat="1">
      <c r="B52" s="506" t="s">
        <v>79</v>
      </c>
      <c r="C52" s="432">
        <f>+Entradas!D48</f>
        <v>399.99999999999994</v>
      </c>
    </row>
    <row r="53" spans="2:6" s="216" customFormat="1">
      <c r="B53" s="506" t="s">
        <v>80</v>
      </c>
      <c r="C53" s="512">
        <f>+Entradas!D46</f>
        <v>0</v>
      </c>
      <c r="D53" s="429">
        <f>+C52*C53</f>
        <v>0</v>
      </c>
    </row>
    <row r="54" spans="2:6" s="216" customFormat="1">
      <c r="B54" s="506" t="s">
        <v>79</v>
      </c>
      <c r="C54" s="432">
        <f>+C52+D53</f>
        <v>399.99999999999994</v>
      </c>
    </row>
    <row r="55" spans="2:6">
      <c r="B55" s="506" t="s">
        <v>81</v>
      </c>
      <c r="C55" s="429">
        <v>6</v>
      </c>
    </row>
    <row r="56" spans="2:6">
      <c r="B56" s="506" t="s">
        <v>51</v>
      </c>
      <c r="C56" s="513">
        <v>4</v>
      </c>
    </row>
    <row r="57" spans="2:6">
      <c r="B57" s="506" t="s">
        <v>52</v>
      </c>
      <c r="C57" s="514">
        <f>+ROUNDUP(C58,0)</f>
        <v>15</v>
      </c>
    </row>
    <row r="58" spans="2:6">
      <c r="B58" s="506" t="s">
        <v>82</v>
      </c>
      <c r="C58" s="431">
        <f>+'Valores Insumos reclutamiento'!I15</f>
        <v>14.392857142857142</v>
      </c>
      <c r="F58" s="524"/>
    </row>
    <row r="59" spans="2:6">
      <c r="B59" s="507" t="s">
        <v>84</v>
      </c>
      <c r="C59" s="476">
        <v>18</v>
      </c>
    </row>
    <row r="60" spans="2:6" s="520" customFormat="1">
      <c r="B60" s="508" t="s">
        <v>85</v>
      </c>
      <c r="C60" s="514">
        <f>+'Valores Insumos reclutamiento'!I13</f>
        <v>7</v>
      </c>
    </row>
    <row r="61" spans="2:6" s="520" customFormat="1">
      <c r="B61" s="508" t="s">
        <v>86</v>
      </c>
      <c r="C61" s="430">
        <f>+'Valores Insumos reclutamiento'!I16</f>
        <v>1.75</v>
      </c>
    </row>
    <row r="62" spans="2:6" s="520" customFormat="1">
      <c r="B62" s="509" t="s">
        <v>54</v>
      </c>
      <c r="C62" s="515"/>
      <c r="D62" s="433" t="str">
        <f>+Entradas!E20</f>
        <v>Mas 82%</v>
      </c>
    </row>
    <row r="63" spans="2:6" s="520" customFormat="1">
      <c r="B63" s="510" t="s">
        <v>87</v>
      </c>
      <c r="C63" s="516">
        <f>VLOOKUP(D18,Parametros!$B$3:$AI$12,HLOOKUP(D62,Parametros!B1:AI2,2,0),0)</f>
        <v>12227.396000000001</v>
      </c>
      <c r="D63" s="516">
        <f>+C63</f>
        <v>12227.396000000001</v>
      </c>
    </row>
    <row r="64" spans="2:6" s="520" customFormat="1">
      <c r="B64" s="511" t="s">
        <v>88</v>
      </c>
      <c r="C64" s="517">
        <v>0.16522000000000001</v>
      </c>
      <c r="D64" s="516">
        <f>+D63*C64</f>
        <v>2020.2103671200002</v>
      </c>
    </row>
    <row r="65" spans="2:8">
      <c r="B65" s="484" t="s">
        <v>89</v>
      </c>
      <c r="C65" s="484" t="s">
        <v>90</v>
      </c>
      <c r="D65" s="484">
        <v>4111.28</v>
      </c>
    </row>
    <row r="66" spans="2:8" s="216" customFormat="1"/>
    <row r="67" spans="2:8">
      <c r="B67" s="211" t="s">
        <v>91</v>
      </c>
      <c r="C67" s="217"/>
      <c r="D67" s="438">
        <f>(IF(D14=1,(IFERROR((D63+D64)*C54,0)*E50),IF(D15=1,(IFERROR((D63+D64)*C54,0)*E50),0)))</f>
        <v>5699042.5468479991</v>
      </c>
      <c r="E67" s="543">
        <f>+D67/$C$52</f>
        <v>14247.606367119999</v>
      </c>
      <c r="F67" s="557"/>
      <c r="G67" s="523">
        <f>+D67-F67</f>
        <v>5699042.5468479991</v>
      </c>
      <c r="H67" s="559" t="e">
        <f t="shared" ref="H67:H83" si="0">+G67/F67</f>
        <v>#DIV/0!</v>
      </c>
    </row>
    <row r="68" spans="2:8">
      <c r="B68" s="211" t="s">
        <v>990</v>
      </c>
      <c r="C68" s="217"/>
      <c r="D68" s="438">
        <f>(IF(D14=2,(+VLOOKUP(D18,Parametros!$B$80:$AI$88,HLOOKUP(D62,Parametros!B1:AI2,2,0),0)*F14),IF(D15=2,(+VLOOKUP(D18,Parametros!$B$80:$AI$88,HLOOKUP(D62,Parametros!B1:AI2,2,0),0)*F14),0)))</f>
        <v>0</v>
      </c>
      <c r="E68" s="543">
        <f t="shared" ref="E68:E75" si="1">+D68/$C$52</f>
        <v>0</v>
      </c>
      <c r="F68" s="557"/>
      <c r="G68" s="523">
        <f t="shared" ref="G68:G78" si="2">+D68-F68</f>
        <v>0</v>
      </c>
      <c r="H68" s="559" t="e">
        <f t="shared" si="0"/>
        <v>#DIV/0!</v>
      </c>
    </row>
    <row r="69" spans="2:8">
      <c r="B69" s="211" t="s">
        <v>991</v>
      </c>
      <c r="C69" s="217"/>
      <c r="D69" s="438">
        <f>IF(D14=7,+Entradas!D15,0)</f>
        <v>0</v>
      </c>
      <c r="E69" s="543">
        <f t="shared" si="1"/>
        <v>0</v>
      </c>
      <c r="F69" s="557"/>
      <c r="G69" s="523">
        <f t="shared" si="2"/>
        <v>0</v>
      </c>
      <c r="H69" s="559" t="e">
        <f t="shared" si="0"/>
        <v>#DIV/0!</v>
      </c>
    </row>
    <row r="70" spans="2:8">
      <c r="B70" s="211" t="s">
        <v>995</v>
      </c>
      <c r="C70" s="217"/>
      <c r="D70" s="438">
        <f>IF(D14=6,+Entradas!D14,0)</f>
        <v>0</v>
      </c>
      <c r="E70" s="543">
        <f t="shared" si="1"/>
        <v>0</v>
      </c>
      <c r="F70" s="557"/>
      <c r="G70" s="523">
        <f t="shared" si="2"/>
        <v>0</v>
      </c>
      <c r="H70" s="559" t="e">
        <f t="shared" si="0"/>
        <v>#DIV/0!</v>
      </c>
    </row>
    <row r="71" spans="2:8">
      <c r="B71" s="211" t="s">
        <v>1398</v>
      </c>
      <c r="C71" s="217"/>
      <c r="D71" s="438">
        <f>(IF(D14=10,(+VLOOKUP(D18,Parametros!$B$96:$AI$104,HLOOKUP(D62,Parametros!B94:AI95,2,0),0)*F14),IF(D15=3,(+VLOOKUP(D18,Parametros!$B$96:$AI$104,HLOOKUP(D62,Parametros!B94:AI95,2,0),0)*F14),0)))</f>
        <v>0</v>
      </c>
      <c r="E71" s="543">
        <f t="shared" si="1"/>
        <v>0</v>
      </c>
      <c r="F71" s="557"/>
      <c r="G71" s="523">
        <f t="shared" ref="G71:G75" si="3">+D71-F71</f>
        <v>0</v>
      </c>
      <c r="H71" s="559" t="e">
        <f t="shared" ref="H71:H75" si="4">+G71/F71</f>
        <v>#DIV/0!</v>
      </c>
    </row>
    <row r="72" spans="2:8">
      <c r="B72" s="211" t="s">
        <v>1400</v>
      </c>
      <c r="C72" s="438">
        <f>81000*9.53%+81000</f>
        <v>88719.3</v>
      </c>
      <c r="D72" s="438">
        <f>+C72*Entradas!H15*Entradas!G15*6</f>
        <v>0</v>
      </c>
      <c r="E72" s="543">
        <f t="shared" si="1"/>
        <v>0</v>
      </c>
      <c r="F72" s="557"/>
      <c r="G72" s="523">
        <f t="shared" si="3"/>
        <v>0</v>
      </c>
      <c r="H72" s="559" t="e">
        <f t="shared" si="4"/>
        <v>#DIV/0!</v>
      </c>
    </row>
    <row r="73" spans="2:8">
      <c r="B73" s="211" t="s">
        <v>1405</v>
      </c>
      <c r="C73" s="438"/>
      <c r="D73" s="438">
        <f>(IF(D14=5,(IFERROR(MYSTERY!M39,0)),0))</f>
        <v>0</v>
      </c>
      <c r="E73" s="543">
        <f t="shared" si="1"/>
        <v>0</v>
      </c>
      <c r="F73" s="557"/>
      <c r="G73" s="523">
        <f t="shared" si="3"/>
        <v>0</v>
      </c>
      <c r="H73" s="559" t="e">
        <f t="shared" si="4"/>
        <v>#DIV/0!</v>
      </c>
    </row>
    <row r="74" spans="2:8">
      <c r="B74" s="211" t="s">
        <v>1577</v>
      </c>
      <c r="C74" s="438">
        <f>81000*9.53%+81000</f>
        <v>88719.3</v>
      </c>
      <c r="D74" s="438">
        <f>(IF(D14=8,(IFERROR((C74)*((C56+C57+C58)*(C60+C61)),0)),0))</f>
        <v>0</v>
      </c>
      <c r="E74" s="543">
        <f t="shared" si="1"/>
        <v>0</v>
      </c>
      <c r="F74" s="557"/>
      <c r="G74" s="523">
        <f t="shared" si="3"/>
        <v>0</v>
      </c>
      <c r="H74" s="559" t="e">
        <f t="shared" si="4"/>
        <v>#DIV/0!</v>
      </c>
    </row>
    <row r="75" spans="2:8">
      <c r="B75" s="211" t="s">
        <v>1578</v>
      </c>
      <c r="C75" s="438"/>
      <c r="D75" s="438">
        <f>IF(D14=9,+MYSTERY!M39,0)</f>
        <v>0</v>
      </c>
      <c r="E75" s="543">
        <f t="shared" si="1"/>
        <v>0</v>
      </c>
      <c r="F75" s="557"/>
      <c r="G75" s="523">
        <f t="shared" si="3"/>
        <v>0</v>
      </c>
      <c r="H75" s="559" t="e">
        <f t="shared" si="4"/>
        <v>#DIV/0!</v>
      </c>
    </row>
    <row r="76" spans="2:8" ht="14.1" customHeight="1">
      <c r="B76" s="212" t="s">
        <v>92</v>
      </c>
      <c r="C76" s="219"/>
      <c r="D76" s="438">
        <f>IFERROR('Valores Insumos reclutamiento'!$F$59,0)</f>
        <v>0</v>
      </c>
      <c r="E76" s="543">
        <f>+D76/C54</f>
        <v>0</v>
      </c>
      <c r="F76" s="557"/>
      <c r="G76" s="523">
        <f t="shared" si="2"/>
        <v>0</v>
      </c>
      <c r="H76" s="559" t="e">
        <f t="shared" si="0"/>
        <v>#DIV/0!</v>
      </c>
    </row>
    <row r="77" spans="2:8">
      <c r="B77" s="212" t="s">
        <v>93</v>
      </c>
      <c r="C77" s="438">
        <f>+'Valores Insumos reclutamiento'!G52*1.02</f>
        <v>0</v>
      </c>
      <c r="D77" s="252">
        <f>IF(D14&lt;5,(IFERROR($C$77*$C$54*$D$10,0)),0)</f>
        <v>0</v>
      </c>
      <c r="E77" s="567"/>
      <c r="F77" s="557"/>
      <c r="G77" s="523">
        <f t="shared" si="2"/>
        <v>0</v>
      </c>
      <c r="H77" s="559" t="e">
        <f t="shared" si="0"/>
        <v>#DIV/0!</v>
      </c>
    </row>
    <row r="78" spans="2:8">
      <c r="B78" s="212" t="s">
        <v>94</v>
      </c>
      <c r="C78" s="252">
        <f>3484*5.2%+3484</f>
        <v>3665.1680000000001</v>
      </c>
      <c r="D78" s="252">
        <f>IFERROR(($C$78*$C$54)*'Valores Insumos reclutamiento'!$C$2*$D$10,0)*D45</f>
        <v>0</v>
      </c>
      <c r="E78" s="1269">
        <f>+D78+D77</f>
        <v>0</v>
      </c>
      <c r="F78" s="557"/>
      <c r="G78" s="523">
        <f t="shared" si="2"/>
        <v>0</v>
      </c>
      <c r="H78" s="559" t="e">
        <f t="shared" si="0"/>
        <v>#DIV/0!</v>
      </c>
    </row>
    <row r="79" spans="2:8">
      <c r="B79" s="212" t="s">
        <v>95</v>
      </c>
      <c r="C79" s="252">
        <f>3750*5.2%+3750</f>
        <v>3945</v>
      </c>
      <c r="D79" s="251">
        <f>IF(D14=1,(IFERROR(($C$79*$C$57*($C$60*$C$38)),0)*$E$50),0)</f>
        <v>414225</v>
      </c>
      <c r="E79" s="542"/>
      <c r="F79" s="557"/>
      <c r="G79" s="523">
        <f t="shared" ref="G79:G98" si="5">+D79-F79</f>
        <v>414225</v>
      </c>
      <c r="H79" s="559" t="e">
        <f t="shared" si="0"/>
        <v>#DIV/0!</v>
      </c>
    </row>
    <row r="80" spans="2:8">
      <c r="B80" s="212" t="s">
        <v>96</v>
      </c>
      <c r="C80" s="252">
        <f>7500*5.2%+7500</f>
        <v>7890</v>
      </c>
      <c r="D80" s="251">
        <f>IF(D14=1,(IFERROR(($C$80*C57)*(C61*C38),0)*E50),0)</f>
        <v>207112.5</v>
      </c>
      <c r="E80" s="542"/>
      <c r="F80" s="557"/>
      <c r="G80" s="523">
        <f t="shared" si="5"/>
        <v>207112.5</v>
      </c>
      <c r="H80" s="559" t="e">
        <f t="shared" si="0"/>
        <v>#DIV/0!</v>
      </c>
    </row>
    <row r="81" spans="2:11">
      <c r="B81" s="212" t="s">
        <v>945</v>
      </c>
      <c r="C81" s="438">
        <f>+'Valores Insumos reclutamiento'!F106</f>
        <v>14728</v>
      </c>
      <c r="D81" s="251">
        <f>IFERROR('Valores Insumos reclutamiento'!$F$107*$D$10*D37,0)</f>
        <v>0</v>
      </c>
      <c r="E81" s="542"/>
      <c r="F81" s="558"/>
      <c r="G81" s="523">
        <f t="shared" si="5"/>
        <v>0</v>
      </c>
      <c r="H81" s="559" t="e">
        <f t="shared" si="0"/>
        <v>#DIV/0!</v>
      </c>
    </row>
    <row r="82" spans="2:11">
      <c r="B82" s="212" t="s">
        <v>847</v>
      </c>
      <c r="C82" s="252">
        <f>15000*5.2%+15000</f>
        <v>15780</v>
      </c>
      <c r="D82" s="251">
        <f>IFERROR(($C$82*C54)*(Entradas!$A$58),0)</f>
        <v>0</v>
      </c>
      <c r="E82" s="542"/>
      <c r="F82" s="558"/>
      <c r="G82" s="523">
        <f>+D82-F82</f>
        <v>0</v>
      </c>
      <c r="H82" s="559" t="e">
        <f t="shared" si="0"/>
        <v>#DIV/0!</v>
      </c>
    </row>
    <row r="83" spans="2:11">
      <c r="B83" s="212" t="s">
        <v>848</v>
      </c>
      <c r="C83" s="252">
        <f>28000*5.2%+28000</f>
        <v>29456</v>
      </c>
      <c r="D83" s="251">
        <f>IF(Entradas!$E$59=1,($C$83*$C$54),0)</f>
        <v>0</v>
      </c>
      <c r="E83" s="542"/>
      <c r="F83" s="558"/>
      <c r="G83" s="523">
        <f t="shared" ref="G83" si="6">+D83-F83</f>
        <v>0</v>
      </c>
      <c r="H83" s="559" t="e">
        <f t="shared" si="0"/>
        <v>#DIV/0!</v>
      </c>
    </row>
    <row r="84" spans="2:11">
      <c r="B84" s="212" t="s">
        <v>97</v>
      </c>
      <c r="C84" s="252">
        <f>90000*5.2%+90000</f>
        <v>94680</v>
      </c>
      <c r="D84" s="252">
        <f>IF(D14&lt;5,(IFERROR(($C$84*2*$C$38)*$D$13,0)),0)</f>
        <v>0</v>
      </c>
      <c r="E84" s="542"/>
      <c r="F84" s="557"/>
      <c r="G84" s="523">
        <f t="shared" si="5"/>
        <v>0</v>
      </c>
      <c r="H84" s="559" t="e">
        <f t="shared" ref="H84:H85" si="7">+G84/F84</f>
        <v>#DIV/0!</v>
      </c>
      <c r="J84" s="524">
        <f>+D93+D95+D97</f>
        <v>1553261.9019999998</v>
      </c>
      <c r="K84" s="525">
        <f>+J84/(1-30%)</f>
        <v>2218945.574285714</v>
      </c>
    </row>
    <row r="85" spans="2:11">
      <c r="B85" s="212" t="s">
        <v>98</v>
      </c>
      <c r="C85" s="252">
        <f>81000*9.53%+81000</f>
        <v>88719.3</v>
      </c>
      <c r="D85" s="251">
        <f>IF(D14&lt;5,(IFERROR(($C$85*$C$38)*$D$10,0)),0)</f>
        <v>0</v>
      </c>
      <c r="E85" s="542"/>
      <c r="F85" s="557"/>
      <c r="G85" s="523">
        <f t="shared" si="5"/>
        <v>0</v>
      </c>
      <c r="H85" s="559" t="e">
        <f t="shared" si="7"/>
        <v>#DIV/0!</v>
      </c>
      <c r="K85" s="226">
        <v>5547363.9357142895</v>
      </c>
    </row>
    <row r="86" spans="2:11">
      <c r="B86" s="445" t="s">
        <v>99</v>
      </c>
      <c r="C86" s="252">
        <f>81000*9.53%+81000</f>
        <v>88719.3</v>
      </c>
      <c r="D86" s="251">
        <f>IFERROR((($C$86*$C$57)*$C$38/$D$51)*$D$10,0)</f>
        <v>0</v>
      </c>
      <c r="E86" s="542"/>
      <c r="F86" s="557"/>
      <c r="G86" s="523">
        <f t="shared" si="5"/>
        <v>0</v>
      </c>
      <c r="H86" s="559" t="e">
        <f t="shared" ref="H86:H101" si="8">+G86/F86</f>
        <v>#DIV/0!</v>
      </c>
    </row>
    <row r="87" spans="2:11">
      <c r="B87" s="221" t="s">
        <v>100</v>
      </c>
      <c r="C87" s="252">
        <f>81000*9.53%+81000</f>
        <v>88719.3</v>
      </c>
      <c r="D87" s="251">
        <f>IF(D14&lt;5,(IFERROR((($C$87*($C$57*$D$49)))*$D$10,0)*$D$13),0)</f>
        <v>0</v>
      </c>
      <c r="E87" s="542"/>
      <c r="F87" s="557"/>
      <c r="G87" s="523">
        <f t="shared" si="5"/>
        <v>0</v>
      </c>
      <c r="H87" s="559" t="e">
        <f t="shared" si="8"/>
        <v>#DIV/0!</v>
      </c>
      <c r="K87" s="226">
        <v>6656836.72285714</v>
      </c>
    </row>
    <row r="88" spans="2:11">
      <c r="B88" s="221" t="s">
        <v>101</v>
      </c>
      <c r="C88" s="252">
        <f>81000*9.53%+81000</f>
        <v>88719.3</v>
      </c>
      <c r="D88" s="251">
        <f>IF(D14&lt;5,(IFERROR((($C$88*('Valores Insumos reclutamiento'!$B$12&gt;0))*$C$57)*$D$10,0)*$D$13),0)</f>
        <v>0</v>
      </c>
      <c r="E88" s="542"/>
      <c r="F88" s="557"/>
      <c r="G88" s="523">
        <f t="shared" si="5"/>
        <v>0</v>
      </c>
      <c r="H88" s="559" t="e">
        <f t="shared" si="8"/>
        <v>#DIV/0!</v>
      </c>
    </row>
    <row r="89" spans="2:11">
      <c r="B89" s="212" t="s">
        <v>102</v>
      </c>
      <c r="C89" s="252">
        <f>1100*5.2%+1100</f>
        <v>1157.2</v>
      </c>
      <c r="D89" s="252">
        <f>IF(D14=1,(IFERROR($C$89*$D$35*$C$60*$C$38,0)),0)</f>
        <v>0</v>
      </c>
      <c r="E89" s="542"/>
      <c r="F89" s="557"/>
      <c r="G89" s="523">
        <f t="shared" si="5"/>
        <v>0</v>
      </c>
      <c r="H89" s="559" t="e">
        <f t="shared" si="8"/>
        <v>#DIV/0!</v>
      </c>
    </row>
    <row r="90" spans="2:11">
      <c r="B90" s="212" t="s">
        <v>103</v>
      </c>
      <c r="C90" s="252">
        <f>102037*9.53%+102037</f>
        <v>111761.12609999999</v>
      </c>
      <c r="D90" s="252">
        <f>IF(D14&lt;5,(IFERROR(((($C$90*$C$64)+$C$90)*($C$61))*(($C$57+1)),0)),0)</f>
        <v>3646336.3819187758</v>
      </c>
      <c r="E90" s="1269">
        <f>+D90+D91</f>
        <v>5736147.7886687759</v>
      </c>
      <c r="F90" s="557"/>
      <c r="G90" s="523">
        <f t="shared" si="5"/>
        <v>3646336.3819187758</v>
      </c>
      <c r="H90" s="559" t="e">
        <f t="shared" si="8"/>
        <v>#DIV/0!</v>
      </c>
    </row>
    <row r="91" spans="2:11">
      <c r="B91" s="212" t="s">
        <v>104</v>
      </c>
      <c r="C91" s="252">
        <f>134681*9.53%+134681</f>
        <v>147516.0993</v>
      </c>
      <c r="D91" s="252">
        <f>IF(D14&lt;5,(IFERROR(($C$91)*((($C$57+C56)/1.5)+(3/2)),0)),0)</f>
        <v>2089811.4067499998</v>
      </c>
      <c r="E91" s="542"/>
      <c r="F91" s="557"/>
      <c r="G91" s="523">
        <f t="shared" si="5"/>
        <v>2089811.4067499998</v>
      </c>
      <c r="H91" s="559" t="e">
        <f t="shared" si="8"/>
        <v>#DIV/0!</v>
      </c>
    </row>
    <row r="92" spans="2:11">
      <c r="B92" s="212" t="s">
        <v>105</v>
      </c>
      <c r="C92" s="252">
        <f>28403*9.53%+28403</f>
        <v>31109.805899999999</v>
      </c>
      <c r="D92" s="252">
        <f>IF(D14&lt;5,(IFERROR($C$92*($C$60+('Valores Insumos reclutamiento'!H13/MuestraTec1!L29)+$C$61)*$C$38,0)),0)</f>
        <v>365540.21932500001</v>
      </c>
      <c r="E92" s="542"/>
      <c r="F92" s="557"/>
      <c r="G92" s="523">
        <f t="shared" si="5"/>
        <v>365540.21932500001</v>
      </c>
      <c r="H92" s="559" t="e">
        <f t="shared" si="8"/>
        <v>#DIV/0!</v>
      </c>
    </row>
    <row r="93" spans="2:11">
      <c r="B93" s="212" t="s">
        <v>106</v>
      </c>
      <c r="C93" s="252">
        <f>28727*9.53%+28727</f>
        <v>31464.683099999998</v>
      </c>
      <c r="D93" s="225">
        <f>IF(D14&lt;5,(IFERROR($C$93*($C$54/12),0)),0)</f>
        <v>1048822.7699999998</v>
      </c>
      <c r="E93" s="543">
        <f>+D93/(1-21.45%)</f>
        <v>1335229.4971355821</v>
      </c>
      <c r="F93" s="557"/>
      <c r="G93" s="523">
        <f t="shared" si="5"/>
        <v>1048822.7699999998</v>
      </c>
      <c r="H93" s="559" t="e">
        <f t="shared" si="8"/>
        <v>#DIV/0!</v>
      </c>
    </row>
    <row r="94" spans="2:11">
      <c r="B94" s="212" t="s">
        <v>107</v>
      </c>
      <c r="C94" s="252">
        <f>25660*9.53%+25660</f>
        <v>28105.398000000001</v>
      </c>
      <c r="D94" s="251">
        <f>IFERROR(($C$94*Codificación!$V$22)*$D$27,0)</f>
        <v>0</v>
      </c>
      <c r="E94" s="543">
        <f>+D94/(1-21.45%)</f>
        <v>0</v>
      </c>
      <c r="F94" s="557"/>
      <c r="G94" s="523">
        <f t="shared" si="5"/>
        <v>0</v>
      </c>
      <c r="H94" s="559" t="e">
        <f t="shared" si="8"/>
        <v>#DIV/0!</v>
      </c>
    </row>
    <row r="95" spans="2:11">
      <c r="B95" s="221" t="s">
        <v>108</v>
      </c>
      <c r="C95" s="252">
        <f>137*5.2%+137</f>
        <v>144.124</v>
      </c>
      <c r="D95" s="225">
        <f>IF(D14&lt;5,(+$C$95*(($C$54*35%)*5)),0)</f>
        <v>100886.79999999997</v>
      </c>
      <c r="E95" s="543">
        <f>+D95/(1-21.45%)</f>
        <v>128436.40992998087</v>
      </c>
      <c r="F95" s="557"/>
      <c r="G95" s="523">
        <f t="shared" si="5"/>
        <v>100886.79999999997</v>
      </c>
      <c r="H95" s="559" t="e">
        <f t="shared" si="8"/>
        <v>#DIV/0!</v>
      </c>
    </row>
    <row r="96" spans="2:11">
      <c r="B96" s="1227" t="s">
        <v>2163</v>
      </c>
      <c r="C96" s="252">
        <v>215</v>
      </c>
      <c r="D96" s="225">
        <f>IF(D50=1,(C96*4*150)+(C85*(C57+3)*2),0)</f>
        <v>0</v>
      </c>
      <c r="E96" s="542"/>
      <c r="F96" s="557"/>
      <c r="G96" s="523"/>
      <c r="H96" s="559"/>
    </row>
    <row r="97" spans="2:8">
      <c r="B97" s="221" t="s">
        <v>109</v>
      </c>
      <c r="C97" s="252">
        <f>27633*9.53%+27633</f>
        <v>30266.424899999998</v>
      </c>
      <c r="D97" s="225">
        <f>IF(D14&lt;5,(+$C$97*($C$54/30)),0)</f>
        <v>403552.33199999994</v>
      </c>
      <c r="E97" s="543">
        <f>+D97/(1-21.45%)</f>
        <v>513752.17313812854</v>
      </c>
      <c r="F97" s="557"/>
      <c r="G97" s="227">
        <f t="shared" si="5"/>
        <v>403552.33199999994</v>
      </c>
      <c r="H97" s="559" t="e">
        <f t="shared" si="8"/>
        <v>#DIV/0!</v>
      </c>
    </row>
    <row r="98" spans="2:8">
      <c r="B98" s="212" t="s">
        <v>111</v>
      </c>
      <c r="C98" s="544">
        <f>0.19*5.2%+0.19</f>
        <v>0.19988</v>
      </c>
      <c r="D98" s="252">
        <f>+($C$98*$D$65)*$C$54</f>
        <v>328705.05855999998</v>
      </c>
      <c r="E98" s="1273">
        <f>+E97+E95+E93</f>
        <v>1977418.0802036915</v>
      </c>
      <c r="F98" s="557"/>
      <c r="G98" s="523">
        <f t="shared" si="5"/>
        <v>328705.05855999998</v>
      </c>
      <c r="H98" s="559" t="e">
        <f t="shared" si="8"/>
        <v>#DIV/0!</v>
      </c>
    </row>
    <row r="99" spans="2:8">
      <c r="B99" s="212" t="s">
        <v>883</v>
      </c>
      <c r="C99" s="544"/>
      <c r="D99" s="551">
        <f>+$C$34</f>
        <v>0</v>
      </c>
      <c r="E99" s="542"/>
      <c r="F99" s="557"/>
      <c r="G99" s="523">
        <f t="shared" ref="G99:G110" si="9">+D99-F99</f>
        <v>0</v>
      </c>
      <c r="H99" s="559" t="e">
        <f t="shared" si="8"/>
        <v>#DIV/0!</v>
      </c>
    </row>
    <row r="100" spans="2:8">
      <c r="B100" s="212" t="s">
        <v>2237</v>
      </c>
      <c r="C100" s="544"/>
      <c r="D100" s="551">
        <f>+Entradas!D40</f>
        <v>0</v>
      </c>
      <c r="E100" s="542"/>
      <c r="F100" s="557"/>
      <c r="G100" s="523"/>
      <c r="H100" s="559"/>
    </row>
    <row r="101" spans="2:8">
      <c r="B101" s="212" t="s">
        <v>112</v>
      </c>
      <c r="C101" s="252">
        <f>650000*5.2%+650000</f>
        <v>683800</v>
      </c>
      <c r="D101" s="252">
        <f>IF(D14&lt;5,(((+'Valores Insumos reclutamiento'!$E$67))*$D$13+E101),0)</f>
        <v>0</v>
      </c>
      <c r="E101" s="556"/>
      <c r="F101" s="557"/>
      <c r="G101" s="523">
        <f t="shared" si="9"/>
        <v>0</v>
      </c>
      <c r="H101" s="559" t="e">
        <f t="shared" si="8"/>
        <v>#DIV/0!</v>
      </c>
    </row>
    <row r="102" spans="2:8">
      <c r="B102" s="212" t="s">
        <v>113</v>
      </c>
      <c r="C102" s="252">
        <f>841000*5.2%+841000</f>
        <v>884732</v>
      </c>
      <c r="D102" s="252">
        <f>IF(D14&lt;5,((+'Valores Insumos reclutamiento'!$E$68)*$D$13+E102),0)</f>
        <v>0</v>
      </c>
      <c r="E102" s="556">
        <f>+'Valores Insumos reclutamiento'!G68</f>
        <v>0</v>
      </c>
      <c r="F102" s="557"/>
      <c r="G102" s="523">
        <f t="shared" si="9"/>
        <v>0</v>
      </c>
      <c r="H102" s="559" t="e">
        <f t="shared" ref="H102:H109" si="10">+G102/F102</f>
        <v>#DIV/0!</v>
      </c>
    </row>
    <row r="103" spans="2:8">
      <c r="B103" s="212" t="s">
        <v>114</v>
      </c>
      <c r="C103" s="252">
        <f>860000*5.2%+860000</f>
        <v>904720</v>
      </c>
      <c r="D103" s="252">
        <f>IF(D14&lt;5,((+'Valores Insumos reclutamiento'!$E$69)*$D$13+E103),0)</f>
        <v>0</v>
      </c>
      <c r="E103" s="556"/>
      <c r="F103" s="557"/>
      <c r="G103" s="523">
        <f t="shared" si="9"/>
        <v>0</v>
      </c>
      <c r="H103" s="559" t="e">
        <f t="shared" si="10"/>
        <v>#DIV/0!</v>
      </c>
    </row>
    <row r="104" spans="2:8">
      <c r="B104" s="212" t="s">
        <v>115</v>
      </c>
      <c r="C104" s="252">
        <f>600000*5.2%+600000</f>
        <v>631200</v>
      </c>
      <c r="D104" s="252">
        <f>IF(D14&lt;5,((+'Valores Insumos reclutamiento'!$E$70)*$D$13+E104),0)</f>
        <v>0</v>
      </c>
      <c r="E104" s="556">
        <f>+'Valores Insumos reclutamiento'!G70</f>
        <v>0</v>
      </c>
      <c r="F104" s="557"/>
      <c r="G104" s="523">
        <f t="shared" si="9"/>
        <v>0</v>
      </c>
      <c r="H104" s="559" t="e">
        <f t="shared" si="10"/>
        <v>#DIV/0!</v>
      </c>
    </row>
    <row r="105" spans="2:8">
      <c r="B105" s="212" t="s">
        <v>947</v>
      </c>
      <c r="C105" s="551"/>
      <c r="D105" s="252"/>
      <c r="E105" s="556">
        <f t="shared" ref="E105:E109" si="11">IF($D$42=1,(C105*1),0)</f>
        <v>0</v>
      </c>
      <c r="F105" s="557"/>
      <c r="G105" s="523">
        <f t="shared" si="9"/>
        <v>0</v>
      </c>
      <c r="H105" s="559" t="e">
        <f t="shared" si="10"/>
        <v>#DIV/0!</v>
      </c>
    </row>
    <row r="106" spans="2:8">
      <c r="B106" s="212" t="s">
        <v>948</v>
      </c>
      <c r="C106" s="551"/>
      <c r="D106" s="252"/>
      <c r="E106" s="556">
        <f t="shared" si="11"/>
        <v>0</v>
      </c>
      <c r="F106" s="557"/>
      <c r="G106" s="523">
        <f t="shared" si="9"/>
        <v>0</v>
      </c>
      <c r="H106" s="559" t="e">
        <f t="shared" si="10"/>
        <v>#DIV/0!</v>
      </c>
    </row>
    <row r="107" spans="2:8">
      <c r="B107" s="212" t="s">
        <v>949</v>
      </c>
      <c r="C107" s="551"/>
      <c r="D107" s="252"/>
      <c r="E107" s="556">
        <f t="shared" si="11"/>
        <v>0</v>
      </c>
      <c r="F107" s="557"/>
      <c r="G107" s="523">
        <f t="shared" si="9"/>
        <v>0</v>
      </c>
      <c r="H107" s="559" t="e">
        <f t="shared" si="10"/>
        <v>#DIV/0!</v>
      </c>
    </row>
    <row r="108" spans="2:8">
      <c r="B108" s="212" t="s">
        <v>950</v>
      </c>
      <c r="C108" s="551"/>
      <c r="D108" s="252"/>
      <c r="E108" s="556">
        <f t="shared" si="11"/>
        <v>0</v>
      </c>
      <c r="F108" s="557"/>
      <c r="G108" s="523">
        <f t="shared" si="9"/>
        <v>0</v>
      </c>
      <c r="H108" s="559" t="e">
        <f t="shared" si="10"/>
        <v>#DIV/0!</v>
      </c>
    </row>
    <row r="109" spans="2:8">
      <c r="B109" s="212" t="s">
        <v>951</v>
      </c>
      <c r="C109" s="551"/>
      <c r="D109" s="252"/>
      <c r="E109" s="556">
        <f t="shared" si="11"/>
        <v>0</v>
      </c>
      <c r="F109" s="557"/>
      <c r="G109" s="523">
        <f t="shared" si="9"/>
        <v>0</v>
      </c>
      <c r="H109" s="559" t="e">
        <f t="shared" si="10"/>
        <v>#DIV/0!</v>
      </c>
    </row>
    <row r="110" spans="2:8">
      <c r="B110" s="211" t="s">
        <v>934</v>
      </c>
      <c r="C110" s="552">
        <f>+Entradas!F19</f>
        <v>0</v>
      </c>
      <c r="D110" s="252">
        <f>+C110*D16</f>
        <v>0</v>
      </c>
      <c r="E110" s="542"/>
      <c r="F110" s="557"/>
      <c r="G110" s="523">
        <f t="shared" si="9"/>
        <v>0</v>
      </c>
      <c r="H110" s="559" t="e">
        <f>+G110/F110</f>
        <v>#DIV/0!</v>
      </c>
    </row>
    <row r="111" spans="2:8">
      <c r="D111" s="222"/>
      <c r="E111" s="526" t="s">
        <v>116</v>
      </c>
      <c r="H111" s="559"/>
    </row>
    <row r="112" spans="2:8">
      <c r="B112" s="224" t="s">
        <v>117</v>
      </c>
      <c r="C112" s="225"/>
      <c r="D112" s="225">
        <f>SUM(D67:D110)+E77</f>
        <v>14304035.015401777</v>
      </c>
      <c r="E112" s="550">
        <f>+D112/$C$52</f>
        <v>35760.087538504449</v>
      </c>
      <c r="F112" s="525"/>
      <c r="G112" s="525"/>
      <c r="H112" s="559"/>
    </row>
    <row r="113" spans="2:9">
      <c r="B113" s="214" t="s">
        <v>118</v>
      </c>
      <c r="C113" s="223"/>
      <c r="D113" s="223">
        <f>+Entradas!D62+'Valores Insumos reclutamiento'!F107</f>
        <v>11572</v>
      </c>
      <c r="F113" s="557"/>
      <c r="G113" s="524">
        <f>+F113-D113</f>
        <v>-11572</v>
      </c>
      <c r="H113" s="559" t="e">
        <f>+G113/F113</f>
        <v>#DIV/0!</v>
      </c>
    </row>
    <row r="114" spans="2:9">
      <c r="B114" s="212" t="s">
        <v>119</v>
      </c>
      <c r="C114" s="254"/>
      <c r="D114" s="252">
        <f>+'Valores Insumos reclutamiento'!$E$66+Entradas!D41</f>
        <v>0</v>
      </c>
      <c r="E114" s="525"/>
      <c r="F114" s="557"/>
      <c r="G114" s="524">
        <f>+F114-D114</f>
        <v>0</v>
      </c>
      <c r="H114" s="559" t="e">
        <f>+G114/F114</f>
        <v>#DIV/0!</v>
      </c>
    </row>
    <row r="115" spans="2:9">
      <c r="B115" s="212" t="s">
        <v>110</v>
      </c>
      <c r="C115" s="253">
        <f>1600*5.2%+1600</f>
        <v>1683.2</v>
      </c>
      <c r="D115" s="253">
        <f>IF(D14&lt;5,(+C115*C54),0)</f>
        <v>673279.99999999988</v>
      </c>
      <c r="E115" s="524">
        <f>+D115+D98</f>
        <v>1001985.0585599998</v>
      </c>
      <c r="F115" s="557"/>
      <c r="G115" s="523">
        <f>+D115-F115</f>
        <v>673279.99999999988</v>
      </c>
      <c r="H115" s="560" t="e">
        <f>+G115/F115</f>
        <v>#DIV/0!</v>
      </c>
    </row>
    <row r="116" spans="2:9">
      <c r="B116" s="214" t="s">
        <v>120</v>
      </c>
      <c r="C116" s="223"/>
      <c r="D116" s="223">
        <f>+D112+D113+D114+D115+MYSTERY!M49</f>
        <v>14988887.015401777</v>
      </c>
      <c r="E116" s="550">
        <f>+D116/$C$52</f>
        <v>37472.217538504447</v>
      </c>
    </row>
    <row r="117" spans="2:9">
      <c r="B117" s="255" t="s">
        <v>121</v>
      </c>
      <c r="C117" s="256">
        <v>0.19</v>
      </c>
      <c r="D117" s="256">
        <v>0.19</v>
      </c>
      <c r="F117" s="524"/>
    </row>
    <row r="118" spans="2:9">
      <c r="C118" s="227"/>
      <c r="D118" s="227"/>
      <c r="F118" s="524"/>
    </row>
    <row r="119" spans="2:9">
      <c r="B119" s="548" t="s">
        <v>122</v>
      </c>
      <c r="C119" s="218">
        <f>64142*5.74%+64142</f>
        <v>67823.750799999994</v>
      </c>
      <c r="D119" s="218">
        <f>+($C$119)*((C57+C56+Entradas!G15)*1)</f>
        <v>1288651.2651999998</v>
      </c>
      <c r="E119" s="226">
        <f>+D119/4</f>
        <v>322162.81629999995</v>
      </c>
      <c r="F119" s="557"/>
      <c r="G119" s="524">
        <f>+F119-D119</f>
        <v>-1288651.2651999998</v>
      </c>
      <c r="H119" s="559" t="e">
        <f t="shared" ref="H119:H128" si="12">+G119/F119</f>
        <v>#DIV/0!</v>
      </c>
    </row>
    <row r="120" spans="2:9">
      <c r="B120" s="547" t="s">
        <v>45</v>
      </c>
      <c r="C120" s="220">
        <v>60255</v>
      </c>
      <c r="D120" s="218">
        <f>+$C$120*(C59/2)*D24</f>
        <v>0</v>
      </c>
      <c r="E120" s="226">
        <v>675325</v>
      </c>
      <c r="F120" s="557"/>
      <c r="G120" s="524">
        <f>+F120-D120</f>
        <v>0</v>
      </c>
      <c r="H120" s="559" t="e">
        <f t="shared" si="12"/>
        <v>#DIV/0!</v>
      </c>
    </row>
    <row r="121" spans="2:9">
      <c r="B121" s="547" t="s">
        <v>66</v>
      </c>
      <c r="C121" s="220">
        <f>64142*5.74%+64142</f>
        <v>67823.750799999994</v>
      </c>
      <c r="D121" s="260">
        <f>+Entradas!D99</f>
        <v>0</v>
      </c>
      <c r="F121" s="557"/>
      <c r="G121" s="523">
        <f>+D121-F121</f>
        <v>0</v>
      </c>
      <c r="H121" s="560" t="e">
        <f t="shared" si="12"/>
        <v>#DIV/0!</v>
      </c>
    </row>
    <row r="122" spans="2:9">
      <c r="B122" s="501" t="s">
        <v>46</v>
      </c>
      <c r="C122" s="220">
        <v>58764</v>
      </c>
      <c r="D122" s="218">
        <f>($C$122*+VLOOKUP($D$18,Parametros!$B$171:$C$179,2,0)*D26)/F26</f>
        <v>1645392</v>
      </c>
      <c r="F122" s="557"/>
      <c r="G122" s="524">
        <f>+F122-D122</f>
        <v>-1645392</v>
      </c>
      <c r="H122" s="559" t="e">
        <f t="shared" si="12"/>
        <v>#DIV/0!</v>
      </c>
    </row>
    <row r="123" spans="2:9">
      <c r="B123" s="501" t="s">
        <v>123</v>
      </c>
      <c r="C123" s="220">
        <v>58764</v>
      </c>
      <c r="D123" s="218">
        <f>+$C$123*(C59/2)*D25</f>
        <v>0</v>
      </c>
      <c r="F123" s="557"/>
      <c r="G123" s="524">
        <f>+F123-D123</f>
        <v>0</v>
      </c>
      <c r="H123" s="559" t="e">
        <f t="shared" si="12"/>
        <v>#DIV/0!</v>
      </c>
    </row>
    <row r="124" spans="2:9">
      <c r="B124" s="501" t="s">
        <v>44</v>
      </c>
      <c r="C124" s="220">
        <v>59385</v>
      </c>
      <c r="D124" s="218">
        <f>IF(D122&gt;0,(($C$124*C59)*D29)/D23,0)*1.3</f>
        <v>1389609</v>
      </c>
      <c r="E124" s="524"/>
      <c r="F124" s="557"/>
      <c r="G124" s="523">
        <f>+D124-F124</f>
        <v>1389609</v>
      </c>
      <c r="H124" s="560" t="e">
        <f t="shared" si="12"/>
        <v>#DIV/0!</v>
      </c>
    </row>
    <row r="125" spans="2:9">
      <c r="B125" s="501" t="s">
        <v>67</v>
      </c>
      <c r="C125" s="220">
        <v>59385</v>
      </c>
      <c r="D125" s="218">
        <f>+($C$125*C59)*D22</f>
        <v>0</v>
      </c>
      <c r="F125" s="557"/>
      <c r="G125" s="524">
        <f>+F125-D125</f>
        <v>0</v>
      </c>
      <c r="H125" s="559" t="e">
        <f t="shared" si="12"/>
        <v>#DIV/0!</v>
      </c>
      <c r="I125" s="523"/>
    </row>
    <row r="126" spans="2:9">
      <c r="B126" s="501" t="s">
        <v>48</v>
      </c>
      <c r="C126" s="220">
        <v>59385</v>
      </c>
      <c r="D126" s="218">
        <f>($C$126*+VLOOKUP($D$18,Parametros!$B$171:$D$179,3,0)*D28)/F26</f>
        <v>1068930</v>
      </c>
      <c r="E126" s="525"/>
      <c r="F126" s="557"/>
      <c r="G126" s="524">
        <f>+F126-D126</f>
        <v>-1068930</v>
      </c>
      <c r="H126" s="559" t="e">
        <f t="shared" si="12"/>
        <v>#DIV/0!</v>
      </c>
    </row>
    <row r="127" spans="2:9">
      <c r="B127" s="501" t="s">
        <v>893</v>
      </c>
      <c r="C127" s="220">
        <v>59385</v>
      </c>
      <c r="D127" s="218">
        <f>($C$127*+VLOOKUP($D$18,Parametros!$B$171:$F$179,4,0)*D32)</f>
        <v>0</v>
      </c>
      <c r="E127" s="524"/>
      <c r="F127" s="557"/>
      <c r="G127" s="523">
        <f>+D127-F127</f>
        <v>0</v>
      </c>
      <c r="H127" s="560" t="e">
        <f t="shared" si="12"/>
        <v>#DIV/0!</v>
      </c>
    </row>
    <row r="128" spans="2:9">
      <c r="B128" s="501" t="s">
        <v>895</v>
      </c>
      <c r="C128" s="220">
        <v>59385</v>
      </c>
      <c r="D128" s="218">
        <f>($C$128*+VLOOKUP($D$18,Parametros!$B$171:$F$179,5,0)*D33)</f>
        <v>0</v>
      </c>
      <c r="E128" s="525"/>
      <c r="F128" s="557"/>
      <c r="G128" s="523">
        <f>+D128-F128</f>
        <v>0</v>
      </c>
      <c r="H128" s="560" t="e">
        <f t="shared" si="12"/>
        <v>#DIV/0!</v>
      </c>
    </row>
    <row r="129" spans="2:12">
      <c r="B129" s="546" t="s">
        <v>68</v>
      </c>
      <c r="C129" s="218"/>
      <c r="D129" s="218">
        <f>SUM(D119:D128)</f>
        <v>5392582.2652000003</v>
      </c>
      <c r="E129" s="524">
        <f>+D129/(1-21.45%)</f>
        <v>6865158.8353914712</v>
      </c>
      <c r="F129" s="525"/>
      <c r="G129" s="523"/>
      <c r="L129" s="524"/>
    </row>
    <row r="130" spans="2:12">
      <c r="C130" s="222"/>
      <c r="D130" s="222"/>
      <c r="E130" s="524"/>
      <c r="F130" s="525">
        <f>+E130/(1-21.45%)</f>
        <v>0</v>
      </c>
      <c r="G130" s="523" t="s">
        <v>2392</v>
      </c>
      <c r="H130" s="525">
        <v>3836.9512994880552</v>
      </c>
      <c r="L130" s="524"/>
    </row>
    <row r="131" spans="2:12">
      <c r="B131" s="215" t="s">
        <v>71</v>
      </c>
      <c r="C131" s="215" t="s">
        <v>124</v>
      </c>
      <c r="D131" s="215" t="s">
        <v>2234</v>
      </c>
      <c r="E131" s="527" t="s">
        <v>69</v>
      </c>
      <c r="F131" s="525"/>
      <c r="G131" s="215" t="s">
        <v>2234</v>
      </c>
      <c r="H131" s="527" t="s">
        <v>69</v>
      </c>
      <c r="L131" s="524"/>
    </row>
    <row r="132" spans="2:12">
      <c r="B132" s="228">
        <f>+((D112+D70)/(1-C117))+(D113+D115)+D69+(D114/(1-7%))</f>
        <v>18344154.48815034</v>
      </c>
      <c r="C132" s="228">
        <f>+D129/(1-D117)</f>
        <v>6657508.9693827163</v>
      </c>
      <c r="D132" s="229">
        <f>+B132+C132</f>
        <v>25001663.457533054</v>
      </c>
      <c r="E132" s="218">
        <f>+D132/$C$52</f>
        <v>62504.158643832641</v>
      </c>
      <c r="G132" s="1271">
        <f>+D132/H130</f>
        <v>6516.0231407859928</v>
      </c>
      <c r="H132" s="1272">
        <f>+G132/$C$52</f>
        <v>16.290057851964985</v>
      </c>
      <c r="L132" s="524"/>
    </row>
    <row r="133" spans="2:12">
      <c r="C133" s="222"/>
      <c r="L133" s="524"/>
    </row>
    <row r="134" spans="2:12">
      <c r="C134" s="215" t="s">
        <v>69</v>
      </c>
      <c r="D134" s="228">
        <f>+D135/C52</f>
        <v>167351.86798774218</v>
      </c>
      <c r="L134" s="524"/>
    </row>
    <row r="135" spans="2:12">
      <c r="C135" s="230" t="s">
        <v>70</v>
      </c>
      <c r="D135" s="231">
        <v>66940747.195096858</v>
      </c>
      <c r="E135" s="523"/>
      <c r="G135" s="523">
        <f>+E98</f>
        <v>1977418.0802036915</v>
      </c>
      <c r="H135" s="523">
        <f>+G135/H130</f>
        <v>515.36178748672899</v>
      </c>
      <c r="L135" s="524"/>
    </row>
    <row r="136" spans="2:12">
      <c r="C136" s="215" t="s">
        <v>71</v>
      </c>
      <c r="D136" s="232">
        <f>-D116</f>
        <v>-14988887.015401777</v>
      </c>
      <c r="E136" s="523"/>
      <c r="L136" s="524"/>
    </row>
    <row r="137" spans="2:12">
      <c r="C137" s="215" t="s">
        <v>72</v>
      </c>
      <c r="D137" s="233">
        <f>D135+D136</f>
        <v>51951860.179695085</v>
      </c>
      <c r="E137" s="315">
        <f>IFERROR(D137/$D$135,0)</f>
        <v>0.77608724665535778</v>
      </c>
      <c r="L137" s="524"/>
    </row>
    <row r="138" spans="2:12">
      <c r="C138" s="215" t="s">
        <v>74</v>
      </c>
      <c r="D138" s="234">
        <f>-D135*E138</f>
        <v>-2878452.1293891645</v>
      </c>
      <c r="E138" s="528">
        <v>4.2999999999999997E-2</v>
      </c>
      <c r="L138" s="524"/>
    </row>
    <row r="139" spans="2:12">
      <c r="C139" s="215" t="s">
        <v>75</v>
      </c>
      <c r="D139" s="232">
        <f>-D129</f>
        <v>-5392582.2652000003</v>
      </c>
      <c r="L139" s="524"/>
    </row>
    <row r="140" spans="2:12">
      <c r="C140" s="215" t="s">
        <v>76</v>
      </c>
      <c r="D140" s="229">
        <f>+D139+D138+D137</f>
        <v>43680825.785105921</v>
      </c>
      <c r="H140" s="525"/>
      <c r="L140" s="524"/>
    </row>
    <row r="141" spans="2:12">
      <c r="C141" s="215" t="s">
        <v>77</v>
      </c>
      <c r="D141" s="235">
        <f>D140/D135</f>
        <v>0.65252970149555434</v>
      </c>
      <c r="L141" s="524"/>
    </row>
    <row r="142" spans="2:12">
      <c r="L142" s="524"/>
    </row>
    <row r="143" spans="2:12">
      <c r="C143" s="222"/>
      <c r="L143" s="524"/>
    </row>
    <row r="144" spans="2:12" ht="16.5" thickBot="1">
      <c r="C144" s="222"/>
      <c r="D144" s="222"/>
      <c r="L144" s="524"/>
    </row>
    <row r="145" spans="3:12">
      <c r="C145" s="529" t="s">
        <v>515</v>
      </c>
      <c r="D145" s="530">
        <v>7.0000000000000007E-2</v>
      </c>
      <c r="L145" s="524"/>
    </row>
    <row r="146" spans="3:12">
      <c r="C146" s="529" t="s">
        <v>516</v>
      </c>
      <c r="D146" s="531">
        <v>0.2145</v>
      </c>
      <c r="L146" s="524"/>
    </row>
    <row r="147" spans="3:12">
      <c r="C147" s="222"/>
      <c r="D147" s="222"/>
      <c r="L147" s="524"/>
    </row>
    <row r="148" spans="3:12">
      <c r="C148" s="222"/>
      <c r="D148" s="222"/>
      <c r="L148" s="524"/>
    </row>
    <row r="149" spans="3:12">
      <c r="C149" s="458" t="s">
        <v>2238</v>
      </c>
      <c r="D149" s="454" t="s">
        <v>2368</v>
      </c>
      <c r="E149" s="454" t="s">
        <v>2374</v>
      </c>
    </row>
    <row r="150" spans="3:12">
      <c r="C150" s="1239" t="s">
        <v>2373</v>
      </c>
      <c r="D150" s="303">
        <f>+D116+D119-D94-D114</f>
        <v>16277538.280601777</v>
      </c>
      <c r="E150" s="303">
        <f>+D132-(E151+E152+E153)</f>
        <v>19935081.976051573</v>
      </c>
    </row>
    <row r="151" spans="3:12">
      <c r="C151" s="1239" t="s">
        <v>2239</v>
      </c>
      <c r="D151" s="303">
        <f>+D129-D121-D119+D94</f>
        <v>4103931.0000000005</v>
      </c>
      <c r="E151" s="303">
        <f>(D129-D121-D119+D94)/(1-D117)</f>
        <v>5066581.4814814813</v>
      </c>
    </row>
    <row r="152" spans="3:12">
      <c r="C152" s="1084" t="s">
        <v>2240</v>
      </c>
      <c r="D152" s="303">
        <f>+D114</f>
        <v>0</v>
      </c>
      <c r="E152" s="303">
        <f>+D114/(1-7%)</f>
        <v>0</v>
      </c>
    </row>
    <row r="153" spans="3:12">
      <c r="C153" s="1084" t="s">
        <v>66</v>
      </c>
      <c r="D153" s="303">
        <f>+D121</f>
        <v>0</v>
      </c>
      <c r="E153" s="303">
        <f>+D121/(1-D117)</f>
        <v>0</v>
      </c>
    </row>
    <row r="154" spans="3:12">
      <c r="C154" s="1084" t="s">
        <v>65</v>
      </c>
      <c r="D154" s="1251">
        <f>SUM(D150:D153)</f>
        <v>20381469.280601777</v>
      </c>
      <c r="E154" s="1240">
        <f>SUM(E150:E153)</f>
        <v>25001663.457533054</v>
      </c>
    </row>
    <row r="156" spans="3:12">
      <c r="C156" s="1331" t="s">
        <v>2369</v>
      </c>
      <c r="D156" s="1331"/>
      <c r="E156" s="1331"/>
      <c r="F156" s="1331"/>
      <c r="G156" s="1331"/>
      <c r="H156" s="1331"/>
    </row>
    <row r="157" spans="3:12">
      <c r="C157" s="1252" t="s">
        <v>79</v>
      </c>
      <c r="D157" s="1253">
        <f>5080*2</f>
        <v>10160</v>
      </c>
      <c r="E157" s="1252" t="s">
        <v>3</v>
      </c>
      <c r="F157" s="1252" t="s">
        <v>778</v>
      </c>
      <c r="G157" s="1252" t="s">
        <v>2370</v>
      </c>
      <c r="H157" s="1252" t="s">
        <v>2371</v>
      </c>
    </row>
    <row r="158" spans="3:12">
      <c r="C158" s="1326"/>
      <c r="D158" s="215" t="s">
        <v>69</v>
      </c>
      <c r="E158" s="215">
        <f>+E159/D157</f>
        <v>0</v>
      </c>
      <c r="F158" s="228">
        <f>+F159/D157</f>
        <v>66689.270588471161</v>
      </c>
      <c r="G158" s="215"/>
      <c r="H158" s="215">
        <f>+H159/D157</f>
        <v>0</v>
      </c>
    </row>
    <row r="159" spans="3:12">
      <c r="C159" s="1327"/>
      <c r="D159" s="215" t="s">
        <v>70</v>
      </c>
      <c r="E159" s="215"/>
      <c r="F159" s="218">
        <v>677562989.17886698</v>
      </c>
      <c r="G159" s="215">
        <f>-F159</f>
        <v>-677562989.17886698</v>
      </c>
      <c r="H159" s="215">
        <f>+E159+F159+G159</f>
        <v>0</v>
      </c>
    </row>
    <row r="160" spans="3:12">
      <c r="C160" s="1327"/>
      <c r="D160" s="215" t="s">
        <v>71</v>
      </c>
      <c r="E160" s="215">
        <v>0</v>
      </c>
      <c r="F160" s="229">
        <v>-579925421</v>
      </c>
      <c r="G160" s="215">
        <f>+G159</f>
        <v>-677562989.17886698</v>
      </c>
      <c r="H160" s="215">
        <f>+E160+F160+G160</f>
        <v>-1257488410.1788669</v>
      </c>
    </row>
    <row r="161" spans="3:8">
      <c r="C161" s="1327"/>
      <c r="D161" s="215" t="s">
        <v>72</v>
      </c>
      <c r="E161" s="215">
        <f>+E159+E160</f>
        <v>0</v>
      </c>
      <c r="F161" s="229">
        <f>+F159+F160</f>
        <v>97637568.178866982</v>
      </c>
      <c r="G161" s="215"/>
      <c r="H161" s="215">
        <f>+E161+F161+G161</f>
        <v>97637568.178866982</v>
      </c>
    </row>
    <row r="162" spans="3:8">
      <c r="C162" s="1328"/>
      <c r="D162" s="215" t="s">
        <v>2372</v>
      </c>
      <c r="E162" s="215" t="e">
        <f>+E161/E159</f>
        <v>#DIV/0!</v>
      </c>
      <c r="F162" s="1254">
        <f>+F161/F159</f>
        <v>0.14410109427197779</v>
      </c>
      <c r="G162" s="215"/>
      <c r="H162" s="215" t="e">
        <f>+H161/H159</f>
        <v>#DIV/0!</v>
      </c>
    </row>
    <row r="163" spans="3:8">
      <c r="C163" s="1254">
        <v>4.5999999999999999E-2</v>
      </c>
      <c r="D163" s="215" t="s">
        <v>74</v>
      </c>
      <c r="E163" s="215">
        <f>-C163*E159</f>
        <v>0</v>
      </c>
      <c r="F163" s="229">
        <f>-C163*F159</f>
        <v>-31167897.50222788</v>
      </c>
      <c r="G163" s="215"/>
      <c r="H163" s="215">
        <f>+E163+F163+G163</f>
        <v>-31167897.50222788</v>
      </c>
    </row>
    <row r="164" spans="3:8">
      <c r="C164" s="1326"/>
      <c r="D164" s="215" t="s">
        <v>75</v>
      </c>
      <c r="E164" s="215">
        <v>80000000</v>
      </c>
      <c r="F164" s="229">
        <v>-11141947</v>
      </c>
      <c r="G164" s="215"/>
      <c r="H164" s="215">
        <f>+E164+F164+G164</f>
        <v>68858053</v>
      </c>
    </row>
    <row r="165" spans="3:8">
      <c r="C165" s="1327"/>
      <c r="D165" s="215" t="s">
        <v>76</v>
      </c>
      <c r="E165" s="215">
        <f>+E161+E163+E164</f>
        <v>80000000</v>
      </c>
      <c r="F165" s="229">
        <f>+F161+F163+F164</f>
        <v>55327723.676639102</v>
      </c>
      <c r="G165" s="215"/>
      <c r="H165" s="215">
        <f>+H161+H163+H164</f>
        <v>135327723.67663911</v>
      </c>
    </row>
    <row r="166" spans="3:8">
      <c r="C166" s="1328"/>
      <c r="D166" s="215" t="s">
        <v>77</v>
      </c>
      <c r="E166" s="215" t="e">
        <f>+E165/E159</f>
        <v>#DIV/0!</v>
      </c>
      <c r="F166" s="1254">
        <f>+F165/F159</f>
        <v>8.1656944904399689E-2</v>
      </c>
      <c r="G166" s="215"/>
      <c r="H166" s="215" t="e">
        <f>+H165/H159</f>
        <v>#DIV/0!</v>
      </c>
    </row>
    <row r="168" spans="3:8" ht="16.5" thickBot="1"/>
    <row r="169" spans="3:8" ht="32.25" thickBot="1">
      <c r="C169" s="1259" t="s">
        <v>2452</v>
      </c>
      <c r="D169" s="1260" t="s">
        <v>2388</v>
      </c>
    </row>
    <row r="170" spans="3:8" ht="17.25" thickTop="1" thickBot="1">
      <c r="C170" s="1261" t="s">
        <v>2389</v>
      </c>
      <c r="D170" s="1262">
        <v>3</v>
      </c>
    </row>
    <row r="171" spans="3:8" ht="16.5" thickBot="1">
      <c r="C171" s="1261" t="s">
        <v>2390</v>
      </c>
      <c r="D171" s="1262">
        <v>5</v>
      </c>
    </row>
    <row r="172" spans="3:8" ht="16.5" thickBot="1">
      <c r="C172" s="1261" t="s">
        <v>2451</v>
      </c>
      <c r="D172" s="1262">
        <v>21</v>
      </c>
    </row>
    <row r="173" spans="3:8" ht="16.5" thickBot="1">
      <c r="C173" s="1261" t="s">
        <v>2391</v>
      </c>
      <c r="D173" s="1262">
        <v>5</v>
      </c>
    </row>
  </sheetData>
  <mergeCells count="7">
    <mergeCell ref="C158:C162"/>
    <mergeCell ref="C164:C166"/>
    <mergeCell ref="C3:D3"/>
    <mergeCell ref="C4:D4"/>
    <mergeCell ref="C5:D5"/>
    <mergeCell ref="C6:D6"/>
    <mergeCell ref="C156:H156"/>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9958" r:id="rId3" name="Button 22">
              <controlPr defaultSize="0" print="0" autoFill="0" autoPict="0" macro="[0]!AutoBuscarObjetivoOP_OPS">
                <anchor moveWithCells="1">
                  <from>
                    <xdr:col>4</xdr:col>
                    <xdr:colOff>400050</xdr:colOff>
                    <xdr:row>143</xdr:row>
                    <xdr:rowOff>171450</xdr:rowOff>
                  </from>
                  <to>
                    <xdr:col>4</xdr:col>
                    <xdr:colOff>1562100</xdr:colOff>
                    <xdr:row>145</xdr:row>
                    <xdr:rowOff>0</xdr:rowOff>
                  </to>
                </anchor>
              </controlPr>
            </control>
          </mc:Choice>
        </mc:AlternateContent>
        <mc:AlternateContent xmlns:mc="http://schemas.openxmlformats.org/markup-compatibility/2006">
          <mc:Choice Requires="x14">
            <control shapeId="39959" r:id="rId4" name="Button 23">
              <controlPr defaultSize="0" print="0" autoFill="0" autoPict="0" macro="[0]!AutoBuscarObjetivoGM_OPS">
                <anchor moveWithCells="1">
                  <from>
                    <xdr:col>4</xdr:col>
                    <xdr:colOff>409575</xdr:colOff>
                    <xdr:row>145</xdr:row>
                    <xdr:rowOff>47625</xdr:rowOff>
                  </from>
                  <to>
                    <xdr:col>4</xdr:col>
                    <xdr:colOff>1552575</xdr:colOff>
                    <xdr:row>146</xdr:row>
                    <xdr:rowOff>85725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E2607667-788A-4A70-BBAE-6D718CCCF1E1}">
          <x14:formula1>
            <xm:f>Parametros!$B$191:$B$201</xm:f>
          </x14:formula1>
          <xm:sqref>D62</xm:sqref>
        </x14:dataValidation>
        <x14:dataValidation type="list" allowBlank="1" showInputMessage="1" showErrorMessage="1" xr:uid="{D80CD00A-2A62-4124-BCDA-FF09089539CD}">
          <x14:formula1>
            <xm:f>Parametros!$C$191:$C$197</xm:f>
          </x14:formula1>
          <xm:sqref>D18:D30 D35</xm:sqref>
        </x14:dataValidation>
        <x14:dataValidation type="list" allowBlank="1" showInputMessage="1" showErrorMessage="1" xr:uid="{2DA53207-3A0D-4013-A649-AFD571BB581C}">
          <x14:formula1>
            <xm:f>Parametros!$A$191:$A$201</xm:f>
          </x14:formula1>
          <xm:sqref>D29</xm:sqref>
        </x14:dataValidation>
        <x14:dataValidation type="list" allowBlank="1" showInputMessage="1" showErrorMessage="1" xr:uid="{07ECEF37-A089-4FEA-8B03-038FB7B83880}">
          <x14:formula1>
            <xm:f>Parametros!$B$215:$B$216</xm:f>
          </x14:formula1>
          <xm:sqref>C51</xm:sqref>
        </x14:dataValidation>
        <x14:dataValidation type="list" allowBlank="1" showInputMessage="1" showErrorMessage="1" xr:uid="{983CD974-4AD7-4533-BB66-B2B59014E4B4}">
          <x14:formula1>
            <xm:f>Parametros!$B$219:$B$220</xm:f>
          </x14:formula1>
          <xm:sqref>C22 C24:C28 C30 C35</xm:sqref>
        </x14:dataValidation>
        <x14:dataValidation type="list" allowBlank="1" showInputMessage="1" showErrorMessage="1" xr:uid="{A9EC871F-C449-41CC-A8B2-E73DE85601DF}">
          <x14:formula1>
            <xm:f>Parametros!$A$191:$A$205</xm:f>
          </x14:formula1>
          <xm:sqref>C56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177E-B7A8-4ADE-A2EA-4EC0BD8754AD}">
  <sheetPr codeName="Hoja3"/>
  <dimension ref="A1:P109"/>
  <sheetViews>
    <sheetView tabSelected="1" topLeftCell="A48" zoomScale="85" zoomScaleNormal="85" workbookViewId="0">
      <selection activeCell="D101" sqref="D101"/>
    </sheetView>
  </sheetViews>
  <sheetFormatPr baseColWidth="10" defaultColWidth="11.42578125" defaultRowHeight="15"/>
  <cols>
    <col min="1" max="1" width="12.28515625" bestFit="1" customWidth="1"/>
    <col min="2" max="2" width="23.140625" bestFit="1" customWidth="1"/>
    <col min="3" max="3" width="26.140625" customWidth="1"/>
    <col min="4" max="4" width="14.5703125" customWidth="1"/>
    <col min="5" max="5" width="19.28515625" customWidth="1"/>
    <col min="6" max="6" width="15.5703125" bestFit="1" customWidth="1"/>
    <col min="7" max="7" width="18.5703125" bestFit="1" customWidth="1"/>
    <col min="8" max="8" width="20.7109375" bestFit="1" customWidth="1"/>
    <col min="9" max="9" width="12" bestFit="1" customWidth="1"/>
    <col min="10" max="10" width="39.28515625" bestFit="1" customWidth="1"/>
    <col min="11" max="11" width="14.140625" bestFit="1" customWidth="1"/>
  </cols>
  <sheetData>
    <row r="1" spans="1:9">
      <c r="B1" s="21" t="s">
        <v>125</v>
      </c>
      <c r="C1" s="22" t="str">
        <f>+Entradas!E21</f>
        <v>16-20minutos</v>
      </c>
      <c r="D1" s="26" t="s">
        <v>126</v>
      </c>
      <c r="E1" s="250">
        <f>+Entradas!D47</f>
        <v>1</v>
      </c>
      <c r="F1" s="21" t="s">
        <v>54</v>
      </c>
      <c r="G1" s="106" t="str">
        <f>+Entradas!E20</f>
        <v>Mas 82%</v>
      </c>
    </row>
    <row r="2" spans="1:9">
      <c r="B2" s="107" t="s">
        <v>127</v>
      </c>
      <c r="C2" s="78">
        <f>+Entradas!E66</f>
        <v>2</v>
      </c>
    </row>
    <row r="4" spans="1:9">
      <c r="B4" s="1335" t="s">
        <v>128</v>
      </c>
      <c r="C4" s="1336"/>
      <c r="D4" s="1336"/>
      <c r="E4" s="1337"/>
    </row>
    <row r="5" spans="1:9">
      <c r="B5" s="24" t="s">
        <v>21</v>
      </c>
      <c r="C5" s="23" t="s">
        <v>22</v>
      </c>
      <c r="D5" s="25" t="s">
        <v>23</v>
      </c>
      <c r="E5" s="25" t="s">
        <v>24</v>
      </c>
      <c r="F5" s="25" t="s">
        <v>25</v>
      </c>
      <c r="G5" s="25" t="s">
        <v>26</v>
      </c>
      <c r="H5" s="25" t="s">
        <v>27</v>
      </c>
      <c r="I5" s="23" t="s">
        <v>65</v>
      </c>
    </row>
    <row r="6" spans="1:9">
      <c r="A6" s="18" t="s">
        <v>20</v>
      </c>
      <c r="B6" s="615">
        <f>+ROUNDUP(+Entradas!$J$49/(1-'Costos Directos discriminados'!C53),0)</f>
        <v>15</v>
      </c>
      <c r="C6" s="615">
        <f>+ROUNDUP(+Entradas!$J$50/(1-'Costos Directos discriminados'!C53),0)</f>
        <v>0</v>
      </c>
      <c r="D6" s="615">
        <f>+ROUNDUP(+Entradas!$J$51/(1-'Costos Directos discriminados'!C53),0)</f>
        <v>0</v>
      </c>
      <c r="E6" s="615">
        <f>+ROUNDUP(+Entradas!$J$52/(1-'Costos Directos discriminados'!C53),0)</f>
        <v>0</v>
      </c>
      <c r="F6" s="615">
        <f>+ROUNDUP(+Entradas!$J$53/(1-'Costos Directos discriminados'!C53),0)</f>
        <v>0</v>
      </c>
      <c r="G6" s="615">
        <f>+ROUNDUP(+Entradas!$J$54/(1-'Costos Directos discriminados'!C53),0)</f>
        <v>0</v>
      </c>
      <c r="H6" s="615">
        <f>+ROUNDUP(+Entradas!$J$55/(1-'Costos Directos discriminados'!C53),0)</f>
        <v>0</v>
      </c>
      <c r="I6" s="581">
        <f>SUM(B6:H6)</f>
        <v>15</v>
      </c>
    </row>
    <row r="7" spans="1:9">
      <c r="A7" s="18" t="s">
        <v>19</v>
      </c>
      <c r="B7" s="615">
        <f>+ROUNDUP(+Entradas!$I$49/(1-'Costos Directos discriminados'!C53),0)</f>
        <v>19</v>
      </c>
      <c r="C7" s="615">
        <f>+ROUNDUP(+Entradas!$I$50/(1-'Costos Directos discriminados'!C53),0)</f>
        <v>0</v>
      </c>
      <c r="D7" s="615">
        <f>+ROUNDUP(+Entradas!$I$51/(1-'Costos Directos discriminados'!C53),0)</f>
        <v>0</v>
      </c>
      <c r="E7" s="615">
        <f>+ROUNDUP(+Entradas!$I$52/(1-'Costos Directos discriminados'!C53),0)</f>
        <v>0</v>
      </c>
      <c r="F7" s="615">
        <f>+ROUNDUP(+Entradas!$I$53/(1-'Costos Directos discriminados'!C53),0)</f>
        <v>0</v>
      </c>
      <c r="G7" s="615">
        <f>+ROUNDUP(+Entradas!$I$54/(1-'Costos Directos discriminados'!C53),0)</f>
        <v>0</v>
      </c>
      <c r="H7" s="615">
        <f>+ROUNDUP(+Entradas!$I$55/(1-'Costos Directos discriminados'!C53),0)</f>
        <v>0</v>
      </c>
      <c r="I7" s="581">
        <f t="shared" ref="I7:I11" si="0">SUM(B7:H7)</f>
        <v>19</v>
      </c>
    </row>
    <row r="8" spans="1:9">
      <c r="A8" s="18" t="s">
        <v>18</v>
      </c>
      <c r="B8" s="615">
        <f>+ROUNDUP(+Entradas!$H$49/(1-'Costos Directos discriminados'!C53),0)</f>
        <v>58</v>
      </c>
      <c r="C8" s="615">
        <f>+ROUNDUP(+Entradas!$H$50/(1-'Costos Directos discriminados'!C53),0)</f>
        <v>0</v>
      </c>
      <c r="D8" s="615">
        <f>+ROUNDUP(+Entradas!$H$51/(1-'Costos Directos discriminados'!C53),0)</f>
        <v>0</v>
      </c>
      <c r="E8" s="615">
        <f>+ROUNDUP(+Entradas!$H$52/(1-'Costos Directos discriminados'!C53),0)</f>
        <v>0</v>
      </c>
      <c r="F8" s="615">
        <f>+ROUNDUP(+Entradas!$H$53/(1-'Costos Directos discriminados'!C53),0)</f>
        <v>0</v>
      </c>
      <c r="G8" s="615">
        <f>+ROUNDUP(+Entradas!$H$54/(1-'Costos Directos discriminados'!C53),0)</f>
        <v>0</v>
      </c>
      <c r="H8" s="615">
        <f>+ROUNDUP(+Entradas!$H$55/(1-'Costos Directos discriminados'!C53),0)</f>
        <v>0</v>
      </c>
      <c r="I8" s="581">
        <f t="shared" si="0"/>
        <v>58</v>
      </c>
    </row>
    <row r="9" spans="1:9">
      <c r="A9" s="18" t="s">
        <v>17</v>
      </c>
      <c r="B9" s="615">
        <f>+ROUNDUP(+Entradas!$G$49/(1-'Costos Directos discriminados'!C53),0)</f>
        <v>143</v>
      </c>
      <c r="C9" s="615">
        <f>+ROUNDUP(+Entradas!$G$50/(1-'Costos Directos discriminados'!C53),0)</f>
        <v>0</v>
      </c>
      <c r="D9" s="615">
        <f>+ROUNDUP(+Entradas!$G$51/(1-'Costos Directos discriminados'!C53),0)</f>
        <v>0</v>
      </c>
      <c r="E9" s="615">
        <f>+ROUNDUP(+Entradas!$G$52/(1-'Costos Directos discriminados'!C53),0)</f>
        <v>0</v>
      </c>
      <c r="F9" s="615">
        <f>+ROUNDUP(+Entradas!$G$53/(1-'Costos Directos discriminados'!C53),0)</f>
        <v>0</v>
      </c>
      <c r="G9" s="615">
        <f>+ROUNDUP(+Entradas!$G$54/(1-'Costos Directos discriminados'!C53),0)</f>
        <v>0</v>
      </c>
      <c r="H9" s="615">
        <f>+ROUNDUP(+Entradas!$G$55/(1-'Costos Directos discriminados'!C53),0)</f>
        <v>0</v>
      </c>
      <c r="I9" s="581">
        <f t="shared" si="0"/>
        <v>143</v>
      </c>
    </row>
    <row r="10" spans="1:9">
      <c r="A10" s="18" t="s">
        <v>16</v>
      </c>
      <c r="B10" s="615">
        <f>+ROUNDUP(+Entradas!$F$49/(1-'Costos Directos discriminados'!C53),0)</f>
        <v>137</v>
      </c>
      <c r="C10" s="615">
        <f>+ROUNDUP(+Entradas!$F$50/(1-'Costos Directos discriminados'!C53),0)</f>
        <v>0</v>
      </c>
      <c r="D10" s="615">
        <f>+ROUNDUP(+Entradas!$F$51/(1-'Costos Directos discriminados'!C53),0)</f>
        <v>0</v>
      </c>
      <c r="E10" s="615">
        <f>+ROUNDUP(+Entradas!$F$52/(1-'Costos Directos discriminados'!C53),0)</f>
        <v>0</v>
      </c>
      <c r="F10" s="615">
        <f>+ROUNDUP(+Entradas!$F$53/(1-'Costos Directos discriminados'!C53),0)</f>
        <v>0</v>
      </c>
      <c r="G10" s="615">
        <f>+ROUNDUP(+Entradas!$F$54/(1-'Costos Directos discriminados'!C53),0)</f>
        <v>0</v>
      </c>
      <c r="H10" s="615">
        <f>+ROUNDUP(+Entradas!$F$55/(1-'Costos Directos discriminados'!C53),0)</f>
        <v>0</v>
      </c>
      <c r="I10" s="581">
        <f t="shared" si="0"/>
        <v>137</v>
      </c>
    </row>
    <row r="11" spans="1:9">
      <c r="A11" s="18" t="s">
        <v>15</v>
      </c>
      <c r="B11" s="615">
        <f>+ROUNDUP(+Entradas!$E$49/(1-'Costos Directos discriminados'!C53),0)</f>
        <v>31</v>
      </c>
      <c r="C11" s="615">
        <f>+ROUNDUP(+Entradas!$E$50/(1-'Costos Directos discriminados'!C53),0)</f>
        <v>0</v>
      </c>
      <c r="D11" s="615">
        <f>+ROUNDUP(+Entradas!$E$51/(1-'Costos Directos discriminados'!C53),0)</f>
        <v>0</v>
      </c>
      <c r="E11" s="615">
        <f>+ROUNDUP(+Entradas!$E$52/(1-'Costos Directos discriminados'!C53),0)</f>
        <v>0</v>
      </c>
      <c r="F11" s="615">
        <f>+ROUNDUP(+Entradas!$E$53/(1-'Costos Directos discriminados'!C53),0)</f>
        <v>0</v>
      </c>
      <c r="G11" s="615">
        <f>+ROUNDUP(+Entradas!$E$54/(1-'Costos Directos discriminados'!C53),0)</f>
        <v>0</v>
      </c>
      <c r="H11" s="615">
        <f>+ROUNDUP(+Entradas!$E$55/(1-'Costos Directos discriminados'!C53),0)</f>
        <v>0</v>
      </c>
      <c r="I11" s="581">
        <f t="shared" si="0"/>
        <v>31</v>
      </c>
    </row>
    <row r="12" spans="1:9">
      <c r="A12" s="18" t="s">
        <v>65</v>
      </c>
      <c r="B12" s="581">
        <f>SUM(B6:B11)</f>
        <v>403</v>
      </c>
      <c r="C12" s="581">
        <f t="shared" ref="C12:H12" si="1">SUM(C6:C11)</f>
        <v>0</v>
      </c>
      <c r="D12" s="581">
        <f t="shared" ref="D12" si="2">SUM(D6:D11)</f>
        <v>0</v>
      </c>
      <c r="E12" s="581">
        <f t="shared" si="1"/>
        <v>0</v>
      </c>
      <c r="F12" s="581">
        <f t="shared" si="1"/>
        <v>0</v>
      </c>
      <c r="G12" s="581">
        <f>SUM(G6:G11)</f>
        <v>0</v>
      </c>
      <c r="H12" s="581">
        <f t="shared" si="1"/>
        <v>0</v>
      </c>
      <c r="I12" s="581">
        <f>SUM(B12:H12)</f>
        <v>403</v>
      </c>
    </row>
    <row r="13" spans="1:9">
      <c r="A13" s="19" t="s">
        <v>129</v>
      </c>
      <c r="B13" s="553">
        <v>7</v>
      </c>
      <c r="C13" s="553">
        <v>6</v>
      </c>
      <c r="D13" s="553">
        <v>7</v>
      </c>
      <c r="E13" s="553">
        <v>7</v>
      </c>
      <c r="F13" s="553">
        <v>7</v>
      </c>
      <c r="G13" s="553">
        <v>7</v>
      </c>
      <c r="H13" s="553">
        <f>+MuestraTec1!L30</f>
        <v>6</v>
      </c>
      <c r="I13" s="148">
        <f>MAX(B13:G13)</f>
        <v>7</v>
      </c>
    </row>
    <row r="14" spans="1:9">
      <c r="A14" s="19" t="s">
        <v>130</v>
      </c>
      <c r="B14" s="553">
        <v>4</v>
      </c>
      <c r="C14" s="553">
        <v>5</v>
      </c>
      <c r="D14" s="553">
        <v>5</v>
      </c>
      <c r="E14" s="553">
        <v>5</v>
      </c>
      <c r="F14" s="553">
        <v>5</v>
      </c>
      <c r="G14" s="553">
        <v>5</v>
      </c>
      <c r="H14" s="553">
        <v>5</v>
      </c>
      <c r="I14" s="148">
        <f t="shared" ref="I14:I17" si="3">MAX(B14:H14)</f>
        <v>5</v>
      </c>
    </row>
    <row r="15" spans="1:9">
      <c r="A15" s="19" t="s">
        <v>131</v>
      </c>
      <c r="B15" s="581">
        <f>+IFERROR(B12/B13/B14,0)</f>
        <v>14.392857142857142</v>
      </c>
      <c r="C15" s="581">
        <f t="shared" ref="C15:H15" si="4">+IFERROR(C12/C13/C14,0)</f>
        <v>0</v>
      </c>
      <c r="D15" s="581">
        <f t="shared" si="4"/>
        <v>0</v>
      </c>
      <c r="E15" s="581">
        <f t="shared" si="4"/>
        <v>0</v>
      </c>
      <c r="F15" s="581">
        <f t="shared" si="4"/>
        <v>0</v>
      </c>
      <c r="G15" s="581">
        <f t="shared" si="4"/>
        <v>0</v>
      </c>
      <c r="H15" s="581">
        <f t="shared" si="4"/>
        <v>0</v>
      </c>
      <c r="I15" s="148">
        <f t="shared" si="3"/>
        <v>14.392857142857142</v>
      </c>
    </row>
    <row r="16" spans="1:9">
      <c r="A16" s="19" t="s">
        <v>132</v>
      </c>
      <c r="B16" s="581">
        <f>IF(B12&gt;0,B13/4,0)</f>
        <v>1.75</v>
      </c>
      <c r="C16" s="581">
        <f t="shared" ref="C16:H16" si="5">IF(C12&gt;0,C13/4,0)</f>
        <v>0</v>
      </c>
      <c r="D16" s="581">
        <f t="shared" si="5"/>
        <v>0</v>
      </c>
      <c r="E16" s="581">
        <f t="shared" si="5"/>
        <v>0</v>
      </c>
      <c r="F16" s="581">
        <f t="shared" si="5"/>
        <v>0</v>
      </c>
      <c r="G16" s="581">
        <f t="shared" si="5"/>
        <v>0</v>
      </c>
      <c r="H16" s="581">
        <f t="shared" si="5"/>
        <v>0</v>
      </c>
      <c r="I16" s="148">
        <f>SUM(B16:H16)</f>
        <v>1.75</v>
      </c>
    </row>
    <row r="17" spans="1:12">
      <c r="A17" s="19" t="s">
        <v>133</v>
      </c>
      <c r="B17" s="581">
        <f>+B13/4</f>
        <v>1.75</v>
      </c>
      <c r="C17" s="581">
        <f t="shared" ref="C17:H17" si="6">+C13/3</f>
        <v>2</v>
      </c>
      <c r="D17" s="581">
        <f t="shared" si="6"/>
        <v>2.3333333333333335</v>
      </c>
      <c r="E17" s="581">
        <f t="shared" si="6"/>
        <v>2.3333333333333335</v>
      </c>
      <c r="F17" s="581">
        <f t="shared" si="6"/>
        <v>2.3333333333333335</v>
      </c>
      <c r="G17" s="581">
        <f t="shared" si="6"/>
        <v>2.3333333333333335</v>
      </c>
      <c r="H17" s="581">
        <f t="shared" si="6"/>
        <v>2</v>
      </c>
      <c r="I17" s="148">
        <f t="shared" si="3"/>
        <v>2.3333333333333335</v>
      </c>
    </row>
    <row r="18" spans="1:12">
      <c r="B18">
        <f t="shared" ref="B18:H18" si="7">IF(B12&gt;0,1,0)</f>
        <v>1</v>
      </c>
      <c r="C18">
        <f t="shared" si="7"/>
        <v>0</v>
      </c>
      <c r="D18">
        <f t="shared" si="7"/>
        <v>0</v>
      </c>
      <c r="E18">
        <f t="shared" si="7"/>
        <v>0</v>
      </c>
      <c r="F18">
        <f t="shared" si="7"/>
        <v>0</v>
      </c>
      <c r="G18">
        <f t="shared" si="7"/>
        <v>0</v>
      </c>
      <c r="H18">
        <f t="shared" si="7"/>
        <v>0</v>
      </c>
    </row>
    <row r="19" spans="1:12">
      <c r="B19" s="23" t="s">
        <v>134</v>
      </c>
      <c r="C19" s="34" t="s">
        <v>135</v>
      </c>
      <c r="D19" s="34" t="s">
        <v>136</v>
      </c>
      <c r="E19" s="23" t="s">
        <v>137</v>
      </c>
      <c r="F19" s="23" t="s">
        <v>59</v>
      </c>
    </row>
    <row r="20" spans="1:12">
      <c r="A20" s="7">
        <v>690</v>
      </c>
      <c r="B20" s="4" t="s">
        <v>138</v>
      </c>
      <c r="C20" s="7">
        <f>+A20*5.2%+A20</f>
        <v>725.88</v>
      </c>
      <c r="D20" s="108">
        <v>1</v>
      </c>
      <c r="E20" s="97">
        <f>+$I$12*C2</f>
        <v>806</v>
      </c>
      <c r="F20" s="33">
        <f>IF('Costos Directos discriminados'!D13=1,E20*C20,0)</f>
        <v>0</v>
      </c>
      <c r="L20" s="45"/>
    </row>
    <row r="21" spans="1:12">
      <c r="A21" s="7">
        <v>4300</v>
      </c>
      <c r="B21" s="13" t="s">
        <v>139</v>
      </c>
      <c r="C21" s="7">
        <f t="shared" ref="C21:C45" si="8">+A21*5.2%+A21</f>
        <v>4523.6000000000004</v>
      </c>
      <c r="D21" s="108">
        <v>20</v>
      </c>
      <c r="E21" s="27">
        <f>(+$I$12*$C$2)/(D21)*4</f>
        <v>161.19999999999999</v>
      </c>
      <c r="F21" s="33">
        <f>IF('Costos Directos discriminados'!$D$13=1,E21*C21,0)</f>
        <v>0</v>
      </c>
      <c r="L21" s="45"/>
    </row>
    <row r="22" spans="1:12">
      <c r="A22" s="7">
        <v>6200</v>
      </c>
      <c r="B22" s="13" t="s">
        <v>140</v>
      </c>
      <c r="C22" s="7">
        <f t="shared" si="8"/>
        <v>6522.4</v>
      </c>
      <c r="D22" s="108">
        <v>20</v>
      </c>
      <c r="E22" s="27">
        <f>(+$I$12*$C$2)/(D22)</f>
        <v>40.299999999999997</v>
      </c>
      <c r="F22" s="33">
        <f>IF('Costos Directos discriminados'!$D$13=1,E22*C22,0)</f>
        <v>0</v>
      </c>
      <c r="L22" s="45"/>
    </row>
    <row r="23" spans="1:12">
      <c r="A23" s="7">
        <v>3500</v>
      </c>
      <c r="B23" s="13" t="s">
        <v>141</v>
      </c>
      <c r="C23" s="7">
        <f t="shared" si="8"/>
        <v>3682</v>
      </c>
      <c r="D23" s="108">
        <v>25</v>
      </c>
      <c r="E23" s="27">
        <f>(+$I$12*$C$2)/(D23)</f>
        <v>32.24</v>
      </c>
      <c r="F23" s="33">
        <f>IF('Costos Directos discriminados'!$D$13=1,E23*C23,0)</f>
        <v>0</v>
      </c>
      <c r="L23" s="45"/>
    </row>
    <row r="24" spans="1:12">
      <c r="A24" s="7">
        <v>5200</v>
      </c>
      <c r="B24" s="13" t="s">
        <v>142</v>
      </c>
      <c r="C24" s="7">
        <f t="shared" si="8"/>
        <v>5470.4</v>
      </c>
      <c r="D24" s="108">
        <v>12</v>
      </c>
      <c r="E24" s="27">
        <f>(+$I$12*$C$2)/(D24)</f>
        <v>67.166666666666671</v>
      </c>
      <c r="F24" s="33">
        <f>IF('Costos Directos discriminados'!$D$12=2,E24*C24,0)</f>
        <v>0</v>
      </c>
      <c r="L24" s="45"/>
    </row>
    <row r="25" spans="1:12">
      <c r="A25" s="7">
        <v>5000</v>
      </c>
      <c r="B25" s="13" t="s">
        <v>143</v>
      </c>
      <c r="C25" s="7">
        <f t="shared" si="8"/>
        <v>5260</v>
      </c>
      <c r="D25" s="108">
        <v>200</v>
      </c>
      <c r="E25" s="27">
        <f>(+$I$12*$C$2)/(D25)</f>
        <v>4.03</v>
      </c>
      <c r="F25" s="33">
        <f>IF('Costos Directos discriminados'!D13=1,E25*C25,0)</f>
        <v>0</v>
      </c>
      <c r="L25" s="45"/>
    </row>
    <row r="26" spans="1:12">
      <c r="A26" s="7">
        <v>5000</v>
      </c>
      <c r="B26" s="4" t="s">
        <v>144</v>
      </c>
      <c r="C26" s="7">
        <f t="shared" si="8"/>
        <v>5260</v>
      </c>
      <c r="D26" s="108">
        <v>6</v>
      </c>
      <c r="E26" s="27">
        <f>+E1</f>
        <v>1</v>
      </c>
      <c r="F26" s="33">
        <f>IF('Costos Directos discriminados'!D13=1,E26*C26,0)</f>
        <v>0</v>
      </c>
      <c r="L26" s="45"/>
    </row>
    <row r="27" spans="1:12">
      <c r="A27" s="7">
        <v>37000</v>
      </c>
      <c r="B27" s="4" t="s">
        <v>145</v>
      </c>
      <c r="C27" s="7">
        <f t="shared" si="8"/>
        <v>38924</v>
      </c>
      <c r="D27" s="108">
        <v>50</v>
      </c>
      <c r="E27" s="27">
        <f>ROUNDUP((I15*I13*E1/D27),0)</f>
        <v>3</v>
      </c>
      <c r="F27" s="33">
        <f>IF('Costos Directos discriminados'!D13=1,E27*C27,0)</f>
        <v>0</v>
      </c>
      <c r="G27" s="625"/>
      <c r="L27" s="45"/>
    </row>
    <row r="28" spans="1:12">
      <c r="A28" s="7">
        <v>27000</v>
      </c>
      <c r="B28" s="4" t="s">
        <v>146</v>
      </c>
      <c r="C28" s="7">
        <f t="shared" si="8"/>
        <v>28404</v>
      </c>
      <c r="D28" s="108">
        <v>100</v>
      </c>
      <c r="E28" s="27">
        <f>+ROUNDUP(I13*I15*E1/D28,0)</f>
        <v>2</v>
      </c>
      <c r="F28" s="33">
        <f>IF('Costos Directos discriminados'!D13=1,E28*C28,0)</f>
        <v>0</v>
      </c>
      <c r="L28" s="45"/>
    </row>
    <row r="29" spans="1:12">
      <c r="A29" s="7">
        <v>1600</v>
      </c>
      <c r="B29" s="4" t="s">
        <v>147</v>
      </c>
      <c r="C29" s="7">
        <f t="shared" si="8"/>
        <v>1683.2</v>
      </c>
      <c r="D29" s="108">
        <v>1</v>
      </c>
      <c r="E29" s="112">
        <f>+I13*I15*E1</f>
        <v>100.75</v>
      </c>
      <c r="F29" s="33">
        <f>IF('Costos Directos discriminados'!D13=1,E29*C29,0)</f>
        <v>0</v>
      </c>
      <c r="L29" s="45"/>
    </row>
    <row r="30" spans="1:12">
      <c r="A30" s="7">
        <v>14000</v>
      </c>
      <c r="B30" s="4" t="s">
        <v>148</v>
      </c>
      <c r="C30" s="7">
        <f t="shared" si="8"/>
        <v>14728</v>
      </c>
      <c r="D30" s="108">
        <v>120</v>
      </c>
      <c r="E30" s="27">
        <f>(+$I$12/D30)*I15</f>
        <v>48.336011904761904</v>
      </c>
      <c r="F30" s="33">
        <f>IF('Costos Directos discriminados'!D13=1,E30*C30,0)</f>
        <v>0</v>
      </c>
      <c r="L30" s="45"/>
    </row>
    <row r="31" spans="1:12">
      <c r="A31" s="7">
        <v>40000</v>
      </c>
      <c r="B31" s="4" t="s">
        <v>149</v>
      </c>
      <c r="C31" s="7">
        <f t="shared" si="8"/>
        <v>42080</v>
      </c>
      <c r="D31" s="108">
        <v>1</v>
      </c>
      <c r="E31" s="27">
        <f>+D31*$E$1</f>
        <v>1</v>
      </c>
      <c r="F31" s="33">
        <f>IF('Costos Directos discriminados'!D13=1,E31*C31,0)</f>
        <v>0</v>
      </c>
      <c r="L31" s="45"/>
    </row>
    <row r="32" spans="1:12">
      <c r="A32" s="7">
        <v>37000</v>
      </c>
      <c r="B32" s="4" t="s">
        <v>150</v>
      </c>
      <c r="C32" s="7">
        <f t="shared" si="8"/>
        <v>38924</v>
      </c>
      <c r="D32" s="108">
        <v>1</v>
      </c>
      <c r="E32" s="27">
        <f>+D32*$E$1</f>
        <v>1</v>
      </c>
      <c r="F32" s="33">
        <f>IF('Costos Directos discriminados'!D13=1,E32*C32,0)</f>
        <v>0</v>
      </c>
      <c r="L32" s="45"/>
    </row>
    <row r="33" spans="1:12">
      <c r="A33" s="7">
        <v>8700</v>
      </c>
      <c r="B33" s="4" t="s">
        <v>151</v>
      </c>
      <c r="C33" s="7">
        <f t="shared" si="8"/>
        <v>9152.4</v>
      </c>
      <c r="D33" s="108">
        <v>150</v>
      </c>
      <c r="E33" s="27">
        <f>(+$I$12/D33*3)</f>
        <v>8.0599999999999987</v>
      </c>
      <c r="F33" s="33">
        <f>IF('Costos Directos discriminados'!D13=1,E33*C33,0)</f>
        <v>0</v>
      </c>
      <c r="L33" s="45"/>
    </row>
    <row r="34" spans="1:12">
      <c r="A34" s="7">
        <v>13000</v>
      </c>
      <c r="B34" s="4" t="s">
        <v>152</v>
      </c>
      <c r="C34" s="7">
        <f t="shared" si="8"/>
        <v>13676</v>
      </c>
      <c r="D34" s="108">
        <v>100</v>
      </c>
      <c r="E34" s="27">
        <f>+$I$12/D34*$E$1</f>
        <v>4.03</v>
      </c>
      <c r="F34" s="33">
        <f>IF('Costos Directos discriminados'!D13=1,E34*C34,0)</f>
        <v>0</v>
      </c>
      <c r="L34" s="45"/>
    </row>
    <row r="35" spans="1:12">
      <c r="A35" s="7">
        <v>13000</v>
      </c>
      <c r="B35" s="4" t="s">
        <v>153</v>
      </c>
      <c r="C35" s="7">
        <f t="shared" si="8"/>
        <v>13676</v>
      </c>
      <c r="D35" s="108">
        <v>100</v>
      </c>
      <c r="E35" s="27">
        <f>+$I$12/D35*$E$1</f>
        <v>4.03</v>
      </c>
      <c r="F35" s="33">
        <f>IF('Costos Directos discriminados'!D13=1,E35*C35,0)</f>
        <v>0</v>
      </c>
      <c r="L35" s="45"/>
    </row>
    <row r="36" spans="1:12" ht="14.1" customHeight="1">
      <c r="A36" s="7">
        <v>35000</v>
      </c>
      <c r="B36" s="4" t="s">
        <v>154</v>
      </c>
      <c r="C36" s="7">
        <f t="shared" si="8"/>
        <v>36820</v>
      </c>
      <c r="D36" s="108">
        <v>1</v>
      </c>
      <c r="E36" s="27">
        <f>+D36*$E$1</f>
        <v>1</v>
      </c>
      <c r="F36" s="33">
        <f>IF('Costos Directos discriminados'!D13=1,E36*C36,0)</f>
        <v>0</v>
      </c>
      <c r="L36" s="45"/>
    </row>
    <row r="37" spans="1:12" ht="30.6" customHeight="1">
      <c r="A37" s="7">
        <v>4090</v>
      </c>
      <c r="B37" s="4" t="s">
        <v>155</v>
      </c>
      <c r="C37" s="7">
        <f t="shared" si="8"/>
        <v>4302.68</v>
      </c>
      <c r="D37" s="108">
        <v>1</v>
      </c>
      <c r="E37" s="27">
        <f>+E1</f>
        <v>1</v>
      </c>
      <c r="F37" s="33">
        <f>IF('Costos Directos discriminados'!D13=1,E37*C37,0)</f>
        <v>0</v>
      </c>
    </row>
    <row r="38" spans="1:12" ht="30.6" customHeight="1">
      <c r="A38" s="7">
        <v>4950</v>
      </c>
      <c r="B38" s="4" t="s">
        <v>156</v>
      </c>
      <c r="C38" s="7">
        <f t="shared" si="8"/>
        <v>5207.3999999999996</v>
      </c>
      <c r="D38" s="108">
        <v>1</v>
      </c>
      <c r="E38" s="27">
        <f>+E1</f>
        <v>1</v>
      </c>
      <c r="F38" s="33">
        <f>IF('Costos Directos discriminados'!D13=1,E38*C38,0)</f>
        <v>0</v>
      </c>
    </row>
    <row r="39" spans="1:12">
      <c r="A39" s="7">
        <v>4700</v>
      </c>
      <c r="B39" s="4" t="s">
        <v>157</v>
      </c>
      <c r="C39" s="7">
        <f t="shared" si="8"/>
        <v>4944.3999999999996</v>
      </c>
      <c r="D39" s="108">
        <v>1</v>
      </c>
      <c r="E39" s="27">
        <f>+E1</f>
        <v>1</v>
      </c>
      <c r="F39" s="33">
        <f>IF('Costos Directos discriminados'!D13=1,E39*C39,0)</f>
        <v>0</v>
      </c>
    </row>
    <row r="40" spans="1:12" ht="30.6" customHeight="1">
      <c r="A40" s="7">
        <v>1100</v>
      </c>
      <c r="B40" s="40" t="s">
        <v>158</v>
      </c>
      <c r="C40" s="7">
        <f t="shared" si="8"/>
        <v>1157.2</v>
      </c>
      <c r="D40" s="108">
        <v>1</v>
      </c>
      <c r="E40" s="6">
        <f>+E1</f>
        <v>1</v>
      </c>
      <c r="F40" s="33">
        <f>IF('Costos Directos discriminados'!D13=1,E40*C40,0)</f>
        <v>0</v>
      </c>
    </row>
    <row r="41" spans="1:12">
      <c r="A41" s="7">
        <v>220000</v>
      </c>
      <c r="B41" s="40" t="s">
        <v>159</v>
      </c>
      <c r="C41" s="7">
        <f t="shared" si="8"/>
        <v>231440</v>
      </c>
      <c r="D41" s="108">
        <v>1</v>
      </c>
      <c r="E41" s="115"/>
      <c r="F41" s="33">
        <f>IF('Costos Directos discriminados'!D36=1,E41*C41,0)</f>
        <v>0</v>
      </c>
    </row>
    <row r="42" spans="1:12">
      <c r="A42" s="7">
        <v>50000</v>
      </c>
      <c r="B42" s="40" t="s">
        <v>160</v>
      </c>
      <c r="C42" s="7">
        <f t="shared" si="8"/>
        <v>52600</v>
      </c>
      <c r="D42" s="108">
        <v>1</v>
      </c>
      <c r="E42" s="115"/>
      <c r="F42" s="33">
        <f>IF('Costos Directos discriminados'!D37=1,E42*C42,0)</f>
        <v>0</v>
      </c>
    </row>
    <row r="43" spans="1:12" ht="30">
      <c r="A43" s="7">
        <v>50000</v>
      </c>
      <c r="B43" s="40" t="s">
        <v>161</v>
      </c>
      <c r="C43" s="7">
        <f t="shared" si="8"/>
        <v>52600</v>
      </c>
      <c r="D43" s="108">
        <v>1</v>
      </c>
      <c r="E43" s="115"/>
      <c r="F43" s="33">
        <f>IF('Costos Directos discriminados'!D38=1,E43*C43,0)</f>
        <v>0</v>
      </c>
    </row>
    <row r="44" spans="1:12" ht="30.6" customHeight="1">
      <c r="A44" s="7">
        <v>970000</v>
      </c>
      <c r="B44" s="40" t="s">
        <v>894</v>
      </c>
      <c r="C44" s="7">
        <f t="shared" si="8"/>
        <v>1020440</v>
      </c>
      <c r="D44" s="108">
        <v>1</v>
      </c>
      <c r="E44" s="128"/>
      <c r="F44" s="251">
        <f>IF(Entradas!E61=1,(C44*D44),0)</f>
        <v>0</v>
      </c>
    </row>
    <row r="45" spans="1:12" ht="30.6" customHeight="1">
      <c r="A45" s="7">
        <v>430000</v>
      </c>
      <c r="B45" s="40" t="s">
        <v>1375</v>
      </c>
      <c r="C45" s="7">
        <f t="shared" si="8"/>
        <v>452360</v>
      </c>
      <c r="D45" s="108">
        <v>1</v>
      </c>
      <c r="E45" s="128"/>
      <c r="F45" s="614">
        <f>+C45*E45</f>
        <v>0</v>
      </c>
    </row>
    <row r="46" spans="1:12" ht="30.6" customHeight="1">
      <c r="A46" s="1223"/>
      <c r="B46" s="40"/>
      <c r="C46" s="7"/>
      <c r="D46" s="108">
        <v>1</v>
      </c>
      <c r="E46" s="128"/>
      <c r="F46" s="614">
        <f t="shared" ref="F46:F51" si="9">+C46*D46*E46</f>
        <v>0</v>
      </c>
    </row>
    <row r="47" spans="1:12" ht="30.6" customHeight="1">
      <c r="B47" s="40"/>
      <c r="C47" s="7"/>
      <c r="D47" s="108">
        <v>2</v>
      </c>
      <c r="E47" s="27"/>
      <c r="F47" s="614">
        <f t="shared" si="9"/>
        <v>0</v>
      </c>
    </row>
    <row r="48" spans="1:12" ht="30.6" customHeight="1">
      <c r="B48" s="40"/>
      <c r="C48" s="7"/>
      <c r="D48" s="108">
        <v>1</v>
      </c>
      <c r="E48" s="27"/>
      <c r="F48" s="614">
        <f t="shared" si="9"/>
        <v>0</v>
      </c>
    </row>
    <row r="49" spans="1:16" ht="30.6" customHeight="1">
      <c r="B49" s="40"/>
      <c r="C49" s="7"/>
      <c r="D49" s="108">
        <v>1</v>
      </c>
      <c r="E49" s="27"/>
      <c r="F49" s="614">
        <f t="shared" si="9"/>
        <v>0</v>
      </c>
    </row>
    <row r="50" spans="1:16" ht="30.6" customHeight="1">
      <c r="B50" s="40"/>
      <c r="C50" s="7"/>
      <c r="D50" s="108">
        <v>1</v>
      </c>
      <c r="E50" s="27"/>
      <c r="F50" s="614">
        <f t="shared" si="9"/>
        <v>0</v>
      </c>
    </row>
    <row r="51" spans="1:16" ht="30.6" customHeight="1">
      <c r="B51" s="40"/>
      <c r="C51" s="7"/>
      <c r="D51" s="108">
        <v>1</v>
      </c>
      <c r="E51" s="27"/>
      <c r="F51" s="614">
        <f t="shared" si="9"/>
        <v>0</v>
      </c>
    </row>
    <row r="52" spans="1:16">
      <c r="B52" s="1338" t="s">
        <v>65</v>
      </c>
      <c r="C52" s="1338"/>
      <c r="D52" s="1338"/>
      <c r="E52" s="1338"/>
      <c r="F52" s="545">
        <f>SUM(F20:F51)</f>
        <v>0</v>
      </c>
      <c r="G52" s="9">
        <f>+F52/Entradas!D48</f>
        <v>0</v>
      </c>
    </row>
    <row r="53" spans="1:16">
      <c r="B53" s="35"/>
      <c r="C53" s="35"/>
      <c r="D53" s="35"/>
      <c r="E53" s="35"/>
      <c r="F53" s="36"/>
    </row>
    <row r="54" spans="1:16">
      <c r="B54" s="35"/>
      <c r="C54" s="258" t="str">
        <f>+'Costos Directos discriminados'!D62</f>
        <v>Mas 82%</v>
      </c>
      <c r="D54" s="48"/>
      <c r="E54" s="36"/>
      <c r="F54" s="109"/>
    </row>
    <row r="55" spans="1:16">
      <c r="C55" s="110" t="s">
        <v>162</v>
      </c>
      <c r="D55" s="110" t="s">
        <v>137</v>
      </c>
      <c r="E55" s="110" t="s">
        <v>59</v>
      </c>
      <c r="J55" s="149" t="s">
        <v>169</v>
      </c>
      <c r="K55" s="151" t="s">
        <v>170</v>
      </c>
      <c r="L55" s="149" t="s">
        <v>171</v>
      </c>
      <c r="M55" s="149"/>
    </row>
    <row r="56" spans="1:16">
      <c r="A56">
        <v>15</v>
      </c>
      <c r="B56" s="5" t="s">
        <v>163</v>
      </c>
      <c r="C56" s="8">
        <f>+Entradas!I56</f>
        <v>30000</v>
      </c>
      <c r="D56" s="5">
        <f>+I6+I7</f>
        <v>34</v>
      </c>
      <c r="E56" s="29">
        <f>+C56*D56*H56</f>
        <v>0</v>
      </c>
      <c r="G56" s="561">
        <f>VLOOKUP(Entradas!$D$56,Parametros!$B$215:$C$217,2,0)</f>
        <v>0</v>
      </c>
      <c r="H56" s="561">
        <f>IF(G56&gt;0,1,0)</f>
        <v>0</v>
      </c>
      <c r="J56" s="149"/>
      <c r="K56" s="151" t="s">
        <v>173</v>
      </c>
      <c r="L56" s="151"/>
      <c r="M56" s="151"/>
      <c r="O56" s="14"/>
    </row>
    <row r="57" spans="1:16">
      <c r="A57">
        <v>17</v>
      </c>
      <c r="B57" s="5" t="s">
        <v>164</v>
      </c>
      <c r="C57" s="8">
        <f>+Entradas!H56</f>
        <v>25000</v>
      </c>
      <c r="D57" s="5">
        <f>+I8</f>
        <v>58</v>
      </c>
      <c r="E57" s="29">
        <f>+C57*D57*H57</f>
        <v>0</v>
      </c>
      <c r="G57" s="561">
        <f>VLOOKUP(Entradas!$D$56,Parametros!$B$215:$C$217,2,0)</f>
        <v>0</v>
      </c>
      <c r="H57" s="561">
        <f>IF(G57&gt;0,1,0)</f>
        <v>0</v>
      </c>
      <c r="J57" s="149"/>
      <c r="K57" s="149"/>
      <c r="L57" s="149"/>
      <c r="M57" s="149"/>
      <c r="O57" s="14"/>
    </row>
    <row r="58" spans="1:16">
      <c r="A58">
        <v>18</v>
      </c>
      <c r="B58" s="5" t="s">
        <v>165</v>
      </c>
      <c r="C58" s="8">
        <f>+Entradas!G56</f>
        <v>20000</v>
      </c>
      <c r="D58" s="257">
        <f>+I9</f>
        <v>143</v>
      </c>
      <c r="E58" s="29">
        <f>+C58*D58*G58</f>
        <v>0</v>
      </c>
      <c r="G58" s="561">
        <f>VLOOKUP(Entradas!$D$56,Parametros!$B$215:$C$217,2,0)</f>
        <v>0</v>
      </c>
      <c r="H58" s="561"/>
      <c r="J58" s="149" t="s">
        <v>177</v>
      </c>
      <c r="K58" s="149" t="s">
        <v>178</v>
      </c>
      <c r="L58" s="149"/>
      <c r="M58" s="149"/>
      <c r="O58" s="14"/>
    </row>
    <row r="59" spans="1:16" ht="15.75">
      <c r="A59">
        <v>19</v>
      </c>
      <c r="B59" s="5" t="s">
        <v>166</v>
      </c>
      <c r="C59" s="8">
        <f>+Entradas!E56</f>
        <v>20000</v>
      </c>
      <c r="D59" s="257">
        <f>+I10+I11</f>
        <v>168</v>
      </c>
      <c r="E59" s="29">
        <f>+C59*D59*G59</f>
        <v>0</v>
      </c>
      <c r="F59" s="562">
        <f>SUM(E56:E59)</f>
        <v>0</v>
      </c>
      <c r="G59" s="561">
        <f>VLOOKUP(Entradas!$D$56,Parametros!$B$215:$C$217,2,0)</f>
        <v>0</v>
      </c>
      <c r="H59" s="561"/>
      <c r="J59" s="149"/>
      <c r="K59" s="149" t="s">
        <v>173</v>
      </c>
      <c r="L59" s="150">
        <v>15000</v>
      </c>
      <c r="M59" s="149" t="s">
        <v>179</v>
      </c>
      <c r="O59" s="14"/>
    </row>
    <row r="60" spans="1:16">
      <c r="A60">
        <v>20</v>
      </c>
      <c r="B60" s="49" t="s">
        <v>167</v>
      </c>
      <c r="C60" s="50">
        <f>+Entradas!I57</f>
        <v>30000</v>
      </c>
      <c r="D60" s="49">
        <f>+I6+I7</f>
        <v>34</v>
      </c>
      <c r="E60" s="51">
        <f t="shared" ref="E60:E63" si="10">+C60*D60*G60</f>
        <v>0</v>
      </c>
      <c r="F60" s="1339" t="s">
        <v>168</v>
      </c>
      <c r="G60" s="561">
        <f>VLOOKUP(Entradas!$D$57,Parametros!$B$219:$C$220,2,0)</f>
        <v>0</v>
      </c>
      <c r="H60" s="561"/>
      <c r="J60" s="149"/>
      <c r="K60" s="149"/>
      <c r="L60" s="149"/>
      <c r="M60" s="149"/>
    </row>
    <row r="61" spans="1:16">
      <c r="A61">
        <v>22</v>
      </c>
      <c r="B61" s="49" t="s">
        <v>172</v>
      </c>
      <c r="C61" s="50">
        <f>+Entradas!H57</f>
        <v>30000</v>
      </c>
      <c r="D61" s="49">
        <f>+I8</f>
        <v>58</v>
      </c>
      <c r="E61" s="51">
        <f t="shared" si="10"/>
        <v>0</v>
      </c>
      <c r="F61" s="1340"/>
      <c r="G61" s="561">
        <f>VLOOKUP(Entradas!$D$57,Parametros!$B$219:$C$220,2,0)</f>
        <v>0</v>
      </c>
      <c r="H61" s="561"/>
      <c r="J61" s="149"/>
      <c r="K61" s="149"/>
      <c r="L61" s="149"/>
      <c r="M61" s="149"/>
      <c r="N61" s="48" t="s">
        <v>174</v>
      </c>
    </row>
    <row r="62" spans="1:16">
      <c r="A62">
        <v>23</v>
      </c>
      <c r="B62" s="49" t="s">
        <v>175</v>
      </c>
      <c r="C62" s="50">
        <f>+Entradas!G57</f>
        <v>25000</v>
      </c>
      <c r="D62" s="616">
        <f>+I9</f>
        <v>143</v>
      </c>
      <c r="E62" s="51">
        <f t="shared" si="10"/>
        <v>0</v>
      </c>
      <c r="F62" s="1340"/>
      <c r="G62" s="561">
        <f>VLOOKUP(Entradas!$D$57,Parametros!$B$219:$C$220,2,0)</f>
        <v>0</v>
      </c>
      <c r="H62" s="561"/>
      <c r="J62" s="149" t="s">
        <v>183</v>
      </c>
      <c r="K62" s="149" t="s">
        <v>184</v>
      </c>
      <c r="L62" s="149" t="s">
        <v>178</v>
      </c>
      <c r="M62" s="149"/>
      <c r="O62" s="16"/>
      <c r="P62" s="15"/>
    </row>
    <row r="63" spans="1:16">
      <c r="A63">
        <v>24</v>
      </c>
      <c r="B63" s="49" t="s">
        <v>176</v>
      </c>
      <c r="C63" s="50">
        <f>+Entradas!E57</f>
        <v>25000</v>
      </c>
      <c r="D63" s="616">
        <f>+I10+I11</f>
        <v>168</v>
      </c>
      <c r="E63" s="51">
        <f t="shared" si="10"/>
        <v>0</v>
      </c>
      <c r="F63" s="1341"/>
      <c r="G63" s="561">
        <f>VLOOKUP(Entradas!$D$57,Parametros!$B$219:$C$220,2,0)</f>
        <v>0</v>
      </c>
      <c r="H63" s="561"/>
      <c r="J63" s="149"/>
      <c r="K63" s="149"/>
      <c r="L63" s="149" t="s">
        <v>185</v>
      </c>
      <c r="M63" s="149"/>
      <c r="O63" s="16"/>
      <c r="P63" s="15"/>
    </row>
    <row r="64" spans="1:16">
      <c r="B64" s="1333" t="s">
        <v>65</v>
      </c>
      <c r="C64" s="1334"/>
      <c r="D64" s="617">
        <f>SUM(D60:D63)</f>
        <v>403</v>
      </c>
      <c r="E64" s="32">
        <f>SUM(E60:E63)</f>
        <v>0</v>
      </c>
      <c r="J64" s="149" t="s">
        <v>186</v>
      </c>
      <c r="K64" s="149" t="s">
        <v>187</v>
      </c>
      <c r="L64" s="149" t="s">
        <v>188</v>
      </c>
      <c r="M64" s="149"/>
      <c r="O64" s="16"/>
      <c r="P64" s="15"/>
    </row>
    <row r="65" spans="1:16">
      <c r="B65" s="1333" t="s">
        <v>180</v>
      </c>
      <c r="C65" s="1334"/>
      <c r="D65" s="42">
        <v>0.1</v>
      </c>
      <c r="E65" s="32">
        <f>+E66-E64</f>
        <v>0</v>
      </c>
      <c r="F65" s="10"/>
      <c r="G65" s="45"/>
      <c r="J65" s="149" t="s">
        <v>189</v>
      </c>
      <c r="K65" s="149" t="s">
        <v>190</v>
      </c>
      <c r="L65" s="149" t="s">
        <v>188</v>
      </c>
      <c r="M65" s="149"/>
      <c r="O65" s="16"/>
      <c r="P65" s="15"/>
    </row>
    <row r="66" spans="1:16" ht="15.75">
      <c r="B66" s="1342" t="s">
        <v>181</v>
      </c>
      <c r="C66" s="1343"/>
      <c r="D66" s="31"/>
      <c r="E66" s="563">
        <f>+(E64/(1-D65))</f>
        <v>0</v>
      </c>
      <c r="G66" s="9"/>
      <c r="O66" s="16"/>
      <c r="P66" s="15"/>
    </row>
    <row r="67" spans="1:16" ht="15.75">
      <c r="A67" s="8">
        <v>650000</v>
      </c>
      <c r="B67" s="5" t="s">
        <v>112</v>
      </c>
      <c r="C67" s="8">
        <f>+A67*5.2%+A67</f>
        <v>683800</v>
      </c>
      <c r="D67" s="257">
        <f>+$I$15</f>
        <v>14.392857142857142</v>
      </c>
      <c r="E67" s="29">
        <f>IF(Entradas!E16=1,+C67*D67*B18,0)</f>
        <v>0</v>
      </c>
      <c r="F67" s="1332" t="s">
        <v>182</v>
      </c>
      <c r="G67" s="556">
        <f>IF('Costos Directos discriminados'!$D$42=1,(E67*1),0)</f>
        <v>0</v>
      </c>
      <c r="P67" s="17"/>
    </row>
    <row r="68" spans="1:16" ht="15.75">
      <c r="A68" s="8">
        <v>756000</v>
      </c>
      <c r="B68" s="5" t="s">
        <v>113</v>
      </c>
      <c r="C68" s="8">
        <f t="shared" ref="C68:C69" si="11">+A68*5.2%+A68</f>
        <v>795312</v>
      </c>
      <c r="D68" s="257">
        <f t="shared" ref="D68:D70" si="12">+$I$15</f>
        <v>14.392857142857142</v>
      </c>
      <c r="E68" s="29">
        <f>IF(Entradas!E16=1,+C68*D68*D18,0)</f>
        <v>0</v>
      </c>
      <c r="F68" s="1332"/>
      <c r="G68" s="556">
        <f>IF('Costos Directos discriminados'!$D$42=1,(E68*1),0)</f>
        <v>0</v>
      </c>
      <c r="P68" s="17"/>
    </row>
    <row r="69" spans="1:16" ht="15.75">
      <c r="A69" s="8">
        <v>860000</v>
      </c>
      <c r="B69" s="5" t="s">
        <v>114</v>
      </c>
      <c r="C69" s="8">
        <f t="shared" si="11"/>
        <v>904720</v>
      </c>
      <c r="D69" s="257">
        <f t="shared" si="12"/>
        <v>14.392857142857142</v>
      </c>
      <c r="E69" s="29">
        <f>IF(Entradas!E16=1,(C69*D69*C18),0)</f>
        <v>0</v>
      </c>
      <c r="F69" s="1332"/>
      <c r="G69" s="556">
        <f>IF('Costos Directos discriminados'!$D$42=1,(E69*1),0)</f>
        <v>0</v>
      </c>
      <c r="P69" s="17"/>
    </row>
    <row r="70" spans="1:16" ht="15.75">
      <c r="A70" s="8">
        <v>600000</v>
      </c>
      <c r="B70" s="5" t="s">
        <v>115</v>
      </c>
      <c r="C70" s="8">
        <v>683800</v>
      </c>
      <c r="D70" s="257">
        <f t="shared" si="12"/>
        <v>14.392857142857142</v>
      </c>
      <c r="E70" s="29">
        <f>IF(Entradas!E16=1,(C70*D70*E18),0)</f>
        <v>0</v>
      </c>
      <c r="F70" s="1332"/>
      <c r="G70" s="556">
        <f>IF('Costos Directos discriminados'!$D$42=1,(E70*1),0)</f>
        <v>0</v>
      </c>
      <c r="P70" s="17"/>
    </row>
    <row r="71" spans="1:16">
      <c r="B71" s="5" t="s">
        <v>191</v>
      </c>
      <c r="C71" s="8"/>
      <c r="D71" s="28">
        <f>+I13</f>
        <v>7</v>
      </c>
      <c r="E71" s="28">
        <f>+C71*D71</f>
        <v>0</v>
      </c>
      <c r="G71" s="45"/>
    </row>
    <row r="72" spans="1:16">
      <c r="B72" s="1333" t="s">
        <v>65</v>
      </c>
      <c r="C72" s="1334"/>
      <c r="D72" s="617"/>
      <c r="E72" s="32">
        <f>SUM(E67:E71)</f>
        <v>0</v>
      </c>
    </row>
    <row r="73" spans="1:16">
      <c r="C73" s="30"/>
      <c r="D73" s="1"/>
      <c r="E73" s="1"/>
    </row>
    <row r="74" spans="1:16">
      <c r="C74" s="10"/>
      <c r="G74" s="52"/>
      <c r="H74" s="52"/>
      <c r="I74" s="52"/>
      <c r="J74" s="52"/>
      <c r="K74" s="57"/>
    </row>
    <row r="75" spans="1:16" ht="24" hidden="1">
      <c r="A75" s="19" t="s">
        <v>192</v>
      </c>
      <c r="B75" s="19" t="s">
        <v>193</v>
      </c>
      <c r="C75" s="19" t="s">
        <v>194</v>
      </c>
      <c r="D75" s="19" t="s">
        <v>195</v>
      </c>
      <c r="E75" s="19" t="s">
        <v>196</v>
      </c>
      <c r="F75" s="19" t="s">
        <v>197</v>
      </c>
      <c r="G75" s="19" t="s">
        <v>198</v>
      </c>
    </row>
    <row r="76" spans="1:16" ht="24" hidden="1">
      <c r="A76" s="68">
        <v>3260</v>
      </c>
      <c r="B76" s="70">
        <v>1300</v>
      </c>
      <c r="C76" s="96" t="s">
        <v>199</v>
      </c>
      <c r="D76" s="71">
        <v>42396</v>
      </c>
      <c r="E76" s="72">
        <v>13</v>
      </c>
      <c r="F76" s="70" t="s">
        <v>131</v>
      </c>
      <c r="G76" s="70">
        <v>0</v>
      </c>
      <c r="H76" s="90">
        <f>+D76/E76</f>
        <v>3261.2307692307691</v>
      </c>
      <c r="I76" s="39">
        <f>+H76*(I13+I17)*I15</f>
        <v>438092</v>
      </c>
    </row>
    <row r="77" spans="1:16" hidden="1">
      <c r="A77" s="68">
        <v>6522</v>
      </c>
      <c r="B77" s="70">
        <v>1301</v>
      </c>
      <c r="C77" s="70" t="s">
        <v>200</v>
      </c>
      <c r="D77" s="73">
        <v>19567</v>
      </c>
      <c r="E77" s="72">
        <v>3</v>
      </c>
      <c r="F77" s="70" t="s">
        <v>131</v>
      </c>
      <c r="G77" s="70">
        <v>0</v>
      </c>
      <c r="H77" s="90">
        <f>+D77/E77/I16</f>
        <v>3727.0476190476188</v>
      </c>
      <c r="J77" t="s">
        <v>201</v>
      </c>
    </row>
    <row r="78" spans="1:16" ht="24" hidden="1">
      <c r="A78" s="69">
        <v>4737.3125</v>
      </c>
      <c r="B78" s="70">
        <v>4428</v>
      </c>
      <c r="C78" s="96" t="s">
        <v>202</v>
      </c>
      <c r="D78" s="74">
        <v>75797</v>
      </c>
      <c r="E78" s="72">
        <v>16</v>
      </c>
      <c r="F78" s="70" t="s">
        <v>203</v>
      </c>
      <c r="G78" s="70">
        <v>0</v>
      </c>
      <c r="H78" s="90">
        <f>+D78/E78</f>
        <v>4737.3125</v>
      </c>
      <c r="J78" s="41">
        <v>50000</v>
      </c>
    </row>
    <row r="79" spans="1:16" ht="24" hidden="1">
      <c r="A79" s="69">
        <v>10465.299999999999</v>
      </c>
      <c r="B79" s="70">
        <v>5400</v>
      </c>
      <c r="C79" s="96" t="s">
        <v>204</v>
      </c>
      <c r="D79" s="71">
        <v>1046530</v>
      </c>
      <c r="E79" s="72">
        <v>13</v>
      </c>
      <c r="F79" s="70" t="s">
        <v>131</v>
      </c>
      <c r="G79" s="70">
        <v>0</v>
      </c>
      <c r="H79" s="89">
        <f>+D79/100</f>
        <v>10465.299999999999</v>
      </c>
      <c r="I79" s="66">
        <f>+H79+H76</f>
        <v>13726.530769230769</v>
      </c>
    </row>
    <row r="80" spans="1:16" ht="24" hidden="1">
      <c r="A80" s="69">
        <v>102036.33333333333</v>
      </c>
      <c r="B80" s="70">
        <v>5401</v>
      </c>
      <c r="C80" s="96" t="s">
        <v>103</v>
      </c>
      <c r="D80" s="73">
        <v>306109</v>
      </c>
      <c r="E80" s="72">
        <v>3</v>
      </c>
      <c r="F80" s="70" t="s">
        <v>131</v>
      </c>
      <c r="G80" s="70">
        <v>0</v>
      </c>
      <c r="H80" s="90">
        <f t="shared" ref="H80:H94" si="13">+D80/E80</f>
        <v>102036.33333333333</v>
      </c>
      <c r="I80" s="67">
        <f>+(D80+C833)/3</f>
        <v>102036.33333333333</v>
      </c>
    </row>
    <row r="81" spans="1:11" hidden="1">
      <c r="A81" s="69">
        <v>134681</v>
      </c>
      <c r="B81" s="70">
        <v>5402</v>
      </c>
      <c r="C81" s="96" t="s">
        <v>205</v>
      </c>
      <c r="D81" s="75">
        <v>134681</v>
      </c>
      <c r="E81" s="72">
        <v>1</v>
      </c>
      <c r="F81" s="70" t="s">
        <v>131</v>
      </c>
      <c r="G81" s="70">
        <v>0</v>
      </c>
      <c r="H81" s="90">
        <f t="shared" si="13"/>
        <v>134681</v>
      </c>
    </row>
    <row r="82" spans="1:11" hidden="1">
      <c r="A82" s="69">
        <v>28683.625</v>
      </c>
      <c r="B82" s="70">
        <v>5403</v>
      </c>
      <c r="C82" s="96" t="s">
        <v>206</v>
      </c>
      <c r="D82" s="75">
        <v>229469</v>
      </c>
      <c r="E82" s="72">
        <v>8</v>
      </c>
      <c r="F82" s="70" t="s">
        <v>207</v>
      </c>
      <c r="G82" s="70">
        <v>0</v>
      </c>
      <c r="H82" s="90">
        <f t="shared" si="13"/>
        <v>28683.625</v>
      </c>
    </row>
    <row r="83" spans="1:11" ht="24" hidden="1">
      <c r="A83" s="69">
        <v>26526.666666666668</v>
      </c>
      <c r="B83" s="70">
        <v>5409</v>
      </c>
      <c r="C83" s="96" t="s">
        <v>208</v>
      </c>
      <c r="D83" s="75">
        <v>79580</v>
      </c>
      <c r="E83" s="72">
        <v>3</v>
      </c>
      <c r="F83" s="70" t="s">
        <v>207</v>
      </c>
      <c r="G83" s="70">
        <v>0</v>
      </c>
      <c r="H83" s="90">
        <f t="shared" si="13"/>
        <v>26526.666666666668</v>
      </c>
    </row>
    <row r="84" spans="1:11" ht="24" hidden="1">
      <c r="A84" s="69">
        <v>15000</v>
      </c>
      <c r="B84" s="70">
        <v>5430</v>
      </c>
      <c r="C84" s="96" t="s">
        <v>209</v>
      </c>
      <c r="D84" s="75">
        <v>1500000</v>
      </c>
      <c r="E84" s="72">
        <v>100</v>
      </c>
      <c r="F84" s="70" t="s">
        <v>210</v>
      </c>
      <c r="G84" s="70">
        <v>0</v>
      </c>
      <c r="H84" s="90">
        <f>+D84/E84</f>
        <v>15000</v>
      </c>
    </row>
    <row r="85" spans="1:11" hidden="1">
      <c r="A85" s="69">
        <v>4476</v>
      </c>
      <c r="B85" s="70">
        <v>5431</v>
      </c>
      <c r="C85" s="96" t="s">
        <v>211</v>
      </c>
      <c r="D85" s="75">
        <v>447600</v>
      </c>
      <c r="E85" s="72">
        <v>100</v>
      </c>
      <c r="F85" s="70" t="s">
        <v>212</v>
      </c>
      <c r="G85" s="70">
        <v>0</v>
      </c>
      <c r="H85" s="12">
        <f>+D85/E85</f>
        <v>4476</v>
      </c>
      <c r="I85" s="38">
        <f>+F52</f>
        <v>0</v>
      </c>
      <c r="J85" t="s">
        <v>201</v>
      </c>
      <c r="K85" s="94">
        <f>+I85/100</f>
        <v>0</v>
      </c>
    </row>
    <row r="86" spans="1:11" ht="24" hidden="1">
      <c r="A86" s="92">
        <v>81000</v>
      </c>
      <c r="B86" s="70">
        <v>5433</v>
      </c>
      <c r="C86" s="96" t="s">
        <v>213</v>
      </c>
      <c r="D86" s="76">
        <v>160844</v>
      </c>
      <c r="E86" s="72">
        <v>2</v>
      </c>
      <c r="F86" s="70" t="s">
        <v>131</v>
      </c>
      <c r="G86" s="70">
        <v>0</v>
      </c>
      <c r="H86" s="9">
        <f t="shared" si="13"/>
        <v>80422</v>
      </c>
      <c r="J86" s="95">
        <v>81000</v>
      </c>
    </row>
    <row r="87" spans="1:11" ht="24" hidden="1">
      <c r="A87" s="69">
        <v>93.606060606060609</v>
      </c>
      <c r="B87" s="70">
        <v>5472</v>
      </c>
      <c r="C87" s="93" t="s">
        <v>108</v>
      </c>
      <c r="D87" s="75">
        <v>15445</v>
      </c>
      <c r="E87" s="72">
        <v>165</v>
      </c>
      <c r="F87" s="70" t="s">
        <v>214</v>
      </c>
      <c r="G87" s="70">
        <v>0</v>
      </c>
      <c r="H87" s="9">
        <f t="shared" si="13"/>
        <v>93.606060606060609</v>
      </c>
    </row>
    <row r="88" spans="1:11" ht="24" hidden="1">
      <c r="A88" s="69">
        <v>1360.6</v>
      </c>
      <c r="B88" s="70">
        <v>5504</v>
      </c>
      <c r="C88" s="93" t="s">
        <v>109</v>
      </c>
      <c r="D88" s="75">
        <v>149666</v>
      </c>
      <c r="E88" s="72">
        <v>110</v>
      </c>
      <c r="F88" s="70" t="s">
        <v>215</v>
      </c>
      <c r="G88" s="70">
        <v>5</v>
      </c>
      <c r="H88" s="9">
        <f t="shared" si="13"/>
        <v>1360.6</v>
      </c>
      <c r="J88" t="s">
        <v>201</v>
      </c>
    </row>
    <row r="89" spans="1:11" hidden="1">
      <c r="A89" s="91">
        <v>25740</v>
      </c>
      <c r="B89" s="70">
        <v>5506</v>
      </c>
      <c r="C89" s="96" t="s">
        <v>47</v>
      </c>
      <c r="D89" s="75">
        <v>718699</v>
      </c>
      <c r="E89" s="72">
        <v>31</v>
      </c>
      <c r="F89" s="70" t="s">
        <v>207</v>
      </c>
      <c r="G89" s="70">
        <v>0</v>
      </c>
      <c r="H89" s="9">
        <f t="shared" si="13"/>
        <v>23183.83870967742</v>
      </c>
      <c r="J89" s="44">
        <v>25872</v>
      </c>
    </row>
    <row r="90" spans="1:11" hidden="1">
      <c r="A90" s="91">
        <v>54235</v>
      </c>
      <c r="B90" s="70">
        <v>5601</v>
      </c>
      <c r="C90" s="96" t="s">
        <v>46</v>
      </c>
      <c r="D90" s="75">
        <v>1973553</v>
      </c>
      <c r="E90" s="72">
        <v>41</v>
      </c>
      <c r="F90" s="70" t="s">
        <v>207</v>
      </c>
      <c r="G90" s="70">
        <v>0</v>
      </c>
      <c r="H90" s="9">
        <f t="shared" si="13"/>
        <v>48135.439024390245</v>
      </c>
      <c r="J90" s="47">
        <v>54000</v>
      </c>
    </row>
    <row r="91" spans="1:11" hidden="1">
      <c r="A91" s="91">
        <v>54235</v>
      </c>
      <c r="B91" s="70">
        <v>5701</v>
      </c>
      <c r="C91" s="96" t="s">
        <v>44</v>
      </c>
      <c r="D91" s="75">
        <v>693762</v>
      </c>
      <c r="E91" s="72">
        <v>18</v>
      </c>
      <c r="F91" s="70" t="s">
        <v>207</v>
      </c>
      <c r="G91" s="70">
        <v>0</v>
      </c>
      <c r="H91" s="9">
        <f t="shared" si="13"/>
        <v>38542.333333333336</v>
      </c>
      <c r="J91" s="47">
        <v>54000</v>
      </c>
    </row>
    <row r="92" spans="1:11" hidden="1">
      <c r="A92" s="91">
        <v>54235</v>
      </c>
      <c r="B92" s="70">
        <v>5705</v>
      </c>
      <c r="C92" s="96" t="s">
        <v>67</v>
      </c>
      <c r="D92" s="75">
        <v>693762</v>
      </c>
      <c r="E92" s="72">
        <v>18</v>
      </c>
      <c r="F92" s="70" t="s">
        <v>207</v>
      </c>
      <c r="G92" s="70">
        <v>0</v>
      </c>
      <c r="H92" s="9">
        <f t="shared" si="13"/>
        <v>38542.333333333336</v>
      </c>
      <c r="J92" s="47">
        <v>54000</v>
      </c>
    </row>
    <row r="93" spans="1:11" hidden="1">
      <c r="A93" s="91">
        <v>54235</v>
      </c>
      <c r="B93" s="70">
        <v>5710</v>
      </c>
      <c r="C93" s="96" t="s">
        <v>48</v>
      </c>
      <c r="D93" s="75">
        <v>693762</v>
      </c>
      <c r="E93" s="72">
        <v>18</v>
      </c>
      <c r="F93" s="70" t="s">
        <v>207</v>
      </c>
      <c r="G93" s="70">
        <v>0</v>
      </c>
      <c r="H93" s="9">
        <f t="shared" si="13"/>
        <v>38542.333333333336</v>
      </c>
      <c r="J93" s="47">
        <v>54000</v>
      </c>
    </row>
    <row r="94" spans="1:11" ht="24" hidden="1">
      <c r="A94" s="91">
        <v>54235</v>
      </c>
      <c r="B94" s="70">
        <v>5720</v>
      </c>
      <c r="C94" s="96" t="s">
        <v>45</v>
      </c>
      <c r="D94" s="75">
        <v>353259</v>
      </c>
      <c r="E94" s="72">
        <v>9</v>
      </c>
      <c r="F94" s="70" t="s">
        <v>207</v>
      </c>
      <c r="G94" s="70">
        <v>0</v>
      </c>
      <c r="H94" s="9">
        <f t="shared" si="13"/>
        <v>39251</v>
      </c>
      <c r="J94" s="47">
        <v>54000</v>
      </c>
    </row>
    <row r="95" spans="1:11" hidden="1"/>
    <row r="96" spans="1:11" hidden="1">
      <c r="D96" s="77">
        <f>SUM(D76:D94)</f>
        <v>9334481</v>
      </c>
    </row>
    <row r="97" spans="1:9" hidden="1"/>
    <row r="98" spans="1:9" hidden="1"/>
    <row r="99" spans="1:9">
      <c r="C99" s="2"/>
    </row>
    <row r="100" spans="1:9" ht="15.75">
      <c r="B100" s="477" t="s">
        <v>9</v>
      </c>
      <c r="C100" s="613" t="str">
        <f>+Entradas!D13</f>
        <v>Otro</v>
      </c>
      <c r="D100" s="613" t="s">
        <v>216</v>
      </c>
      <c r="E100" s="477" t="s">
        <v>217</v>
      </c>
      <c r="F100" s="477" t="s">
        <v>218</v>
      </c>
    </row>
    <row r="101" spans="1:9">
      <c r="B101" s="54" t="s">
        <v>219</v>
      </c>
      <c r="C101" s="55">
        <f>+Entradas!D45</f>
        <v>0</v>
      </c>
      <c r="D101" s="53">
        <v>25</v>
      </c>
      <c r="E101" s="3">
        <v>1E-3</v>
      </c>
      <c r="F101" s="53">
        <v>1000</v>
      </c>
    </row>
    <row r="102" spans="1:9">
      <c r="B102" s="54" t="s">
        <v>79</v>
      </c>
      <c r="C102" s="236">
        <f>C12+D12+E12+F12+G12+H12</f>
        <v>0</v>
      </c>
      <c r="D102" s="56"/>
      <c r="E102" s="3"/>
      <c r="F102" s="53"/>
    </row>
    <row r="103" spans="1:9">
      <c r="B103" s="58" t="s">
        <v>65</v>
      </c>
      <c r="C103" s="59">
        <f>+C101*C102</f>
        <v>0</v>
      </c>
      <c r="D103" s="59">
        <f>+D101*D102</f>
        <v>0</v>
      </c>
      <c r="E103" s="60">
        <f>+C103+D103</f>
        <v>0</v>
      </c>
      <c r="F103" s="55"/>
      <c r="I103" s="52"/>
    </row>
    <row r="104" spans="1:9">
      <c r="B104" s="101" t="s">
        <v>220</v>
      </c>
      <c r="C104" s="101"/>
      <c r="D104" s="101"/>
      <c r="E104" s="61">
        <f>+E103/F101</f>
        <v>0</v>
      </c>
      <c r="F104" s="53"/>
      <c r="I104" s="52"/>
    </row>
    <row r="105" spans="1:9">
      <c r="B105" s="102" t="s">
        <v>221</v>
      </c>
      <c r="C105" s="102"/>
      <c r="D105" s="102"/>
      <c r="E105" s="61">
        <f>+ROUNDUP(E104,0)</f>
        <v>0</v>
      </c>
      <c r="F105" s="53"/>
      <c r="I105" s="52"/>
    </row>
    <row r="106" spans="1:9">
      <c r="A106" s="62">
        <v>14000</v>
      </c>
      <c r="B106" s="99" t="s">
        <v>222</v>
      </c>
      <c r="C106" s="100"/>
      <c r="D106" s="62">
        <f>+A106*5.2%+A106</f>
        <v>14728</v>
      </c>
      <c r="E106" s="53">
        <v>1</v>
      </c>
      <c r="F106" s="62">
        <f>+D106*E106</f>
        <v>14728</v>
      </c>
    </row>
    <row r="107" spans="1:9">
      <c r="A107" s="62">
        <v>3000</v>
      </c>
      <c r="B107" s="99" t="s">
        <v>223</v>
      </c>
      <c r="C107" s="100"/>
      <c r="D107" s="62">
        <f>+A107*5.2%+A107</f>
        <v>3156</v>
      </c>
      <c r="E107" s="53">
        <f>+E105-E106</f>
        <v>-1</v>
      </c>
      <c r="F107" s="63">
        <f>+F106+(D107*E107)</f>
        <v>11572</v>
      </c>
    </row>
    <row r="108" spans="1:9">
      <c r="D108" s="64"/>
      <c r="E108" s="64"/>
      <c r="F108" s="65"/>
      <c r="G108" s="52"/>
      <c r="H108" s="57"/>
    </row>
    <row r="109" spans="1:9">
      <c r="D109" s="64"/>
      <c r="E109" s="64"/>
      <c r="F109" s="65"/>
      <c r="G109" s="52"/>
      <c r="H109" s="57"/>
    </row>
  </sheetData>
  <mergeCells count="8">
    <mergeCell ref="F67:F70"/>
    <mergeCell ref="B72:C72"/>
    <mergeCell ref="B4:E4"/>
    <mergeCell ref="B52:E52"/>
    <mergeCell ref="F60:F63"/>
    <mergeCell ref="B64:C64"/>
    <mergeCell ref="B65:C65"/>
    <mergeCell ref="B66:C66"/>
  </mergeCells>
  <pageMargins left="0.7" right="0.7" top="0.75" bottom="0.75" header="0.3" footer="0.3"/>
  <ignoredErrors>
    <ignoredError sqref="I16" formula="1"/>
  </ignoredErrors>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EA48EA12-26B7-4C8A-A677-8764B42D9169}">
          <x14:formula1>
            <xm:f>Parametros!$C$191:$C$197</xm:f>
          </x14:formula1>
          <xm:sqref>C1</xm:sqref>
        </x14:dataValidation>
        <x14:dataValidation type="list" allowBlank="1" showInputMessage="1" showErrorMessage="1" xr:uid="{AC5C4D6D-C1BC-4592-BAD5-A8477D21ADBD}">
          <x14:formula1>
            <xm:f>Parametros!$B$191:$B$201</xm:f>
          </x14:formula1>
          <xm:sqref>G1 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619F-3B1B-4AB2-8396-45B66B899395}">
  <sheetPr codeName="Hoja6"/>
  <dimension ref="A1:BH707"/>
  <sheetViews>
    <sheetView topLeftCell="A36" zoomScale="85" zoomScaleNormal="85" workbookViewId="0">
      <selection activeCell="A39" sqref="A39"/>
    </sheetView>
  </sheetViews>
  <sheetFormatPr baseColWidth="10" defaultColWidth="9.140625" defaultRowHeight="15"/>
  <cols>
    <col min="1" max="1" width="24.42578125" customWidth="1"/>
    <col min="2" max="2" width="33.7109375" customWidth="1"/>
    <col min="3" max="3" width="25.85546875" bestFit="1" customWidth="1"/>
    <col min="4" max="4" width="34.140625" bestFit="1" customWidth="1"/>
    <col min="5" max="5" width="13.5703125" customWidth="1"/>
    <col min="6" max="6" width="23.42578125" customWidth="1"/>
    <col min="7" max="7" width="18.5703125" customWidth="1"/>
    <col min="8" max="8" width="18.28515625" customWidth="1"/>
    <col min="9" max="9" width="22.42578125" customWidth="1"/>
    <col min="10" max="10" width="15.42578125" customWidth="1"/>
    <col min="11" max="11" width="16.5703125" customWidth="1"/>
    <col min="12" max="12" width="14.28515625" customWidth="1"/>
    <col min="13" max="13" width="15.5703125" customWidth="1"/>
    <col min="14" max="14" width="15.42578125" customWidth="1"/>
    <col min="15" max="15" width="12.85546875" customWidth="1"/>
    <col min="16" max="16" width="12.85546875" style="459" customWidth="1"/>
    <col min="17" max="17" width="15.5703125" style="459" bestFit="1" customWidth="1"/>
    <col min="18" max="19" width="15.5703125" style="459" customWidth="1"/>
    <col min="20" max="20" width="18.7109375" style="459" customWidth="1"/>
    <col min="21" max="22" width="13.42578125" style="459" customWidth="1"/>
    <col min="23" max="23" width="14.5703125" style="459" bestFit="1" customWidth="1"/>
    <col min="24" max="25" width="13.42578125" style="459" customWidth="1"/>
    <col min="26" max="26" width="14.5703125" style="459" bestFit="1" customWidth="1"/>
    <col min="27" max="27" width="32.7109375" style="459" bestFit="1" customWidth="1"/>
    <col min="28" max="28" width="15" style="459" customWidth="1"/>
    <col min="29" max="29" width="15.5703125" style="459" bestFit="1" customWidth="1"/>
    <col min="30" max="30" width="15.7109375" style="459" customWidth="1"/>
    <col min="31" max="31" width="13.42578125" style="459" customWidth="1"/>
    <col min="32" max="32" width="15.5703125" style="459" bestFit="1" customWidth="1"/>
    <col min="33" max="34" width="13.42578125" customWidth="1"/>
    <col min="35" max="35" width="14.5703125" bestFit="1" customWidth="1"/>
    <col min="36" max="36" width="5.42578125" customWidth="1"/>
    <col min="37" max="37" width="4.140625" customWidth="1"/>
    <col min="38" max="38" width="13.5703125" bestFit="1" customWidth="1"/>
    <col min="39" max="39" width="9.140625" customWidth="1"/>
    <col min="40" max="40" width="9.85546875" customWidth="1"/>
    <col min="41" max="42" width="16.5703125" customWidth="1"/>
    <col min="43" max="43" width="10.7109375" customWidth="1"/>
    <col min="44" max="44" width="9.7109375" bestFit="1" customWidth="1"/>
    <col min="45" max="46" width="14.140625" customWidth="1"/>
    <col min="47" max="47" width="9.140625" bestFit="1" customWidth="1"/>
    <col min="48" max="48" width="12.7109375" customWidth="1"/>
    <col min="49" max="49" width="14.140625" bestFit="1" customWidth="1"/>
    <col min="50" max="50" width="17.42578125" customWidth="1"/>
  </cols>
  <sheetData>
    <row r="1" spans="1:60" ht="45">
      <c r="A1" s="440"/>
      <c r="B1" t="str">
        <f>B3</f>
        <v>Perfil</v>
      </c>
      <c r="C1" t="str">
        <f t="shared" ref="C1:AI1" si="0">C3</f>
        <v>Mas 82%</v>
      </c>
      <c r="D1" t="str">
        <f t="shared" si="0"/>
        <v>Coordinación, supervisión y tablets</v>
      </c>
      <c r="E1" t="str">
        <f t="shared" si="0"/>
        <v>Total Mas 82%</v>
      </c>
      <c r="F1" t="str">
        <f t="shared" si="0"/>
        <v>75%-82%</v>
      </c>
      <c r="G1" t="str">
        <f t="shared" si="0"/>
        <v>Coordinación, supervisión y tablets</v>
      </c>
      <c r="H1" t="str">
        <f t="shared" si="0"/>
        <v>Total 75%-82%</v>
      </c>
      <c r="I1" t="str">
        <f t="shared" si="0"/>
        <v>67%-74%</v>
      </c>
      <c r="J1" t="str">
        <f t="shared" si="0"/>
        <v>Coordinación, supervisión y tablets</v>
      </c>
      <c r="K1" t="str">
        <f t="shared" si="0"/>
        <v>Total 67%-74%</v>
      </c>
      <c r="L1" t="str">
        <f t="shared" si="0"/>
        <v>55-66%</v>
      </c>
      <c r="M1" t="str">
        <f t="shared" si="0"/>
        <v>Coordinación, supervisión y tablets</v>
      </c>
      <c r="N1" t="str">
        <f t="shared" si="0"/>
        <v>Total Mas 55-66%</v>
      </c>
      <c r="O1" t="str">
        <f t="shared" si="0"/>
        <v>46-54%</v>
      </c>
      <c r="P1" s="459" t="str">
        <f t="shared" si="0"/>
        <v>Coordinación, supervisión y tablets</v>
      </c>
      <c r="Q1" s="459" t="str">
        <f t="shared" si="0"/>
        <v>Total Mas 46-54%</v>
      </c>
      <c r="R1" s="459" t="str">
        <f t="shared" si="0"/>
        <v>37-45%</v>
      </c>
      <c r="S1" s="459" t="str">
        <f t="shared" si="0"/>
        <v>Coordinación, supervisión y tablets</v>
      </c>
      <c r="T1" s="459" t="str">
        <f t="shared" si="0"/>
        <v>Total Mas 37-45%</v>
      </c>
      <c r="U1" s="459" t="str">
        <f t="shared" si="0"/>
        <v>30-36%</v>
      </c>
      <c r="V1" s="459" t="str">
        <f t="shared" si="0"/>
        <v>Coordinación, supervisión y tablets</v>
      </c>
      <c r="W1" s="459" t="str">
        <f t="shared" si="0"/>
        <v>Total Mas 30-36%</v>
      </c>
      <c r="X1" s="459" t="str">
        <f t="shared" si="0"/>
        <v>22-29%</v>
      </c>
      <c r="Y1" s="459" t="str">
        <f t="shared" si="0"/>
        <v>Coordinación, supervisión y tablets</v>
      </c>
      <c r="Z1" s="459" t="str">
        <f t="shared" si="0"/>
        <v>Total Mas 22-29%</v>
      </c>
      <c r="AA1" s="459" t="str">
        <f t="shared" si="0"/>
        <v>15-21%</v>
      </c>
      <c r="AB1" s="459" t="str">
        <f t="shared" si="0"/>
        <v>Coordinación, supervisión y tablets</v>
      </c>
      <c r="AC1" s="459" t="str">
        <f t="shared" si="0"/>
        <v>Total Mas 15-21%</v>
      </c>
      <c r="AD1" s="459" t="str">
        <f t="shared" si="0"/>
        <v>10-14%</v>
      </c>
      <c r="AE1" s="459" t="str">
        <f t="shared" si="0"/>
        <v>Coordinación, supervisión y tablets</v>
      </c>
      <c r="AF1" s="459" t="str">
        <f t="shared" si="0"/>
        <v>Total Mas 10-14%</v>
      </c>
      <c r="AG1" t="str">
        <f t="shared" si="0"/>
        <v>0-9%</v>
      </c>
      <c r="AH1" t="str">
        <f t="shared" si="0"/>
        <v>Coordinación, supervisión y tablets</v>
      </c>
      <c r="AI1" t="str">
        <f t="shared" si="0"/>
        <v>Total Mas 0-9%</v>
      </c>
    </row>
    <row r="2" spans="1:60" ht="30">
      <c r="A2" s="440"/>
      <c r="B2">
        <v>1</v>
      </c>
      <c r="C2">
        <v>2</v>
      </c>
      <c r="D2">
        <v>3</v>
      </c>
      <c r="E2">
        <v>4</v>
      </c>
      <c r="F2">
        <v>5</v>
      </c>
      <c r="G2">
        <v>6</v>
      </c>
      <c r="H2">
        <v>7</v>
      </c>
      <c r="I2">
        <v>8</v>
      </c>
      <c r="J2">
        <v>9</v>
      </c>
      <c r="K2">
        <v>10</v>
      </c>
      <c r="L2">
        <v>11</v>
      </c>
      <c r="M2">
        <v>12</v>
      </c>
      <c r="N2">
        <v>13</v>
      </c>
      <c r="O2">
        <v>14</v>
      </c>
      <c r="P2" s="459">
        <v>15</v>
      </c>
      <c r="Q2" s="459">
        <v>16</v>
      </c>
      <c r="R2" s="459">
        <v>17</v>
      </c>
      <c r="S2" s="459">
        <v>18</v>
      </c>
      <c r="T2" s="459">
        <v>19</v>
      </c>
      <c r="U2" s="459">
        <v>20</v>
      </c>
      <c r="V2" s="459">
        <v>21</v>
      </c>
      <c r="W2" s="459">
        <v>22</v>
      </c>
      <c r="X2" s="459">
        <v>23</v>
      </c>
      <c r="Y2" s="459">
        <v>24</v>
      </c>
      <c r="Z2" s="459">
        <v>25</v>
      </c>
      <c r="AA2" s="459">
        <v>26</v>
      </c>
      <c r="AB2" s="459">
        <v>27</v>
      </c>
      <c r="AC2" s="459">
        <v>28</v>
      </c>
      <c r="AD2" s="459">
        <v>29</v>
      </c>
      <c r="AE2" s="459">
        <v>30</v>
      </c>
      <c r="AF2" s="459">
        <v>31</v>
      </c>
      <c r="AG2">
        <v>32</v>
      </c>
      <c r="AH2">
        <v>33</v>
      </c>
      <c r="AI2">
        <v>34</v>
      </c>
      <c r="AX2" s="103" t="s">
        <v>355</v>
      </c>
    </row>
    <row r="3" spans="1:60" ht="45">
      <c r="A3" s="440"/>
      <c r="B3" s="3" t="s">
        <v>356</v>
      </c>
      <c r="C3" s="3" t="s">
        <v>357</v>
      </c>
      <c r="D3" s="43" t="s">
        <v>358</v>
      </c>
      <c r="E3" s="31" t="s">
        <v>359</v>
      </c>
      <c r="F3" s="3" t="s">
        <v>360</v>
      </c>
      <c r="G3" s="43" t="s">
        <v>358</v>
      </c>
      <c r="H3" s="31" t="s">
        <v>361</v>
      </c>
      <c r="I3" s="3" t="s">
        <v>362</v>
      </c>
      <c r="J3" s="43" t="s">
        <v>358</v>
      </c>
      <c r="K3" s="31" t="s">
        <v>363</v>
      </c>
      <c r="L3" s="3" t="s">
        <v>364</v>
      </c>
      <c r="M3" s="43" t="s">
        <v>358</v>
      </c>
      <c r="N3" s="31" t="s">
        <v>365</v>
      </c>
      <c r="O3" s="3" t="s">
        <v>55</v>
      </c>
      <c r="P3" s="43" t="s">
        <v>358</v>
      </c>
      <c r="Q3" s="876" t="s">
        <v>366</v>
      </c>
      <c r="R3" s="43" t="s">
        <v>367</v>
      </c>
      <c r="S3" s="43" t="s">
        <v>358</v>
      </c>
      <c r="T3" s="876" t="s">
        <v>368</v>
      </c>
      <c r="U3" s="43" t="str">
        <f>+B197</f>
        <v>30-36%</v>
      </c>
      <c r="V3" s="43" t="s">
        <v>358</v>
      </c>
      <c r="W3" s="876" t="s">
        <v>369</v>
      </c>
      <c r="X3" s="43" t="str">
        <f>+B198</f>
        <v>22-29%</v>
      </c>
      <c r="Y3" s="43" t="s">
        <v>358</v>
      </c>
      <c r="Z3" s="876" t="s">
        <v>370</v>
      </c>
      <c r="AA3" s="43" t="str">
        <f>+B199</f>
        <v>15-21%</v>
      </c>
      <c r="AB3" s="43" t="s">
        <v>358</v>
      </c>
      <c r="AC3" s="876" t="s">
        <v>371</v>
      </c>
      <c r="AD3" s="43" t="str">
        <f>+B200</f>
        <v>10-14%</v>
      </c>
      <c r="AE3" s="43" t="s">
        <v>358</v>
      </c>
      <c r="AF3" s="876" t="s">
        <v>372</v>
      </c>
      <c r="AG3" s="43" t="str">
        <f>+B201</f>
        <v>0-9%</v>
      </c>
      <c r="AH3" s="43" t="s">
        <v>358</v>
      </c>
      <c r="AI3" s="31" t="s">
        <v>373</v>
      </c>
      <c r="AL3" s="79" t="s">
        <v>374</v>
      </c>
      <c r="AM3" s="3" t="s">
        <v>357</v>
      </c>
      <c r="AN3" s="3" t="s">
        <v>360</v>
      </c>
      <c r="AO3" s="3" t="s">
        <v>362</v>
      </c>
      <c r="AP3" s="3" t="s">
        <v>364</v>
      </c>
      <c r="AQ3" s="3" t="s">
        <v>55</v>
      </c>
      <c r="AR3" s="11" t="s">
        <v>367</v>
      </c>
      <c r="AS3" s="11" t="s">
        <v>375</v>
      </c>
      <c r="AT3" s="11" t="s">
        <v>376</v>
      </c>
      <c r="AU3" s="11" t="s">
        <v>377</v>
      </c>
      <c r="AV3" s="11" t="s">
        <v>378</v>
      </c>
      <c r="AW3" s="11" t="s">
        <v>379</v>
      </c>
      <c r="AX3" s="103" t="s">
        <v>357</v>
      </c>
      <c r="AY3" s="104" t="s">
        <v>360</v>
      </c>
      <c r="AZ3" s="104" t="s">
        <v>362</v>
      </c>
      <c r="BA3" s="104" t="s">
        <v>364</v>
      </c>
      <c r="BB3" s="105" t="s">
        <v>55</v>
      </c>
      <c r="BC3" s="105" t="s">
        <v>367</v>
      </c>
      <c r="BD3" s="105" t="s">
        <v>375</v>
      </c>
      <c r="BE3" s="105" t="s">
        <v>376</v>
      </c>
      <c r="BF3" s="105" t="s">
        <v>377</v>
      </c>
      <c r="BG3" s="105" t="s">
        <v>378</v>
      </c>
      <c r="BH3" s="105" t="s">
        <v>379</v>
      </c>
    </row>
    <row r="4" spans="1:60">
      <c r="A4" s="440">
        <v>5</v>
      </c>
      <c r="B4" s="3" t="s">
        <v>380</v>
      </c>
      <c r="C4" s="80">
        <f>+'Precios bases'!C4*5.2%+'Precios bases'!C4</f>
        <v>7493.3959999999997</v>
      </c>
      <c r="D4" s="81">
        <f>+'Precios bases'!D4*5.2%+'Precios bases'!D4</f>
        <v>13893.763999999999</v>
      </c>
      <c r="E4" s="439">
        <f>+'Precios bases'!E4*5.2%+'Precios bases'!E4</f>
        <v>21387.16</v>
      </c>
      <c r="F4" s="80">
        <f>+'Precios bases'!F4*5.2%+'Precios bases'!F4</f>
        <v>8019.3959999999997</v>
      </c>
      <c r="G4" s="81">
        <f>+'Precios bases'!G4*5.2%+'Precios bases'!G4</f>
        <v>13893.763999999999</v>
      </c>
      <c r="H4" s="86">
        <f>+'Precios bases'!H4*5.2%+'Precios bases'!H4</f>
        <v>21913.16</v>
      </c>
      <c r="I4" s="80">
        <f>+'Precios bases'!I4*5.2%+'Precios bases'!I4</f>
        <v>8545.3960000000006</v>
      </c>
      <c r="J4" s="81">
        <f>+'Precios bases'!J4*5.2%+'Precios bases'!J4</f>
        <v>13893.763999999999</v>
      </c>
      <c r="K4" s="86">
        <f>+'Precios bases'!K4*5.2%+'Precios bases'!K4</f>
        <v>22439.16</v>
      </c>
      <c r="L4" s="80">
        <f>+'Precios bases'!L4*5.2%+'Precios bases'!L4</f>
        <v>8966.1959999999999</v>
      </c>
      <c r="M4" s="81">
        <f>+'Precios bases'!M4*5.2%+'Precios bases'!M4</f>
        <v>13998.964</v>
      </c>
      <c r="N4" s="86">
        <f>+'Precios bases'!N4*5.2%+'Precios bases'!N4</f>
        <v>22965.16</v>
      </c>
      <c r="O4" s="80">
        <f>+'Precios bases'!O4*5.2%+'Precios bases'!O4</f>
        <v>9848.8240000000005</v>
      </c>
      <c r="P4" s="877">
        <f>+'Precios bases'!P4*5.2%+'Precios bases'!P4</f>
        <v>14168.335999999999</v>
      </c>
      <c r="Q4" s="878">
        <f>+'Precios bases'!Q4*5.2%+'Precios bases'!Q4</f>
        <v>24017.16</v>
      </c>
      <c r="R4" s="877">
        <f>+'Precios bases'!R4*5.2%+'Precios bases'!R4</f>
        <v>10756.7</v>
      </c>
      <c r="S4" s="877">
        <f>+'Precios bases'!S4*5.2%+'Precios bases'!S4</f>
        <v>14838.46</v>
      </c>
      <c r="T4" s="878">
        <f>+'Precios bases'!T4*5.2%+'Precios bases'!T4</f>
        <v>25595.16</v>
      </c>
      <c r="U4" s="877">
        <f>+'Precios bases'!U4*5.2%+'Precios bases'!U4</f>
        <v>13286.76</v>
      </c>
      <c r="V4" s="877">
        <f>+'Precios bases'!V4*5.2%+'Precios bases'!V4</f>
        <v>15990.4</v>
      </c>
      <c r="W4" s="878">
        <f>+'Precios bases'!W4*5.2%+'Precios bases'!W4</f>
        <v>29277.16</v>
      </c>
      <c r="X4" s="877">
        <f>+'Precios bases'!X4*5.2%+'Precios bases'!X4</f>
        <v>16442.759999999998</v>
      </c>
      <c r="Y4" s="877">
        <f>+'Precios bases'!Y4*5.2%+'Precios bases'!Y4</f>
        <v>15990.4</v>
      </c>
      <c r="Z4" s="878">
        <f>+'Precios bases'!Z4*5.2%+'Precios bases'!Z4</f>
        <v>32433.16</v>
      </c>
      <c r="AA4" s="877">
        <f>+'Precios bases'!AA4*5.2%+'Precios bases'!AA4</f>
        <v>19072.759999999998</v>
      </c>
      <c r="AB4" s="877">
        <f>+'Precios bases'!AB4*5.2%+'Precios bases'!AB4</f>
        <v>15990.4</v>
      </c>
      <c r="AC4" s="878">
        <f>+'Precios bases'!AC4*5.2%+'Precios bases'!AC4</f>
        <v>35063.160000000003</v>
      </c>
      <c r="AD4" s="877">
        <f>+'Precios bases'!AD4*5.2%+'Precios bases'!AD4</f>
        <v>21702.76</v>
      </c>
      <c r="AE4" s="877">
        <f>+'Precios bases'!AE4*5.2%+'Precios bases'!AE4</f>
        <v>15990.4</v>
      </c>
      <c r="AF4" s="878">
        <f>+'Precios bases'!AF4*5.2%+'Precios bases'!AF4</f>
        <v>37693.160000000003</v>
      </c>
      <c r="AG4" s="80">
        <f>+'Precios bases'!AG4*5.2%+'Precios bases'!AG4</f>
        <v>24332.760000000002</v>
      </c>
      <c r="AH4" s="80">
        <f>+'Precios bases'!AH4*5.2%+'Precios bases'!AH4</f>
        <v>15990.4</v>
      </c>
      <c r="AI4" s="86">
        <f>+'Precios bases'!AI4*5.2%+'Precios bases'!AI4</f>
        <v>40323.160000000003</v>
      </c>
      <c r="AL4" s="3" t="s">
        <v>380</v>
      </c>
      <c r="AM4" s="3"/>
      <c r="AN4" s="80">
        <f>+H4-E4</f>
        <v>526</v>
      </c>
      <c r="AO4" s="80">
        <f>+K4-H4</f>
        <v>526</v>
      </c>
      <c r="AP4" s="80">
        <f>+N4-K4</f>
        <v>526</v>
      </c>
      <c r="AQ4" s="80">
        <f>+Q4-N4</f>
        <v>1052</v>
      </c>
      <c r="AR4" s="80">
        <f t="shared" ref="AR4:AR11" si="1">+T4-Q4</f>
        <v>1578</v>
      </c>
      <c r="AS4" s="80">
        <f t="shared" ref="AS4:AS11" si="2">+W4-T4</f>
        <v>3682</v>
      </c>
      <c r="AT4" s="80">
        <f t="shared" ref="AT4:AT11" si="3">+Z4-W4</f>
        <v>3156</v>
      </c>
      <c r="AU4" s="80">
        <f t="shared" ref="AU4:AU11" si="4">+AC4-Z4</f>
        <v>2630.0000000000036</v>
      </c>
      <c r="AV4" s="80">
        <f t="shared" ref="AV4:AV11" si="5">+AF4-AC4</f>
        <v>2630</v>
      </c>
      <c r="AW4" s="80">
        <f t="shared" ref="AW4:AW11" si="6">+AI4-AF4</f>
        <v>2630</v>
      </c>
      <c r="AX4" s="88"/>
      <c r="AY4" s="88"/>
      <c r="AZ4" s="88"/>
      <c r="BA4" s="88"/>
      <c r="BB4" s="88"/>
      <c r="BC4" s="88"/>
      <c r="BD4" s="88"/>
      <c r="BE4" s="88"/>
      <c r="BF4" s="88"/>
      <c r="BG4" s="88"/>
      <c r="BH4" s="88"/>
    </row>
    <row r="5" spans="1:60">
      <c r="A5" s="440">
        <v>10</v>
      </c>
      <c r="B5" s="3" t="s">
        <v>39</v>
      </c>
      <c r="C5" s="80">
        <f>+'Precios bases'!C5*5.2%+'Precios bases'!C5</f>
        <v>8545.3960000000006</v>
      </c>
      <c r="D5" s="81">
        <f>+'Precios bases'!D5*5.2%+'Precios bases'!D5</f>
        <v>13893.763999999999</v>
      </c>
      <c r="E5" s="86">
        <f>+'Precios bases'!E5*5.2%+'Precios bases'!E5</f>
        <v>22439.16</v>
      </c>
      <c r="F5" s="80">
        <f>+'Precios bases'!F5*5.2%+'Precios bases'!F5</f>
        <v>9071.3960000000006</v>
      </c>
      <c r="G5" s="81">
        <f>+'Precios bases'!G5*5.2%+'Precios bases'!G5</f>
        <v>13893.763999999999</v>
      </c>
      <c r="H5" s="86">
        <f>+'Precios bases'!H5*5.2%+'Precios bases'!H5</f>
        <v>22965.16</v>
      </c>
      <c r="I5" s="80">
        <f>+'Precios bases'!I5*5.2%+'Precios bases'!I5</f>
        <v>9597.3960000000006</v>
      </c>
      <c r="J5" s="81">
        <f>+'Precios bases'!J5*5.2%+'Precios bases'!J5</f>
        <v>13893.763999999999</v>
      </c>
      <c r="K5" s="86">
        <f>+'Precios bases'!K5*5.2%+'Precios bases'!K5</f>
        <v>23491.16</v>
      </c>
      <c r="L5" s="80">
        <f>+'Precios bases'!L5*5.2%+'Precios bases'!L5</f>
        <v>10018.196</v>
      </c>
      <c r="M5" s="81">
        <f>+'Precios bases'!M5*5.2%+'Precios bases'!M5</f>
        <v>13998.964</v>
      </c>
      <c r="N5" s="86">
        <f>+'Precios bases'!N5*5.2%+'Precios bases'!N5</f>
        <v>24017.16</v>
      </c>
      <c r="O5" s="80">
        <f>+'Precios bases'!O5*5.2%+'Precios bases'!O5</f>
        <v>10900.824000000001</v>
      </c>
      <c r="P5" s="877">
        <f>+'Precios bases'!P5*5.2%+'Precios bases'!P5</f>
        <v>14168.335999999999</v>
      </c>
      <c r="Q5" s="878">
        <f>+'Precios bases'!Q5*5.2%+'Precios bases'!Q5</f>
        <v>25069.16</v>
      </c>
      <c r="R5" s="877">
        <f>+'Precios bases'!R5*5.2%+'Precios bases'!R5</f>
        <v>11808.7</v>
      </c>
      <c r="S5" s="877">
        <f>+'Precios bases'!S5*5.2%+'Precios bases'!S5</f>
        <v>14838.46</v>
      </c>
      <c r="T5" s="878">
        <f>+'Precios bases'!T5*5.2%+'Precios bases'!T5</f>
        <v>26647.16</v>
      </c>
      <c r="U5" s="877">
        <f>+'Precios bases'!U5*5.2%+'Precios bases'!U5</f>
        <v>14338.76</v>
      </c>
      <c r="V5" s="877">
        <f>+'Precios bases'!V5*5.2%+'Precios bases'!V5</f>
        <v>15990.4</v>
      </c>
      <c r="W5" s="878">
        <f>+'Precios bases'!W5*5.2%+'Precios bases'!W5</f>
        <v>30329.16</v>
      </c>
      <c r="X5" s="877">
        <f>+'Precios bases'!X5*5.2%+'Precios bases'!X5</f>
        <v>18546.759999999998</v>
      </c>
      <c r="Y5" s="877">
        <f>+'Precios bases'!Y5*5.2%+'Precios bases'!Y5</f>
        <v>15990.4</v>
      </c>
      <c r="Z5" s="878">
        <f>+'Precios bases'!Z5*5.2%+'Precios bases'!Z5</f>
        <v>34537.160000000003</v>
      </c>
      <c r="AA5" s="877">
        <f>+'Precios bases'!AA5*5.2%+'Precios bases'!AA5</f>
        <v>21176.76</v>
      </c>
      <c r="AB5" s="877">
        <f>+'Precios bases'!AB5*5.2%+'Precios bases'!AB5</f>
        <v>15990.4</v>
      </c>
      <c r="AC5" s="878">
        <f>+'Precios bases'!AC5*5.2%+'Precios bases'!AC5</f>
        <v>37167.160000000003</v>
      </c>
      <c r="AD5" s="877">
        <f>+'Precios bases'!AD5*5.2%+'Precios bases'!AD5</f>
        <v>23806.76</v>
      </c>
      <c r="AE5" s="877">
        <f>+'Precios bases'!AE5*5.2%+'Precios bases'!AE5</f>
        <v>15990.4</v>
      </c>
      <c r="AF5" s="878">
        <f>+'Precios bases'!AF5*5.2%+'Precios bases'!AF5</f>
        <v>39797.160000000003</v>
      </c>
      <c r="AG5" s="80">
        <f>+'Precios bases'!AG5*5.2%+'Precios bases'!AG5</f>
        <v>26436.760000000002</v>
      </c>
      <c r="AH5" s="80">
        <f>+'Precios bases'!AH5*5.2%+'Precios bases'!AH5</f>
        <v>15990.4</v>
      </c>
      <c r="AI5" s="86">
        <f>+'Precios bases'!AI5*5.2%+'Precios bases'!AI5</f>
        <v>42427.16</v>
      </c>
      <c r="AL5" s="3" t="s">
        <v>39</v>
      </c>
      <c r="AM5" s="3"/>
      <c r="AN5" s="80">
        <f t="shared" ref="AN5:AN11" si="7">+H5-E5</f>
        <v>526</v>
      </c>
      <c r="AO5" s="80">
        <f t="shared" ref="AO5:AO11" si="8">+K5-H5</f>
        <v>526</v>
      </c>
      <c r="AP5" s="80">
        <f t="shared" ref="AP5:AP11" si="9">+N5-K5</f>
        <v>526</v>
      </c>
      <c r="AQ5" s="80">
        <f t="shared" ref="AQ5:AQ11" si="10">+Q5-N5</f>
        <v>1052</v>
      </c>
      <c r="AR5" s="80">
        <f t="shared" si="1"/>
        <v>1578</v>
      </c>
      <c r="AS5" s="80">
        <f t="shared" si="2"/>
        <v>3682</v>
      </c>
      <c r="AT5" s="80">
        <f t="shared" si="3"/>
        <v>4208.0000000000036</v>
      </c>
      <c r="AU5" s="80">
        <f t="shared" si="4"/>
        <v>2630</v>
      </c>
      <c r="AV5" s="80">
        <f t="shared" si="5"/>
        <v>2630</v>
      </c>
      <c r="AW5" s="80">
        <f t="shared" si="6"/>
        <v>2630</v>
      </c>
      <c r="AX5" s="88">
        <f>+E5-E4</f>
        <v>1052</v>
      </c>
      <c r="AY5" s="88">
        <f>+H5-H4</f>
        <v>1052</v>
      </c>
      <c r="AZ5" s="88">
        <f>+K5-K4</f>
        <v>1052</v>
      </c>
      <c r="BA5" s="88">
        <f>+N5-N4</f>
        <v>1052</v>
      </c>
      <c r="BB5" s="88">
        <f>+Q5-Q4</f>
        <v>1052</v>
      </c>
      <c r="BC5" s="88">
        <f>+T5-T4</f>
        <v>1052</v>
      </c>
      <c r="BD5" s="88">
        <f>+W5-W4</f>
        <v>1052</v>
      </c>
      <c r="BE5" s="88">
        <f t="shared" ref="BE5:BE11" si="11">+Z5-Z4</f>
        <v>2104.0000000000036</v>
      </c>
      <c r="BF5" s="88">
        <f t="shared" ref="BF5:BF11" si="12">+AC5-AC4</f>
        <v>2104</v>
      </c>
      <c r="BG5" s="88">
        <f t="shared" ref="BG5:BG11" si="13">+AF5-AF4</f>
        <v>2104</v>
      </c>
      <c r="BH5" s="88">
        <f t="shared" ref="BH5:BH11" si="14">+AI5-AI4</f>
        <v>2104</v>
      </c>
    </row>
    <row r="6" spans="1:60">
      <c r="A6" s="440">
        <v>15</v>
      </c>
      <c r="B6" s="5" t="s">
        <v>534</v>
      </c>
      <c r="C6" s="84">
        <f>+'Precios bases'!C6*5.2%+'Precios bases'!C6</f>
        <v>10123.396000000001</v>
      </c>
      <c r="D6" s="84">
        <f>+'Precios bases'!D6*5.2%+'Precios bases'!D6</f>
        <v>13893.763999999999</v>
      </c>
      <c r="E6" s="86">
        <f>+'Precios bases'!E6*5.2%+'Precios bases'!E6</f>
        <v>24017.16</v>
      </c>
      <c r="F6" s="84">
        <f>+'Precios bases'!F6*5.2%+'Precios bases'!F6</f>
        <v>10649.396000000001</v>
      </c>
      <c r="G6" s="84">
        <f>+'Precios bases'!G6*5.2%+'Precios bases'!G6</f>
        <v>13893.763999999999</v>
      </c>
      <c r="H6" s="86">
        <f>+'Precios bases'!H6*5.2%+'Precios bases'!H6</f>
        <v>24543.16</v>
      </c>
      <c r="I6" s="84">
        <f>+'Precios bases'!I6*5.2%+'Precios bases'!I6</f>
        <v>11175.396000000001</v>
      </c>
      <c r="J6" s="84">
        <f>+'Precios bases'!J6*5.2%+'Precios bases'!J6</f>
        <v>13893.763999999999</v>
      </c>
      <c r="K6" s="86">
        <f>+'Precios bases'!K6*5.2%+'Precios bases'!K6</f>
        <v>25069.16</v>
      </c>
      <c r="L6" s="84">
        <f>+'Precios bases'!L6*5.2%+'Precios bases'!L6</f>
        <v>11596.196</v>
      </c>
      <c r="M6" s="84">
        <f>+'Precios bases'!M6*5.2%+'Precios bases'!M6</f>
        <v>13998.964</v>
      </c>
      <c r="N6" s="86">
        <f>+'Precios bases'!N6*5.2%+'Precios bases'!N6</f>
        <v>25595.16</v>
      </c>
      <c r="O6" s="84">
        <f>+'Precios bases'!O6*5.2%+'Precios bases'!O6</f>
        <v>12478.824000000001</v>
      </c>
      <c r="P6" s="879">
        <f>+'Precios bases'!P6*5.2%+'Precios bases'!P6</f>
        <v>14168.335999999999</v>
      </c>
      <c r="Q6" s="878">
        <f>+'Precios bases'!Q6*5.2%+'Precios bases'!Q6</f>
        <v>26647.16</v>
      </c>
      <c r="R6" s="879">
        <f>+'Precios bases'!R6*5.2%+'Precios bases'!R6</f>
        <v>13386.7</v>
      </c>
      <c r="S6" s="879">
        <f>+'Precios bases'!S6*5.2%+'Precios bases'!S6</f>
        <v>14838.46</v>
      </c>
      <c r="T6" s="878">
        <f>+'Precios bases'!T6*5.2%+'Precios bases'!T6</f>
        <v>28225.16</v>
      </c>
      <c r="U6" s="879">
        <f>+'Precios bases'!U6*5.2%+'Precios bases'!U6</f>
        <v>15916.76</v>
      </c>
      <c r="V6" s="879">
        <f>+'Precios bases'!V6*5.2%+'Precios bases'!V6</f>
        <v>15990.4</v>
      </c>
      <c r="W6" s="878">
        <f>+'Precios bases'!W6*5.2%+'Precios bases'!W6</f>
        <v>31907.16</v>
      </c>
      <c r="X6" s="879">
        <f>+'Precios bases'!X6*5.2%+'Precios bases'!X6</f>
        <v>20650.759999999998</v>
      </c>
      <c r="Y6" s="879">
        <f>+'Precios bases'!Y6*5.2%+'Precios bases'!Y6</f>
        <v>15990.4</v>
      </c>
      <c r="Z6" s="878">
        <f>+'Precios bases'!Z6*5.2%+'Precios bases'!Z6</f>
        <v>36641.160000000003</v>
      </c>
      <c r="AA6" s="879">
        <f>+'Precios bases'!AA6*5.2%+'Precios bases'!AA6</f>
        <v>23280.76</v>
      </c>
      <c r="AB6" s="879">
        <f>+'Precios bases'!AB6*5.2%+'Precios bases'!AB6</f>
        <v>15990.4</v>
      </c>
      <c r="AC6" s="878">
        <f>+'Precios bases'!AC6*5.2%+'Precios bases'!AC6</f>
        <v>39271.160000000003</v>
      </c>
      <c r="AD6" s="879">
        <f>+'Precios bases'!AD6*5.2%+'Precios bases'!AD6</f>
        <v>25910.760000000002</v>
      </c>
      <c r="AE6" s="879">
        <f>+'Precios bases'!AE6*5.2%+'Precios bases'!AE6</f>
        <v>15990.4</v>
      </c>
      <c r="AF6" s="878">
        <f>+'Precios bases'!AF6*5.2%+'Precios bases'!AF6</f>
        <v>41901.160000000003</v>
      </c>
      <c r="AG6" s="84">
        <f>+'Precios bases'!AG6*5.2%+'Precios bases'!AG6</f>
        <v>28540.760000000002</v>
      </c>
      <c r="AH6" s="84">
        <f>+'Precios bases'!AH6*5.2%+'Precios bases'!AH6</f>
        <v>15990.4</v>
      </c>
      <c r="AI6" s="86">
        <f>+'Precios bases'!AI6*5.2%+'Precios bases'!AI6</f>
        <v>44531.16</v>
      </c>
      <c r="AL6" s="5" t="s">
        <v>381</v>
      </c>
      <c r="AM6" s="3"/>
      <c r="AN6" s="80">
        <f t="shared" si="7"/>
        <v>526</v>
      </c>
      <c r="AO6" s="80">
        <f t="shared" si="8"/>
        <v>526</v>
      </c>
      <c r="AP6" s="80">
        <f t="shared" si="9"/>
        <v>526</v>
      </c>
      <c r="AQ6" s="80">
        <f t="shared" si="10"/>
        <v>1052</v>
      </c>
      <c r="AR6" s="80">
        <f t="shared" si="1"/>
        <v>1578</v>
      </c>
      <c r="AS6" s="80">
        <f t="shared" si="2"/>
        <v>3682</v>
      </c>
      <c r="AT6" s="80">
        <f t="shared" si="3"/>
        <v>4734.0000000000036</v>
      </c>
      <c r="AU6" s="80">
        <f t="shared" si="4"/>
        <v>2630</v>
      </c>
      <c r="AV6" s="80">
        <f t="shared" si="5"/>
        <v>2630</v>
      </c>
      <c r="AW6" s="80">
        <f t="shared" si="6"/>
        <v>2630</v>
      </c>
      <c r="AX6" s="88">
        <f t="shared" ref="AX6:AX11" si="15">+E6-E5</f>
        <v>1578</v>
      </c>
      <c r="AY6" s="88">
        <f t="shared" ref="AY6:AY11" si="16">+H6-H5</f>
        <v>1578</v>
      </c>
      <c r="AZ6" s="88">
        <f t="shared" ref="AZ6:AZ11" si="17">+K6-K5</f>
        <v>1578</v>
      </c>
      <c r="BA6" s="88">
        <f t="shared" ref="BA6:BA11" si="18">+N6-N5</f>
        <v>1578</v>
      </c>
      <c r="BB6" s="88">
        <f t="shared" ref="BB6:BB11" si="19">+Q6-Q5</f>
        <v>1578</v>
      </c>
      <c r="BC6" s="88">
        <f t="shared" ref="BC6:BC11" si="20">+T6-T5</f>
        <v>1578</v>
      </c>
      <c r="BD6" s="88">
        <f t="shared" ref="BD6:BD11" si="21">+W6-W5</f>
        <v>1578</v>
      </c>
      <c r="BE6" s="88">
        <f t="shared" si="11"/>
        <v>2104</v>
      </c>
      <c r="BF6" s="88">
        <f t="shared" si="12"/>
        <v>2104</v>
      </c>
      <c r="BG6" s="88">
        <f t="shared" si="13"/>
        <v>2104</v>
      </c>
      <c r="BH6" s="88">
        <f t="shared" si="14"/>
        <v>2104</v>
      </c>
    </row>
    <row r="7" spans="1:60">
      <c r="A7" s="440">
        <v>20</v>
      </c>
      <c r="B7" s="5" t="s">
        <v>535</v>
      </c>
      <c r="C7" s="84">
        <f>+'Precios bases'!C7*5.2%+'Precios bases'!C7</f>
        <v>12227.396000000001</v>
      </c>
      <c r="D7" s="84">
        <f>+'Precios bases'!D7*5.2%+'Precios bases'!D7</f>
        <v>13893.763999999999</v>
      </c>
      <c r="E7" s="86">
        <f>+'Precios bases'!E7*5.2%+'Precios bases'!E7</f>
        <v>26121.16</v>
      </c>
      <c r="F7" s="84">
        <f>+'Precios bases'!F7*5.2%+'Precios bases'!F7</f>
        <v>12753.396000000001</v>
      </c>
      <c r="G7" s="84">
        <f>+'Precios bases'!G7*5.2%+'Precios bases'!G7</f>
        <v>13893.763999999999</v>
      </c>
      <c r="H7" s="86">
        <f>+'Precios bases'!H7*5.2%+'Precios bases'!H7</f>
        <v>26647.16</v>
      </c>
      <c r="I7" s="84">
        <f>+'Precios bases'!I7*5.2%+'Precios bases'!I7</f>
        <v>13279.396000000001</v>
      </c>
      <c r="J7" s="84">
        <f>+'Precios bases'!J7*5.2%+'Precios bases'!J7</f>
        <v>13893.763999999999</v>
      </c>
      <c r="K7" s="86">
        <f>+'Precios bases'!K7*5.2%+'Precios bases'!K7</f>
        <v>27173.16</v>
      </c>
      <c r="L7" s="84">
        <f>+'Precios bases'!L7*5.2%+'Precios bases'!L7</f>
        <v>13700.196</v>
      </c>
      <c r="M7" s="84">
        <f>+'Precios bases'!M7*5.2%+'Precios bases'!M7</f>
        <v>13998.964</v>
      </c>
      <c r="N7" s="86">
        <f>+'Precios bases'!N7*5.2%+'Precios bases'!N7</f>
        <v>27699.16</v>
      </c>
      <c r="O7" s="84">
        <f>+'Precios bases'!O7*5.2%+'Precios bases'!O7</f>
        <v>14582.824000000001</v>
      </c>
      <c r="P7" s="879">
        <f>+'Precios bases'!P7*5.2%+'Precios bases'!P7</f>
        <v>14168.335999999999</v>
      </c>
      <c r="Q7" s="878">
        <f>+'Precios bases'!Q7*5.2%+'Precios bases'!Q7</f>
        <v>28751.16</v>
      </c>
      <c r="R7" s="879">
        <f>+'Precios bases'!R7*5.2%+'Precios bases'!R7</f>
        <v>15490.7</v>
      </c>
      <c r="S7" s="879">
        <f>+'Precios bases'!S7*5.2%+'Precios bases'!S7</f>
        <v>14838.46</v>
      </c>
      <c r="T7" s="878">
        <f>+'Precios bases'!T7*5.2%+'Precios bases'!T7</f>
        <v>30329.16</v>
      </c>
      <c r="U7" s="879">
        <f>+'Precios bases'!U7*5.2%+'Precios bases'!U7</f>
        <v>18020.759999999998</v>
      </c>
      <c r="V7" s="879">
        <f>+'Precios bases'!V7*5.2%+'Precios bases'!V7</f>
        <v>15990.4</v>
      </c>
      <c r="W7" s="878">
        <f>+'Precios bases'!W7*5.2%+'Precios bases'!W7</f>
        <v>34011.160000000003</v>
      </c>
      <c r="X7" s="879">
        <f>+'Precios bases'!X7*5.2%+'Precios bases'!X7</f>
        <v>22754.76</v>
      </c>
      <c r="Y7" s="879">
        <f>+'Precios bases'!Y7*5.2%+'Precios bases'!Y7</f>
        <v>15990.4</v>
      </c>
      <c r="Z7" s="878">
        <f>+'Precios bases'!Z7*5.2%+'Precios bases'!Z7</f>
        <v>38745.160000000003</v>
      </c>
      <c r="AA7" s="879">
        <f>+'Precios bases'!AA7*5.2%+'Precios bases'!AA7</f>
        <v>25384.760000000002</v>
      </c>
      <c r="AB7" s="879">
        <f>+'Precios bases'!AB7*5.2%+'Precios bases'!AB7</f>
        <v>15990.4</v>
      </c>
      <c r="AC7" s="878">
        <f>+'Precios bases'!AC7*5.2%+'Precios bases'!AC7</f>
        <v>41375.160000000003</v>
      </c>
      <c r="AD7" s="879">
        <f>+'Precios bases'!AD7*5.2%+'Precios bases'!AD7</f>
        <v>28014.760000000002</v>
      </c>
      <c r="AE7" s="879">
        <f>+'Precios bases'!AE7*5.2%+'Precios bases'!AE7</f>
        <v>15990.4</v>
      </c>
      <c r="AF7" s="878">
        <f>+'Precios bases'!AF7*5.2%+'Precios bases'!AF7</f>
        <v>44005.16</v>
      </c>
      <c r="AG7" s="84">
        <f>+'Precios bases'!AG7*5.2%+'Precios bases'!AG7</f>
        <v>30644.760000000002</v>
      </c>
      <c r="AH7" s="84">
        <f>+'Precios bases'!AH7*5.2%+'Precios bases'!AH7</f>
        <v>15990.4</v>
      </c>
      <c r="AI7" s="86">
        <f>+'Precios bases'!AI7*5.2%+'Precios bases'!AI7</f>
        <v>46635.16</v>
      </c>
      <c r="AL7" s="5"/>
      <c r="AM7" s="3"/>
      <c r="AN7" s="80"/>
      <c r="AO7" s="80"/>
      <c r="AP7" s="80"/>
      <c r="AQ7" s="80"/>
      <c r="AR7" s="80"/>
      <c r="AS7" s="80"/>
      <c r="AT7" s="80"/>
      <c r="AU7" s="80"/>
      <c r="AV7" s="80"/>
      <c r="AW7" s="80"/>
      <c r="AX7" s="88"/>
      <c r="AY7" s="88"/>
      <c r="AZ7" s="88"/>
      <c r="BA7" s="88"/>
      <c r="BB7" s="88"/>
      <c r="BC7" s="88"/>
      <c r="BD7" s="88"/>
      <c r="BE7" s="88"/>
      <c r="BF7" s="88"/>
      <c r="BG7" s="88"/>
      <c r="BH7" s="88"/>
    </row>
    <row r="8" spans="1:60">
      <c r="A8" s="440">
        <v>30</v>
      </c>
      <c r="B8" s="5" t="s">
        <v>382</v>
      </c>
      <c r="C8" s="84">
        <f>+'Precios bases'!C8*5.2%+'Precios bases'!C8</f>
        <v>14857.396000000001</v>
      </c>
      <c r="D8" s="84">
        <f>+'Precios bases'!D8*5.2%+'Precios bases'!D8</f>
        <v>13893.763999999999</v>
      </c>
      <c r="E8" s="86">
        <f>+'Precios bases'!E8*5.2%+'Precios bases'!E8</f>
        <v>28751.16</v>
      </c>
      <c r="F8" s="84">
        <f>+'Precios bases'!F8*5.2%+'Precios bases'!F8</f>
        <v>15383.396000000001</v>
      </c>
      <c r="G8" s="84">
        <f>+'Precios bases'!G8*5.2%+'Precios bases'!G8</f>
        <v>13893.763999999999</v>
      </c>
      <c r="H8" s="86">
        <f>+'Precios bases'!H8*5.2%+'Precios bases'!H8</f>
        <v>29277.16</v>
      </c>
      <c r="I8" s="84">
        <f>+'Precios bases'!I8*5.2%+'Precios bases'!I8</f>
        <v>15909.396000000001</v>
      </c>
      <c r="J8" s="84">
        <f>+'Precios bases'!J8*5.2%+'Precios bases'!J8</f>
        <v>13893.763999999999</v>
      </c>
      <c r="K8" s="86">
        <f>+'Precios bases'!K8*5.2%+'Precios bases'!K8</f>
        <v>29803.16</v>
      </c>
      <c r="L8" s="84">
        <f>+'Precios bases'!L8*5.2%+'Precios bases'!L8</f>
        <v>16330.196</v>
      </c>
      <c r="M8" s="84">
        <f>+'Precios bases'!M8*5.2%+'Precios bases'!M8</f>
        <v>13998.964</v>
      </c>
      <c r="N8" s="86">
        <f>+'Precios bases'!N8*5.2%+'Precios bases'!N8</f>
        <v>30329.16</v>
      </c>
      <c r="O8" s="84">
        <f>+'Precios bases'!O8*5.2%+'Precios bases'!O8</f>
        <v>17212.824000000001</v>
      </c>
      <c r="P8" s="879">
        <f>+'Precios bases'!P8*5.2%+'Precios bases'!P8</f>
        <v>14168.335999999999</v>
      </c>
      <c r="Q8" s="878">
        <f>+'Precios bases'!Q8*5.2%+'Precios bases'!Q8</f>
        <v>31381.16</v>
      </c>
      <c r="R8" s="879">
        <f>+'Precios bases'!R8*5.2%+'Precios bases'!R8</f>
        <v>18120.7</v>
      </c>
      <c r="S8" s="879">
        <f>+'Precios bases'!S8*5.2%+'Precios bases'!S8</f>
        <v>14838.46</v>
      </c>
      <c r="T8" s="878">
        <f>+'Precios bases'!T8*5.2%+'Precios bases'!T8</f>
        <v>32959.160000000003</v>
      </c>
      <c r="U8" s="879">
        <f>+'Precios bases'!U8*5.2%+'Precios bases'!U8</f>
        <v>20650.759999999998</v>
      </c>
      <c r="V8" s="879">
        <f>+'Precios bases'!V8*5.2%+'Precios bases'!V8</f>
        <v>15990.4</v>
      </c>
      <c r="W8" s="878">
        <f>+'Precios bases'!W8*5.2%+'Precios bases'!W8</f>
        <v>36641.160000000003</v>
      </c>
      <c r="X8" s="879">
        <f>+'Precios bases'!X8*5.2%+'Precios bases'!X8</f>
        <v>24858.760000000002</v>
      </c>
      <c r="Y8" s="879">
        <f>+'Precios bases'!Y8*5.2%+'Precios bases'!Y8</f>
        <v>15990.4</v>
      </c>
      <c r="Z8" s="878">
        <f>+'Precios bases'!Z8*5.2%+'Precios bases'!Z8</f>
        <v>40849.160000000003</v>
      </c>
      <c r="AA8" s="879">
        <f>+'Precios bases'!AA8*5.2%+'Precios bases'!AA8</f>
        <v>27488.760000000002</v>
      </c>
      <c r="AB8" s="879">
        <f>+'Precios bases'!AB8*5.2%+'Precios bases'!AB8</f>
        <v>15990.4</v>
      </c>
      <c r="AC8" s="878">
        <f>+'Precios bases'!AC8*5.2%+'Precios bases'!AC8</f>
        <v>43479.16</v>
      </c>
      <c r="AD8" s="879">
        <f>+'Precios bases'!AD8*5.2%+'Precios bases'!AD8</f>
        <v>30118.760000000002</v>
      </c>
      <c r="AE8" s="879">
        <f>+'Precios bases'!AE8*5.2%+'Precios bases'!AE8</f>
        <v>15990.4</v>
      </c>
      <c r="AF8" s="878">
        <f>+'Precios bases'!AF8*5.2%+'Precios bases'!AF8</f>
        <v>46109.16</v>
      </c>
      <c r="AG8" s="84">
        <f>+'Precios bases'!AG8*5.2%+'Precios bases'!AG8</f>
        <v>32748.760000000002</v>
      </c>
      <c r="AH8" s="84">
        <f>+'Precios bases'!AH8*5.2%+'Precios bases'!AH8</f>
        <v>15990.4</v>
      </c>
      <c r="AI8" s="86">
        <f>+'Precios bases'!AI8*5.2%+'Precios bases'!AI8</f>
        <v>48739.16</v>
      </c>
      <c r="AL8" s="5" t="s">
        <v>382</v>
      </c>
      <c r="AM8" s="3"/>
      <c r="AN8" s="80">
        <f t="shared" si="7"/>
        <v>526</v>
      </c>
      <c r="AO8" s="80">
        <f t="shared" si="8"/>
        <v>526</v>
      </c>
      <c r="AP8" s="80">
        <f t="shared" si="9"/>
        <v>526</v>
      </c>
      <c r="AQ8" s="80">
        <f t="shared" si="10"/>
        <v>1052</v>
      </c>
      <c r="AR8" s="80">
        <f t="shared" si="1"/>
        <v>1578.0000000000036</v>
      </c>
      <c r="AS8" s="80">
        <f t="shared" si="2"/>
        <v>3682</v>
      </c>
      <c r="AT8" s="80">
        <f t="shared" si="3"/>
        <v>4208</v>
      </c>
      <c r="AU8" s="80">
        <f t="shared" si="4"/>
        <v>2630</v>
      </c>
      <c r="AV8" s="80">
        <f t="shared" si="5"/>
        <v>2630</v>
      </c>
      <c r="AW8" s="80">
        <f t="shared" si="6"/>
        <v>2630</v>
      </c>
      <c r="AX8" s="88">
        <f>+E8-E6</f>
        <v>4734</v>
      </c>
      <c r="AY8" s="88">
        <f>+H8-H6</f>
        <v>4734</v>
      </c>
      <c r="AZ8" s="88">
        <f>+K8-K6</f>
        <v>4734</v>
      </c>
      <c r="BA8" s="88">
        <f>+N8-N6</f>
        <v>4734</v>
      </c>
      <c r="BB8" s="88">
        <f>+Q8-Q6</f>
        <v>4734</v>
      </c>
      <c r="BC8" s="88">
        <f>+T8-T6</f>
        <v>4734.0000000000036</v>
      </c>
      <c r="BD8" s="88">
        <f>+W8-W6</f>
        <v>4734.0000000000036</v>
      </c>
      <c r="BE8" s="88">
        <f>+Z8-Z6</f>
        <v>4208</v>
      </c>
      <c r="BF8" s="88">
        <f>+AC8-AC6</f>
        <v>4208</v>
      </c>
      <c r="BG8" s="88">
        <f>+AF8-AF6</f>
        <v>4208</v>
      </c>
      <c r="BH8" s="88">
        <f>+AI8-AI6</f>
        <v>4208</v>
      </c>
    </row>
    <row r="9" spans="1:60">
      <c r="A9" s="440">
        <v>40</v>
      </c>
      <c r="B9" s="5" t="s">
        <v>383</v>
      </c>
      <c r="C9" s="84">
        <f>+'Precios bases'!C9*5.2%+'Precios bases'!C9</f>
        <v>18013.396000000001</v>
      </c>
      <c r="D9" s="84">
        <f>+'Precios bases'!D9*5.2%+'Precios bases'!D9</f>
        <v>13893.763999999999</v>
      </c>
      <c r="E9" s="86">
        <f>+'Precios bases'!E9*5.2%+'Precios bases'!E9</f>
        <v>31907.16</v>
      </c>
      <c r="F9" s="84">
        <f>+'Precios bases'!F9*5.2%+'Precios bases'!F9</f>
        <v>18539.396000000001</v>
      </c>
      <c r="G9" s="84">
        <f>+'Precios bases'!G9*5.2%+'Precios bases'!G9</f>
        <v>13893.763999999999</v>
      </c>
      <c r="H9" s="86">
        <f>+'Precios bases'!H9*5.2%+'Precios bases'!H9</f>
        <v>32433.16</v>
      </c>
      <c r="I9" s="84">
        <f>+'Precios bases'!I9*5.2%+'Precios bases'!I9</f>
        <v>19065.396000000001</v>
      </c>
      <c r="J9" s="84">
        <f>+'Precios bases'!J9*5.2%+'Precios bases'!J9</f>
        <v>13893.763999999999</v>
      </c>
      <c r="K9" s="86">
        <f>+'Precios bases'!K9*5.2%+'Precios bases'!K9</f>
        <v>32959.160000000003</v>
      </c>
      <c r="L9" s="84">
        <f>+'Precios bases'!L9*5.2%+'Precios bases'!L9</f>
        <v>19486.196</v>
      </c>
      <c r="M9" s="84">
        <f>+'Precios bases'!M9*5.2%+'Precios bases'!M9</f>
        <v>13998.964</v>
      </c>
      <c r="N9" s="86">
        <f>+'Precios bases'!N9*5.2%+'Precios bases'!N9</f>
        <v>33485.160000000003</v>
      </c>
      <c r="O9" s="84">
        <f>+'Precios bases'!O9*5.2%+'Precios bases'!O9</f>
        <v>20368.824000000001</v>
      </c>
      <c r="P9" s="879">
        <f>+'Precios bases'!P9*5.2%+'Precios bases'!P9</f>
        <v>14168.335999999999</v>
      </c>
      <c r="Q9" s="878">
        <f>+'Precios bases'!Q9*5.2%+'Precios bases'!Q9</f>
        <v>34537.160000000003</v>
      </c>
      <c r="R9" s="879">
        <f>+'Precios bases'!R9*5.2%+'Precios bases'!R9</f>
        <v>21276.7</v>
      </c>
      <c r="S9" s="879">
        <f>+'Precios bases'!S9*5.2%+'Precios bases'!S9</f>
        <v>14838.46</v>
      </c>
      <c r="T9" s="878">
        <f>+'Precios bases'!T9*5.2%+'Precios bases'!T9</f>
        <v>36115.160000000003</v>
      </c>
      <c r="U9" s="879">
        <f>+'Precios bases'!U9*5.2%+'Precios bases'!U9</f>
        <v>23806.76</v>
      </c>
      <c r="V9" s="879">
        <f>+'Precios bases'!V9*5.2%+'Precios bases'!V9</f>
        <v>15990.4</v>
      </c>
      <c r="W9" s="878">
        <f>+'Precios bases'!W9*5.2%+'Precios bases'!W9</f>
        <v>39797.160000000003</v>
      </c>
      <c r="X9" s="879">
        <f>+'Precios bases'!X9*5.2%+'Precios bases'!X9</f>
        <v>26962.760000000002</v>
      </c>
      <c r="Y9" s="879">
        <f>+'Precios bases'!Y9*5.2%+'Precios bases'!Y9</f>
        <v>15990.4</v>
      </c>
      <c r="Z9" s="878">
        <f>+'Precios bases'!Z9*5.2%+'Precios bases'!Z9</f>
        <v>42953.16</v>
      </c>
      <c r="AA9" s="879">
        <f>+'Precios bases'!AA9*5.2%+'Precios bases'!AA9</f>
        <v>29592.760000000002</v>
      </c>
      <c r="AB9" s="879">
        <f>+'Precios bases'!AB9*5.2%+'Precios bases'!AB9</f>
        <v>15990.4</v>
      </c>
      <c r="AC9" s="878">
        <f>+'Precios bases'!AC9*5.2%+'Precios bases'!AC9</f>
        <v>45583.16</v>
      </c>
      <c r="AD9" s="879">
        <f>+'Precios bases'!AD9*5.2%+'Precios bases'!AD9</f>
        <v>32222.760000000002</v>
      </c>
      <c r="AE9" s="879">
        <f>+'Precios bases'!AE9*5.2%+'Precios bases'!AE9</f>
        <v>15990.4</v>
      </c>
      <c r="AF9" s="878">
        <f>+'Precios bases'!AF9*5.2%+'Precios bases'!AF9</f>
        <v>48213.16</v>
      </c>
      <c r="AG9" s="84">
        <f>+'Precios bases'!AG9*5.2%+'Precios bases'!AG9</f>
        <v>34852.76</v>
      </c>
      <c r="AH9" s="84">
        <f>+'Precios bases'!AH9*5.2%+'Precios bases'!AH9</f>
        <v>15990.4</v>
      </c>
      <c r="AI9" s="86">
        <f>+'Precios bases'!AI9*5.2%+'Precios bases'!AI9</f>
        <v>50843.16</v>
      </c>
      <c r="AL9" s="5" t="s">
        <v>383</v>
      </c>
      <c r="AM9" s="3"/>
      <c r="AN9" s="80">
        <f t="shared" si="7"/>
        <v>526</v>
      </c>
      <c r="AO9" s="80">
        <f t="shared" si="8"/>
        <v>526.00000000000364</v>
      </c>
      <c r="AP9" s="80">
        <f t="shared" si="9"/>
        <v>526</v>
      </c>
      <c r="AQ9" s="80">
        <f t="shared" si="10"/>
        <v>1052</v>
      </c>
      <c r="AR9" s="80">
        <f t="shared" si="1"/>
        <v>1578</v>
      </c>
      <c r="AS9" s="80">
        <f t="shared" si="2"/>
        <v>3682</v>
      </c>
      <c r="AT9" s="80">
        <f t="shared" si="3"/>
        <v>3156</v>
      </c>
      <c r="AU9" s="80">
        <f t="shared" si="4"/>
        <v>2630</v>
      </c>
      <c r="AV9" s="80">
        <f t="shared" si="5"/>
        <v>2630</v>
      </c>
      <c r="AW9" s="80">
        <f t="shared" si="6"/>
        <v>2630</v>
      </c>
      <c r="AX9" s="88">
        <f t="shared" si="15"/>
        <v>3156</v>
      </c>
      <c r="AY9" s="88">
        <f t="shared" si="16"/>
        <v>3156</v>
      </c>
      <c r="AZ9" s="88">
        <f t="shared" si="17"/>
        <v>3156.0000000000036</v>
      </c>
      <c r="BA9" s="88">
        <f t="shared" si="18"/>
        <v>3156.0000000000036</v>
      </c>
      <c r="BB9" s="88">
        <f t="shared" si="19"/>
        <v>3156.0000000000036</v>
      </c>
      <c r="BC9" s="88">
        <f t="shared" si="20"/>
        <v>3156</v>
      </c>
      <c r="BD9" s="88">
        <f t="shared" si="21"/>
        <v>3156</v>
      </c>
      <c r="BE9" s="88">
        <f t="shared" si="11"/>
        <v>2104</v>
      </c>
      <c r="BF9" s="88">
        <f t="shared" si="12"/>
        <v>2104</v>
      </c>
      <c r="BG9" s="88">
        <f t="shared" si="13"/>
        <v>2104</v>
      </c>
      <c r="BH9" s="88">
        <f t="shared" si="14"/>
        <v>2104</v>
      </c>
    </row>
    <row r="10" spans="1:60">
      <c r="A10" s="440">
        <v>50</v>
      </c>
      <c r="B10" s="3" t="s">
        <v>384</v>
      </c>
      <c r="C10" s="80">
        <f>+'Precios bases'!C10*5.2%+'Precios bases'!C10</f>
        <v>21169.396000000001</v>
      </c>
      <c r="D10" s="81">
        <f>+'Precios bases'!D10*5.2%+'Precios bases'!D10</f>
        <v>13893.763999999999</v>
      </c>
      <c r="E10" s="86">
        <f>+'Precios bases'!E10*5.2%+'Precios bases'!E10</f>
        <v>35063.160000000003</v>
      </c>
      <c r="F10" s="81">
        <f>+'Precios bases'!F10*5.2%+'Precios bases'!F10</f>
        <v>21695.396000000001</v>
      </c>
      <c r="G10" s="81">
        <f>+'Precios bases'!G10*5.2%+'Precios bases'!G10</f>
        <v>13893.763999999999</v>
      </c>
      <c r="H10" s="86">
        <f>+'Precios bases'!H10*5.2%+'Precios bases'!H10</f>
        <v>35589.160000000003</v>
      </c>
      <c r="I10" s="80">
        <f>+'Precios bases'!I10*5.2%+'Precios bases'!I10</f>
        <v>22221.396000000001</v>
      </c>
      <c r="J10" s="81">
        <f>+'Precios bases'!J10*5.2%+'Precios bases'!J10</f>
        <v>13893.763999999999</v>
      </c>
      <c r="K10" s="86">
        <f>+'Precios bases'!K10*5.2%+'Precios bases'!K10</f>
        <v>36115.160000000003</v>
      </c>
      <c r="L10" s="80">
        <f>+'Precios bases'!L10*5.2%+'Precios bases'!L10</f>
        <v>22642.196</v>
      </c>
      <c r="M10" s="81">
        <f>+'Precios bases'!M10*5.2%+'Precios bases'!M10</f>
        <v>13998.964</v>
      </c>
      <c r="N10" s="86">
        <f>+'Precios bases'!N10*5.2%+'Precios bases'!N10</f>
        <v>36641.160000000003</v>
      </c>
      <c r="O10" s="80">
        <f>+'Precios bases'!O10*5.2%+'Precios bases'!O10</f>
        <v>23524.824000000001</v>
      </c>
      <c r="P10" s="877">
        <f>+'Precios bases'!P10*5.2%+'Precios bases'!P10</f>
        <v>14168.335999999999</v>
      </c>
      <c r="Q10" s="878">
        <f>+'Precios bases'!Q10*5.2%+'Precios bases'!Q10</f>
        <v>37693.160000000003</v>
      </c>
      <c r="R10" s="877">
        <f>+'Precios bases'!R10*5.2%+'Precios bases'!R10</f>
        <v>24432.7</v>
      </c>
      <c r="S10" s="877">
        <f>+'Precios bases'!S10*5.2%+'Precios bases'!S10</f>
        <v>14838.46</v>
      </c>
      <c r="T10" s="878">
        <f>+'Precios bases'!T10*5.2%+'Precios bases'!T10</f>
        <v>39271.160000000003</v>
      </c>
      <c r="U10" s="877">
        <f>+'Precios bases'!U10*5.2%+'Precios bases'!U10</f>
        <v>26962.760000000002</v>
      </c>
      <c r="V10" s="877">
        <f>+'Precios bases'!V10*5.2%+'Precios bases'!V10</f>
        <v>15990.4</v>
      </c>
      <c r="W10" s="878">
        <f>+'Precios bases'!W10*5.2%+'Precios bases'!W10</f>
        <v>42953.16</v>
      </c>
      <c r="X10" s="877">
        <f>+'Precios bases'!X10*5.2%+'Precios bases'!X10</f>
        <v>31170.760000000002</v>
      </c>
      <c r="Y10" s="877">
        <f>+'Precios bases'!Y10*5.2%+'Precios bases'!Y10</f>
        <v>15990.4</v>
      </c>
      <c r="Z10" s="878">
        <f>+'Precios bases'!Z10*5.2%+'Precios bases'!Z10</f>
        <v>47161.16</v>
      </c>
      <c r="AA10" s="877">
        <f>+'Precios bases'!AA10*5.2%+'Precios bases'!AA10</f>
        <v>33800.76</v>
      </c>
      <c r="AB10" s="877">
        <f>+'Precios bases'!AB10*5.2%+'Precios bases'!AB10</f>
        <v>15990.4</v>
      </c>
      <c r="AC10" s="878">
        <f>+'Precios bases'!AC10*5.2%+'Precios bases'!AC10</f>
        <v>49791.16</v>
      </c>
      <c r="AD10" s="877">
        <f>+'Precios bases'!AD10*5.2%+'Precios bases'!AD10</f>
        <v>36430.76</v>
      </c>
      <c r="AE10" s="877">
        <f>+'Precios bases'!AE10*5.2%+'Precios bases'!AE10</f>
        <v>15990.4</v>
      </c>
      <c r="AF10" s="878">
        <f>+'Precios bases'!AF10*5.2%+'Precios bases'!AF10</f>
        <v>52421.16</v>
      </c>
      <c r="AG10" s="80">
        <f>+'Precios bases'!AG10*5.2%+'Precios bases'!AG10</f>
        <v>39060.76</v>
      </c>
      <c r="AH10" s="80">
        <f>+'Precios bases'!AH10*5.2%+'Precios bases'!AH10</f>
        <v>15990.4</v>
      </c>
      <c r="AI10" s="86">
        <f>+'Precios bases'!AI10*5.2%+'Precios bases'!AI10</f>
        <v>55051.16</v>
      </c>
      <c r="AL10" s="3" t="s">
        <v>384</v>
      </c>
      <c r="AM10" s="3"/>
      <c r="AN10" s="80">
        <f t="shared" si="7"/>
        <v>526</v>
      </c>
      <c r="AO10" s="80">
        <f t="shared" si="8"/>
        <v>526</v>
      </c>
      <c r="AP10" s="80">
        <f t="shared" si="9"/>
        <v>526</v>
      </c>
      <c r="AQ10" s="80">
        <f t="shared" si="10"/>
        <v>1052</v>
      </c>
      <c r="AR10" s="80">
        <f t="shared" si="1"/>
        <v>1578</v>
      </c>
      <c r="AS10" s="80">
        <f t="shared" si="2"/>
        <v>3682</v>
      </c>
      <c r="AT10" s="80">
        <f t="shared" si="3"/>
        <v>4208</v>
      </c>
      <c r="AU10" s="80">
        <f t="shared" si="4"/>
        <v>2630</v>
      </c>
      <c r="AV10" s="80">
        <f t="shared" si="5"/>
        <v>2630</v>
      </c>
      <c r="AW10" s="80">
        <f t="shared" si="6"/>
        <v>2630</v>
      </c>
      <c r="AX10" s="88">
        <f t="shared" si="15"/>
        <v>3156.0000000000036</v>
      </c>
      <c r="AY10" s="88">
        <f t="shared" si="16"/>
        <v>3156.0000000000036</v>
      </c>
      <c r="AZ10" s="88">
        <f t="shared" si="17"/>
        <v>3156</v>
      </c>
      <c r="BA10" s="88">
        <f t="shared" si="18"/>
        <v>3156</v>
      </c>
      <c r="BB10" s="88">
        <f t="shared" si="19"/>
        <v>3156</v>
      </c>
      <c r="BC10" s="88">
        <f t="shared" si="20"/>
        <v>3156</v>
      </c>
      <c r="BD10" s="88">
        <f t="shared" si="21"/>
        <v>3156</v>
      </c>
      <c r="BE10" s="88">
        <f t="shared" si="11"/>
        <v>4208</v>
      </c>
      <c r="BF10" s="88">
        <f t="shared" si="12"/>
        <v>4208</v>
      </c>
      <c r="BG10" s="88">
        <f t="shared" si="13"/>
        <v>4208</v>
      </c>
      <c r="BH10" s="88">
        <f t="shared" si="14"/>
        <v>4208</v>
      </c>
    </row>
    <row r="11" spans="1:60">
      <c r="A11" s="440">
        <v>60</v>
      </c>
      <c r="B11" s="3" t="s">
        <v>385</v>
      </c>
      <c r="C11" s="80">
        <f>+'Precios bases'!C11*5.2%+'Precios bases'!C11</f>
        <v>26429.396000000001</v>
      </c>
      <c r="D11" s="81">
        <f>+'Precios bases'!D11*5.2%+'Precios bases'!D11</f>
        <v>13893.763999999999</v>
      </c>
      <c r="E11" s="86">
        <f>+'Precios bases'!E11*5.2%+'Precios bases'!E11</f>
        <v>40323.160000000003</v>
      </c>
      <c r="F11" s="81">
        <f>+'Precios bases'!F11*5.2%+'Precios bases'!F11</f>
        <v>26955.396000000001</v>
      </c>
      <c r="G11" s="81">
        <f>+'Precios bases'!G11*5.2%+'Precios bases'!G11</f>
        <v>13893.763999999999</v>
      </c>
      <c r="H11" s="86">
        <f>+'Precios bases'!H11*5.2%+'Precios bases'!H11</f>
        <v>40849.160000000003</v>
      </c>
      <c r="I11" s="80">
        <f>+'Precios bases'!I11*5.2%+'Precios bases'!I11</f>
        <v>27481.396000000001</v>
      </c>
      <c r="J11" s="81">
        <f>+'Precios bases'!J11*5.2%+'Precios bases'!J11</f>
        <v>13893.763999999999</v>
      </c>
      <c r="K11" s="86">
        <f>+'Precios bases'!K11*5.2%+'Precios bases'!K11</f>
        <v>41375.160000000003</v>
      </c>
      <c r="L11" s="80">
        <f>+'Precios bases'!L11*5.2%+'Precios bases'!L11</f>
        <v>27902.196</v>
      </c>
      <c r="M11" s="81">
        <f>+'Precios bases'!M11*5.2%+'Precios bases'!M11</f>
        <v>13998.964</v>
      </c>
      <c r="N11" s="86">
        <f>+'Precios bases'!N11*5.2%+'Precios bases'!N11</f>
        <v>41901.160000000003</v>
      </c>
      <c r="O11" s="80">
        <f>+'Precios bases'!O11*5.2%+'Precios bases'!O11</f>
        <v>28784.824000000001</v>
      </c>
      <c r="P11" s="877">
        <f>+'Precios bases'!P11*5.2%+'Precios bases'!P11</f>
        <v>14168.335999999999</v>
      </c>
      <c r="Q11" s="878">
        <f>+'Precios bases'!Q11*5.2%+'Precios bases'!Q11</f>
        <v>42953.16</v>
      </c>
      <c r="R11" s="877">
        <f>+'Precios bases'!R11*5.2%+'Precios bases'!R11</f>
        <v>29692.7</v>
      </c>
      <c r="S11" s="877">
        <f>+'Precios bases'!S11*5.2%+'Precios bases'!S11</f>
        <v>14838.46</v>
      </c>
      <c r="T11" s="878">
        <f>+'Precios bases'!T11*5.2%+'Precios bases'!T11</f>
        <v>44531.16</v>
      </c>
      <c r="U11" s="877">
        <f>+'Precios bases'!U11*5.2%+'Precios bases'!U11</f>
        <v>32222.760000000002</v>
      </c>
      <c r="V11" s="877">
        <f>+'Precios bases'!V11*5.2%+'Precios bases'!V11</f>
        <v>15990.4</v>
      </c>
      <c r="W11" s="878">
        <f>+'Precios bases'!W11*5.2%+'Precios bases'!W11</f>
        <v>48213.16</v>
      </c>
      <c r="X11" s="877">
        <f>+'Precios bases'!X11*5.2%+'Precios bases'!X11</f>
        <v>35378.76</v>
      </c>
      <c r="Y11" s="877">
        <f>+'Precios bases'!Y11*5.2%+'Precios bases'!Y11</f>
        <v>15990.4</v>
      </c>
      <c r="Z11" s="878">
        <f>+'Precios bases'!Z11*5.2%+'Precios bases'!Z11</f>
        <v>51369.16</v>
      </c>
      <c r="AA11" s="877">
        <f>+'Precios bases'!AA11*5.2%+'Precios bases'!AA11</f>
        <v>38008.76</v>
      </c>
      <c r="AB11" s="877">
        <f>+'Precios bases'!AB11*5.2%+'Precios bases'!AB11</f>
        <v>15990.4</v>
      </c>
      <c r="AC11" s="878">
        <f>+'Precios bases'!AC11*5.2%+'Precios bases'!AC11</f>
        <v>53999.16</v>
      </c>
      <c r="AD11" s="877">
        <f>+'Precios bases'!AD11*5.2%+'Precios bases'!AD11</f>
        <v>40638.76</v>
      </c>
      <c r="AE11" s="877">
        <f>+'Precios bases'!AE11*5.2%+'Precios bases'!AE11</f>
        <v>15990.4</v>
      </c>
      <c r="AF11" s="878">
        <f>+'Precios bases'!AF11*5.2%+'Precios bases'!AF11</f>
        <v>56629.16</v>
      </c>
      <c r="AG11" s="80">
        <f>+'Precios bases'!AG11*5.2%+'Precios bases'!AG11</f>
        <v>43268.76</v>
      </c>
      <c r="AH11" s="80">
        <f>+'Precios bases'!AH11*5.2%+'Precios bases'!AH11</f>
        <v>15990.4</v>
      </c>
      <c r="AI11" s="86">
        <f>+'Precios bases'!AI11*5.2%+'Precios bases'!AI11</f>
        <v>59259.16</v>
      </c>
      <c r="AL11" s="3" t="s">
        <v>385</v>
      </c>
      <c r="AM11" s="3"/>
      <c r="AN11" s="80">
        <f t="shared" si="7"/>
        <v>526</v>
      </c>
      <c r="AO11" s="80">
        <f t="shared" si="8"/>
        <v>526</v>
      </c>
      <c r="AP11" s="80">
        <f t="shared" si="9"/>
        <v>526</v>
      </c>
      <c r="AQ11" s="80">
        <f t="shared" si="10"/>
        <v>1052</v>
      </c>
      <c r="AR11" s="80">
        <f t="shared" si="1"/>
        <v>1578</v>
      </c>
      <c r="AS11" s="80">
        <f t="shared" si="2"/>
        <v>3682</v>
      </c>
      <c r="AT11" s="80">
        <f t="shared" si="3"/>
        <v>3156</v>
      </c>
      <c r="AU11" s="80">
        <f t="shared" si="4"/>
        <v>2630</v>
      </c>
      <c r="AV11" s="80">
        <f t="shared" si="5"/>
        <v>2630</v>
      </c>
      <c r="AW11" s="80">
        <f t="shared" si="6"/>
        <v>2630</v>
      </c>
      <c r="AX11" s="88">
        <f t="shared" si="15"/>
        <v>5260</v>
      </c>
      <c r="AY11" s="88">
        <f t="shared" si="16"/>
        <v>5260</v>
      </c>
      <c r="AZ11" s="88">
        <f t="shared" si="17"/>
        <v>5260</v>
      </c>
      <c r="BA11" s="88">
        <f t="shared" si="18"/>
        <v>5260</v>
      </c>
      <c r="BB11" s="88">
        <f t="shared" si="19"/>
        <v>5260</v>
      </c>
      <c r="BC11" s="88">
        <f t="shared" si="20"/>
        <v>5260</v>
      </c>
      <c r="BD11" s="88">
        <f t="shared" si="21"/>
        <v>5260</v>
      </c>
      <c r="BE11" s="88">
        <f t="shared" si="11"/>
        <v>4208</v>
      </c>
      <c r="BF11" s="88">
        <f t="shared" si="12"/>
        <v>4208</v>
      </c>
      <c r="BG11" s="88">
        <f t="shared" si="13"/>
        <v>4208</v>
      </c>
      <c r="BH11" s="88">
        <f t="shared" si="14"/>
        <v>4208</v>
      </c>
    </row>
    <row r="12" spans="1:60">
      <c r="C12" s="83"/>
      <c r="D12" s="83"/>
      <c r="E12" s="83"/>
      <c r="L12" s="83"/>
      <c r="N12" s="83"/>
      <c r="P12" s="880"/>
      <c r="Q12" s="880"/>
      <c r="T12" s="880"/>
    </row>
    <row r="13" spans="1:60">
      <c r="D13" s="83"/>
      <c r="E13" s="83"/>
      <c r="H13" s="83"/>
    </row>
    <row r="14" spans="1:60" ht="105">
      <c r="B14" s="83"/>
      <c r="T14" s="79" t="s">
        <v>374</v>
      </c>
      <c r="U14" s="43" t="s">
        <v>386</v>
      </c>
      <c r="V14" s="43"/>
      <c r="W14" s="43"/>
      <c r="X14" s="43"/>
      <c r="Y14" s="43"/>
      <c r="Z14" s="43" t="s">
        <v>387</v>
      </c>
      <c r="AA14" s="43"/>
      <c r="AB14" s="43"/>
      <c r="AC14" s="43" t="s">
        <v>388</v>
      </c>
      <c r="AD14" s="43" t="s">
        <v>389</v>
      </c>
      <c r="AE14" s="43" t="s">
        <v>390</v>
      </c>
    </row>
    <row r="15" spans="1:60">
      <c r="B15" s="3" t="s">
        <v>380</v>
      </c>
      <c r="C15">
        <v>5</v>
      </c>
      <c r="T15" s="43" t="s">
        <v>380</v>
      </c>
      <c r="U15" s="43"/>
      <c r="V15" s="43"/>
      <c r="W15" s="43"/>
      <c r="X15" s="43"/>
      <c r="Y15" s="43"/>
      <c r="Z15" s="877" t="e">
        <f>+#REF!-#REF!</f>
        <v>#REF!</v>
      </c>
      <c r="AA15" s="877"/>
      <c r="AB15" s="877"/>
      <c r="AC15" s="877" t="e">
        <f>+#REF!-#REF!</f>
        <v>#REF!</v>
      </c>
      <c r="AD15" s="877" t="e">
        <f>+B15-#REF!</f>
        <v>#VALUE!</v>
      </c>
      <c r="AE15" s="877" t="e">
        <f>+Q15-B15</f>
        <v>#VALUE!</v>
      </c>
    </row>
    <row r="16" spans="1:60">
      <c r="B16" s="3" t="s">
        <v>39</v>
      </c>
      <c r="C16">
        <v>10</v>
      </c>
      <c r="T16" s="43" t="s">
        <v>391</v>
      </c>
      <c r="U16" s="43"/>
      <c r="V16" s="43"/>
      <c r="W16" s="43"/>
      <c r="X16" s="43"/>
      <c r="Y16" s="43"/>
      <c r="Z16" s="877" t="e">
        <f>+#REF!-#REF!</f>
        <v>#REF!</v>
      </c>
      <c r="AA16" s="877"/>
      <c r="AB16" s="877"/>
      <c r="AC16" s="877" t="e">
        <f>+#REF!-#REF!</f>
        <v>#REF!</v>
      </c>
      <c r="AD16" s="877" t="e">
        <f>+B16-#REF!</f>
        <v>#VALUE!</v>
      </c>
      <c r="AE16" s="877" t="e">
        <f>+Q16-B16</f>
        <v>#VALUE!</v>
      </c>
    </row>
    <row r="17" spans="2:31">
      <c r="B17" s="5" t="s">
        <v>534</v>
      </c>
      <c r="C17">
        <v>15</v>
      </c>
      <c r="T17" s="43" t="s">
        <v>392</v>
      </c>
      <c r="U17" s="43"/>
      <c r="V17" s="43"/>
      <c r="W17" s="43"/>
      <c r="X17" s="43"/>
      <c r="Y17" s="43"/>
      <c r="Z17" s="877" t="e">
        <f>+#REF!-#REF!</f>
        <v>#REF!</v>
      </c>
      <c r="AA17" s="877"/>
      <c r="AB17" s="877"/>
      <c r="AC17" s="877" t="e">
        <f>+#REF!-#REF!</f>
        <v>#REF!</v>
      </c>
      <c r="AD17" s="877" t="e">
        <f>+B17-#REF!</f>
        <v>#VALUE!</v>
      </c>
      <c r="AE17" s="877" t="e">
        <f>+Q17-B17</f>
        <v>#VALUE!</v>
      </c>
    </row>
    <row r="18" spans="2:31">
      <c r="B18" s="5" t="s">
        <v>535</v>
      </c>
      <c r="C18">
        <v>20</v>
      </c>
      <c r="T18" s="43" t="s">
        <v>393</v>
      </c>
      <c r="U18" s="43"/>
      <c r="V18" s="43"/>
      <c r="W18" s="43"/>
      <c r="X18" s="43"/>
      <c r="Y18" s="43"/>
      <c r="Z18" s="877" t="e">
        <f>+#REF!-#REF!</f>
        <v>#REF!</v>
      </c>
      <c r="AA18" s="877"/>
      <c r="AB18" s="877"/>
      <c r="AC18" s="877" t="e">
        <f>+#REF!-#REF!</f>
        <v>#REF!</v>
      </c>
      <c r="AD18" s="877" t="e">
        <f>+B19-#REF!</f>
        <v>#VALUE!</v>
      </c>
      <c r="AE18" s="877" t="e">
        <f>+Q18-B19</f>
        <v>#VALUE!</v>
      </c>
    </row>
    <row r="19" spans="2:31">
      <c r="B19" s="5" t="s">
        <v>382</v>
      </c>
      <c r="C19">
        <v>30</v>
      </c>
      <c r="T19" s="43" t="s">
        <v>394</v>
      </c>
      <c r="U19" s="43"/>
      <c r="V19" s="43"/>
      <c r="W19" s="43"/>
      <c r="X19" s="43"/>
      <c r="Y19" s="43"/>
      <c r="Z19" s="877" t="e">
        <f>+#REF!-#REF!</f>
        <v>#REF!</v>
      </c>
      <c r="AA19" s="877"/>
      <c r="AB19" s="877"/>
      <c r="AC19" s="877" t="e">
        <f>+#REF!-#REF!</f>
        <v>#REF!</v>
      </c>
      <c r="AD19" s="877" t="e">
        <f>+B20-#REF!</f>
        <v>#VALUE!</v>
      </c>
      <c r="AE19" s="877" t="e">
        <f>+Q19-B20</f>
        <v>#VALUE!</v>
      </c>
    </row>
    <row r="20" spans="2:31">
      <c r="B20" s="5" t="s">
        <v>383</v>
      </c>
      <c r="C20">
        <v>40</v>
      </c>
      <c r="T20" s="43" t="s">
        <v>395</v>
      </c>
      <c r="U20" s="43">
        <v>6</v>
      </c>
      <c r="V20" s="43"/>
      <c r="W20" s="43"/>
      <c r="X20" s="43"/>
      <c r="Y20" s="43"/>
      <c r="Z20" s="877">
        <v>5</v>
      </c>
      <c r="AA20" s="877"/>
      <c r="AB20" s="877"/>
      <c r="AC20" s="877">
        <v>4</v>
      </c>
      <c r="AD20" s="877">
        <v>3</v>
      </c>
      <c r="AE20" s="877">
        <v>2</v>
      </c>
    </row>
    <row r="21" spans="2:31">
      <c r="B21" s="3" t="s">
        <v>384</v>
      </c>
      <c r="C21">
        <v>50</v>
      </c>
      <c r="E21" s="87"/>
      <c r="F21" s="87"/>
      <c r="H21" s="83"/>
    </row>
    <row r="22" spans="2:31">
      <c r="B22" s="3" t="s">
        <v>385</v>
      </c>
      <c r="C22">
        <v>60</v>
      </c>
      <c r="E22" s="87"/>
      <c r="F22" s="87"/>
      <c r="H22" s="83"/>
    </row>
    <row r="23" spans="2:31">
      <c r="E23" s="87"/>
      <c r="F23" s="87"/>
      <c r="H23" s="83"/>
    </row>
    <row r="24" spans="2:31">
      <c r="B24" s="3" t="s">
        <v>357</v>
      </c>
      <c r="C24" s="46">
        <v>0.82</v>
      </c>
      <c r="E24" s="87"/>
      <c r="F24" s="87"/>
      <c r="H24" s="83"/>
    </row>
    <row r="25" spans="2:31">
      <c r="B25" s="3" t="s">
        <v>360</v>
      </c>
      <c r="C25" s="46">
        <v>0.75</v>
      </c>
      <c r="E25" s="87"/>
      <c r="F25" s="87"/>
      <c r="H25" s="83"/>
    </row>
    <row r="26" spans="2:31" ht="15.75" thickBot="1">
      <c r="B26" s="3" t="s">
        <v>362</v>
      </c>
      <c r="C26" s="46">
        <v>0.67</v>
      </c>
      <c r="E26" s="87"/>
      <c r="F26" s="87"/>
      <c r="H26" s="83"/>
    </row>
    <row r="27" spans="2:31" ht="30.75" thickBot="1">
      <c r="B27" s="3" t="s">
        <v>364</v>
      </c>
      <c r="C27" s="46">
        <v>0.55000000000000004</v>
      </c>
      <c r="E27" s="87"/>
      <c r="F27" s="87"/>
      <c r="H27" s="83"/>
      <c r="P27" s="881" t="s">
        <v>396</v>
      </c>
      <c r="R27" s="881" t="s">
        <v>397</v>
      </c>
    </row>
    <row r="28" spans="2:31" ht="15.75" thickBot="1">
      <c r="B28" s="3" t="s">
        <v>55</v>
      </c>
      <c r="C28" s="46">
        <v>0.46</v>
      </c>
      <c r="E28" s="87"/>
      <c r="F28" s="87"/>
      <c r="H28" s="83"/>
      <c r="O28" s="152" t="s">
        <v>398</v>
      </c>
      <c r="P28" s="882" t="s">
        <v>255</v>
      </c>
      <c r="Q28" s="883">
        <v>0.16522000000000001</v>
      </c>
      <c r="R28" s="882" t="s">
        <v>399</v>
      </c>
    </row>
    <row r="29" spans="2:31" ht="15.75" thickBot="1">
      <c r="B29" s="11" t="s">
        <v>367</v>
      </c>
      <c r="C29" s="46">
        <v>0.37</v>
      </c>
      <c r="E29" s="87"/>
      <c r="F29" s="87"/>
      <c r="H29" s="83"/>
      <c r="O29" s="154" t="s">
        <v>256</v>
      </c>
      <c r="P29" s="884">
        <v>11436</v>
      </c>
      <c r="Q29" s="884">
        <f t="shared" ref="Q29:Q35" si="22">+P29*$Q$28</f>
        <v>1889.4559200000001</v>
      </c>
      <c r="R29" s="885">
        <f>+P29+Q29</f>
        <v>13325.45592</v>
      </c>
    </row>
    <row r="30" spans="2:31" ht="15.75" thickBot="1">
      <c r="B30" s="11" t="s">
        <v>400</v>
      </c>
      <c r="C30" s="46">
        <v>0.3</v>
      </c>
      <c r="E30" s="87"/>
      <c r="F30" s="87"/>
      <c r="H30" s="83"/>
      <c r="O30" s="154" t="s">
        <v>257</v>
      </c>
      <c r="P30" s="884">
        <v>11436</v>
      </c>
      <c r="Q30" s="884">
        <f t="shared" si="22"/>
        <v>1889.4559200000001</v>
      </c>
      <c r="R30" s="885">
        <f t="shared" ref="R30:R35" si="23">+P30+Q30</f>
        <v>13325.45592</v>
      </c>
    </row>
    <row r="31" spans="2:31" ht="15.75" thickBot="1">
      <c r="B31" s="11" t="s">
        <v>376</v>
      </c>
      <c r="C31" s="46">
        <v>0.22</v>
      </c>
      <c r="E31" s="87"/>
      <c r="F31" s="87"/>
      <c r="H31" s="83"/>
      <c r="O31" s="154" t="s">
        <v>259</v>
      </c>
      <c r="P31" s="884">
        <v>9037</v>
      </c>
      <c r="Q31" s="884">
        <f t="shared" si="22"/>
        <v>1493.0931399999999</v>
      </c>
      <c r="R31" s="885">
        <f t="shared" si="23"/>
        <v>10530.093140000001</v>
      </c>
    </row>
    <row r="32" spans="2:31" ht="15.75" thickBot="1">
      <c r="B32" s="11" t="s">
        <v>377</v>
      </c>
      <c r="C32" s="46">
        <v>0.15</v>
      </c>
      <c r="E32" s="87"/>
      <c r="F32" s="87"/>
      <c r="H32" s="83"/>
      <c r="O32" s="154" t="s">
        <v>260</v>
      </c>
      <c r="P32" s="884">
        <v>9037</v>
      </c>
      <c r="Q32" s="884">
        <f t="shared" si="22"/>
        <v>1493.0931399999999</v>
      </c>
      <c r="R32" s="885">
        <f t="shared" si="23"/>
        <v>10530.093140000001</v>
      </c>
    </row>
    <row r="33" spans="1:31" ht="15.75" thickBot="1">
      <c r="B33" s="11" t="s">
        <v>378</v>
      </c>
      <c r="C33" s="46">
        <v>0.1</v>
      </c>
      <c r="E33" s="87"/>
      <c r="F33" s="87"/>
      <c r="H33" s="83"/>
      <c r="O33" s="154" t="s">
        <v>261</v>
      </c>
      <c r="P33" s="884">
        <v>9859</v>
      </c>
      <c r="Q33" s="884">
        <f t="shared" si="22"/>
        <v>1628.90398</v>
      </c>
      <c r="R33" s="885">
        <f t="shared" si="23"/>
        <v>11487.903979999999</v>
      </c>
    </row>
    <row r="34" spans="1:31" ht="15.75" thickBot="1">
      <c r="B34" s="11" t="s">
        <v>379</v>
      </c>
      <c r="C34" s="46">
        <v>0</v>
      </c>
      <c r="E34" s="87"/>
      <c r="F34" s="87"/>
      <c r="H34" s="83"/>
      <c r="O34" s="154" t="s">
        <v>262</v>
      </c>
      <c r="P34" s="884">
        <v>11261</v>
      </c>
      <c r="Q34" s="884">
        <f t="shared" si="22"/>
        <v>1860.54242</v>
      </c>
      <c r="R34" s="885">
        <f t="shared" si="23"/>
        <v>13121.54242</v>
      </c>
    </row>
    <row r="35" spans="1:31" ht="15.75" thickBot="1">
      <c r="E35" s="87"/>
      <c r="F35" s="87"/>
      <c r="H35" s="83"/>
      <c r="O35" s="154" t="s">
        <v>263</v>
      </c>
      <c r="P35" s="884">
        <v>14612</v>
      </c>
      <c r="Q35" s="884">
        <f t="shared" si="22"/>
        <v>2414.1946400000002</v>
      </c>
      <c r="R35" s="885">
        <f t="shared" si="23"/>
        <v>17026.194640000002</v>
      </c>
    </row>
    <row r="36" spans="1:31" ht="45">
      <c r="E36" s="87"/>
      <c r="F36" s="87"/>
      <c r="H36" s="83"/>
      <c r="P36" s="459" t="s">
        <v>401</v>
      </c>
      <c r="Q36" s="459" t="s">
        <v>402</v>
      </c>
      <c r="R36" s="459" t="s">
        <v>403</v>
      </c>
      <c r="S36" s="459" t="s">
        <v>404</v>
      </c>
    </row>
    <row r="37" spans="1:31">
      <c r="C37" s="87"/>
      <c r="D37" s="87"/>
      <c r="E37" s="87"/>
      <c r="F37" s="87"/>
      <c r="G37" s="87"/>
      <c r="H37" s="87"/>
      <c r="I37" s="87"/>
      <c r="J37" s="87"/>
      <c r="K37" s="87"/>
      <c r="Q37" s="886"/>
      <c r="R37" s="886"/>
      <c r="T37" s="880"/>
      <c r="AA37" s="887" t="s">
        <v>405</v>
      </c>
      <c r="AB37" s="888">
        <v>6600000</v>
      </c>
      <c r="AC37" s="888">
        <f>+AB37*12</f>
        <v>79200000</v>
      </c>
      <c r="AD37" s="459">
        <f>34781*70%</f>
        <v>24346.699999999997</v>
      </c>
      <c r="AE37" s="889">
        <f>+AC37/AD37</f>
        <v>3253.0075944583868</v>
      </c>
    </row>
    <row r="38" spans="1:31">
      <c r="C38" s="87"/>
      <c r="D38" s="87"/>
      <c r="E38" s="87"/>
      <c r="F38" s="87"/>
      <c r="G38" s="87"/>
      <c r="H38" s="87"/>
      <c r="I38" s="87"/>
      <c r="J38" s="87"/>
      <c r="K38" s="87"/>
      <c r="Q38" s="886"/>
      <c r="R38" s="886"/>
      <c r="T38" s="880"/>
      <c r="AA38" s="887"/>
      <c r="AB38" s="888"/>
      <c r="AC38" s="888"/>
      <c r="AE38" s="889"/>
    </row>
    <row r="39" spans="1:31">
      <c r="C39" s="87"/>
      <c r="D39" s="87"/>
      <c r="E39" s="87"/>
      <c r="F39" s="87"/>
      <c r="G39" s="87"/>
      <c r="H39" s="87"/>
      <c r="I39" s="87"/>
      <c r="J39" s="87"/>
      <c r="K39" s="87"/>
      <c r="Q39" s="886"/>
      <c r="R39" s="886"/>
      <c r="T39" s="880"/>
      <c r="AA39" s="887"/>
      <c r="AB39" s="888"/>
      <c r="AC39" s="888"/>
      <c r="AE39" s="889"/>
    </row>
    <row r="40" spans="1:31" ht="31.5">
      <c r="A40" s="1344" t="s">
        <v>1374</v>
      </c>
      <c r="B40" s="1344"/>
      <c r="C40" s="1344"/>
      <c r="D40" s="1344"/>
      <c r="E40" s="1344"/>
      <c r="F40" s="1344"/>
      <c r="G40" s="1344"/>
      <c r="H40" s="1344"/>
      <c r="I40" s="1344"/>
      <c r="J40" s="1344"/>
      <c r="K40" s="1344"/>
      <c r="L40" s="1344"/>
      <c r="M40" s="1344"/>
      <c r="Q40" s="886"/>
      <c r="R40" s="886"/>
      <c r="T40" s="880"/>
    </row>
    <row r="41" spans="1:31" ht="11.25" customHeight="1">
      <c r="A41" s="589"/>
      <c r="B41" s="589"/>
      <c r="C41" s="589"/>
      <c r="D41" s="589"/>
      <c r="E41" s="589"/>
      <c r="F41" s="589"/>
      <c r="G41" s="589"/>
      <c r="H41" s="589"/>
      <c r="I41" s="589"/>
      <c r="J41" s="589"/>
      <c r="K41" s="589"/>
      <c r="L41" s="589"/>
      <c r="M41" s="589"/>
      <c r="Q41" s="890"/>
      <c r="R41" s="890"/>
      <c r="T41" s="880"/>
    </row>
    <row r="42" spans="1:31">
      <c r="C42" t="str">
        <f>+C1</f>
        <v>Mas 82%</v>
      </c>
      <c r="D42" t="str">
        <f>+F1</f>
        <v>75%-82%</v>
      </c>
      <c r="E42" t="str">
        <f>+I1</f>
        <v>67%-74%</v>
      </c>
      <c r="F42" t="str">
        <f>+L1</f>
        <v>55-66%</v>
      </c>
      <c r="G42" t="str">
        <f>+O1</f>
        <v>46-54%</v>
      </c>
      <c r="H42" t="str">
        <f>+R1</f>
        <v>37-45%</v>
      </c>
      <c r="I42" t="str">
        <f>+U1</f>
        <v>30-36%</v>
      </c>
      <c r="J42" t="str">
        <f>+X1</f>
        <v>22-29%</v>
      </c>
      <c r="K42" t="str">
        <f>+AA1</f>
        <v>15-21%</v>
      </c>
      <c r="L42" t="str">
        <f>+AD1</f>
        <v>10-14%</v>
      </c>
      <c r="M42" t="str">
        <f>+AG1</f>
        <v>0-9%</v>
      </c>
    </row>
    <row r="43" spans="1:31">
      <c r="A43">
        <v>1</v>
      </c>
      <c r="B43">
        <v>2</v>
      </c>
      <c r="C43">
        <v>3</v>
      </c>
      <c r="D43">
        <v>4</v>
      </c>
      <c r="E43">
        <v>5</v>
      </c>
      <c r="F43">
        <v>6</v>
      </c>
      <c r="G43">
        <v>7</v>
      </c>
      <c r="H43">
        <v>8</v>
      </c>
      <c r="I43">
        <v>9</v>
      </c>
      <c r="J43">
        <v>10</v>
      </c>
      <c r="K43">
        <v>11</v>
      </c>
      <c r="L43">
        <v>12</v>
      </c>
      <c r="M43">
        <v>13</v>
      </c>
    </row>
    <row r="44" spans="1:31">
      <c r="A44" s="440"/>
      <c r="B44" s="79" t="s">
        <v>430</v>
      </c>
      <c r="C44" s="437" t="s">
        <v>357</v>
      </c>
      <c r="D44" s="437" t="s">
        <v>360</v>
      </c>
      <c r="E44" s="437" t="s">
        <v>362</v>
      </c>
      <c r="F44" s="437" t="s">
        <v>364</v>
      </c>
      <c r="G44" s="3" t="s">
        <v>55</v>
      </c>
      <c r="H44" s="11" t="s">
        <v>367</v>
      </c>
      <c r="I44" s="443" t="s">
        <v>375</v>
      </c>
      <c r="J44" s="443" t="s">
        <v>376</v>
      </c>
      <c r="K44" s="443" t="s">
        <v>377</v>
      </c>
      <c r="L44" s="443" t="s">
        <v>378</v>
      </c>
      <c r="M44" s="443" t="s">
        <v>379</v>
      </c>
    </row>
    <row r="45" spans="1:31">
      <c r="A45" s="440">
        <v>15</v>
      </c>
      <c r="B45" s="5" t="s">
        <v>844</v>
      </c>
      <c r="C45" s="8">
        <v>30000</v>
      </c>
      <c r="D45" s="8">
        <f>+C45+$D$53</f>
        <v>30000</v>
      </c>
      <c r="E45" s="8">
        <f>+D45+$E$53</f>
        <v>30000</v>
      </c>
      <c r="F45" s="8">
        <f>+E45+$F$53</f>
        <v>33000</v>
      </c>
      <c r="G45" s="8">
        <f>+F45+$G$53</f>
        <v>36000</v>
      </c>
      <c r="H45" s="8">
        <f>+G45+$H$53</f>
        <v>39000</v>
      </c>
      <c r="I45" s="8">
        <f>+H45+$I$53</f>
        <v>44000</v>
      </c>
      <c r="J45" s="8">
        <f>+I45+$J$53</f>
        <v>49000</v>
      </c>
      <c r="K45" s="8">
        <f>+J45+$K$53</f>
        <v>54000</v>
      </c>
      <c r="L45" s="8">
        <f>+K45+$L$53</f>
        <v>64000</v>
      </c>
      <c r="M45" s="8">
        <f>+L45+$M$53</f>
        <v>90000</v>
      </c>
    </row>
    <row r="46" spans="1:31">
      <c r="A46" s="440">
        <v>16</v>
      </c>
      <c r="B46" s="5" t="s">
        <v>164</v>
      </c>
      <c r="C46" s="8">
        <v>25000</v>
      </c>
      <c r="D46" s="8">
        <f>+C46+$D$53</f>
        <v>25000</v>
      </c>
      <c r="E46" s="8">
        <f>+D46+$E$53</f>
        <v>25000</v>
      </c>
      <c r="F46" s="8">
        <f>+E46+$F$53</f>
        <v>28000</v>
      </c>
      <c r="G46" s="8">
        <f>+F46+$G$53</f>
        <v>31000</v>
      </c>
      <c r="H46" s="8">
        <f>+G46+$H$53</f>
        <v>34000</v>
      </c>
      <c r="I46" s="8">
        <f>+H46+$I$53</f>
        <v>39000</v>
      </c>
      <c r="J46" s="8">
        <f>+I46+$J$53</f>
        <v>44000</v>
      </c>
      <c r="K46" s="8">
        <f>+J46+$K$53</f>
        <v>49000</v>
      </c>
      <c r="L46" s="8">
        <f>+K46+$L$53</f>
        <v>59000</v>
      </c>
      <c r="M46" s="8">
        <f>+L46+$M$53</f>
        <v>85000</v>
      </c>
    </row>
    <row r="47" spans="1:31">
      <c r="A47" s="440">
        <v>17</v>
      </c>
      <c r="B47" s="5" t="s">
        <v>165</v>
      </c>
      <c r="C47" s="8">
        <v>20000</v>
      </c>
      <c r="D47" s="8">
        <f>+C47+$D$53</f>
        <v>20000</v>
      </c>
      <c r="E47" s="8">
        <f>+D47+$E$53</f>
        <v>20000</v>
      </c>
      <c r="F47" s="8">
        <f>+E47+$F$53</f>
        <v>23000</v>
      </c>
      <c r="G47" s="8">
        <f>+F47+$G$53</f>
        <v>26000</v>
      </c>
      <c r="H47" s="8">
        <f>+G47+$H$53</f>
        <v>29000</v>
      </c>
      <c r="I47" s="8">
        <f>+H47+$I$53</f>
        <v>34000</v>
      </c>
      <c r="J47" s="8">
        <f>+I47+$J$53</f>
        <v>39000</v>
      </c>
      <c r="K47" s="8">
        <f>+J47+$K$53</f>
        <v>44000</v>
      </c>
      <c r="L47" s="8">
        <f>+K47+$L$53</f>
        <v>54000</v>
      </c>
      <c r="M47" s="8">
        <f>+L47+$M$53</f>
        <v>80000</v>
      </c>
    </row>
    <row r="48" spans="1:31">
      <c r="A48" s="440">
        <v>18</v>
      </c>
      <c r="B48" s="5" t="s">
        <v>431</v>
      </c>
      <c r="C48" s="8">
        <v>20000</v>
      </c>
      <c r="D48" s="8">
        <f>+C48+$D$53</f>
        <v>20000</v>
      </c>
      <c r="E48" s="8">
        <f>+D48+$E$53</f>
        <v>20000</v>
      </c>
      <c r="F48" s="8">
        <f>+E48+$F$53</f>
        <v>23000</v>
      </c>
      <c r="G48" s="8">
        <f>+F48+$G$53</f>
        <v>26000</v>
      </c>
      <c r="H48" s="8">
        <f>+G48+$H$53</f>
        <v>29000</v>
      </c>
      <c r="I48" s="8">
        <f>+H48+$I$53</f>
        <v>34000</v>
      </c>
      <c r="J48" s="8">
        <f>+I48+$J$53</f>
        <v>39000</v>
      </c>
      <c r="K48" s="8">
        <f>+J48+$K$53</f>
        <v>44000</v>
      </c>
      <c r="L48" s="8">
        <f>+K48+$L$53</f>
        <v>54000</v>
      </c>
      <c r="M48" s="8">
        <f>+L48+$M$53</f>
        <v>80000</v>
      </c>
    </row>
    <row r="49" spans="1:13">
      <c r="A49" s="440">
        <v>19</v>
      </c>
      <c r="B49" s="49" t="s">
        <v>845</v>
      </c>
      <c r="C49" s="50">
        <v>30000</v>
      </c>
      <c r="D49" s="50">
        <f>+C49+$D$54</f>
        <v>30000</v>
      </c>
      <c r="E49" s="50">
        <f>+D49+$E$54</f>
        <v>30000</v>
      </c>
      <c r="F49" s="50">
        <f>+E49+$F$54</f>
        <v>35000</v>
      </c>
      <c r="G49" s="50">
        <f>+F49+$G$54</f>
        <v>40000</v>
      </c>
      <c r="H49" s="50">
        <f>+G49+$H$54</f>
        <v>45000</v>
      </c>
      <c r="I49" s="50">
        <f>+H49+$I$54</f>
        <v>50000</v>
      </c>
      <c r="J49" s="50">
        <f>+I49+$J$54</f>
        <v>55000</v>
      </c>
      <c r="K49" s="50">
        <f>+J49+$K$54</f>
        <v>60000</v>
      </c>
      <c r="L49" s="50">
        <f>+K49+$L$54</f>
        <v>70000</v>
      </c>
      <c r="M49" s="50">
        <f>+L49+$M$54</f>
        <v>100000</v>
      </c>
    </row>
    <row r="50" spans="1:13">
      <c r="A50" s="440">
        <v>20</v>
      </c>
      <c r="B50" s="49" t="s">
        <v>172</v>
      </c>
      <c r="C50" s="50">
        <v>30000</v>
      </c>
      <c r="D50" s="50">
        <f t="shared" ref="D50:D52" si="24">+C50+$D$54</f>
        <v>30000</v>
      </c>
      <c r="E50" s="50">
        <f t="shared" ref="E50:E52" si="25">+D50+$E$54</f>
        <v>30000</v>
      </c>
      <c r="F50" s="50">
        <f t="shared" ref="F50:F52" si="26">+E50+$F$54</f>
        <v>35000</v>
      </c>
      <c r="G50" s="50">
        <f t="shared" ref="G50:G52" si="27">+F50+$G$54</f>
        <v>40000</v>
      </c>
      <c r="H50" s="50">
        <f t="shared" ref="H50:H52" si="28">+G50+$H$54</f>
        <v>45000</v>
      </c>
      <c r="I50" s="50">
        <f>+H50+$I$54</f>
        <v>50000</v>
      </c>
      <c r="J50" s="50">
        <f t="shared" ref="J50:J52" si="29">+I50+$J$54</f>
        <v>55000</v>
      </c>
      <c r="K50" s="50">
        <f t="shared" ref="K50:K52" si="30">+J50+$K$54</f>
        <v>60000</v>
      </c>
      <c r="L50" s="50">
        <f t="shared" ref="L50:L52" si="31">+K50+$L$54</f>
        <v>70000</v>
      </c>
      <c r="M50" s="50">
        <f t="shared" ref="M50:M52" si="32">+L50+$M$54</f>
        <v>100000</v>
      </c>
    </row>
    <row r="51" spans="1:13">
      <c r="A51" s="440">
        <v>21</v>
      </c>
      <c r="B51" s="49" t="s">
        <v>175</v>
      </c>
      <c r="C51" s="50">
        <v>25000</v>
      </c>
      <c r="D51" s="50">
        <f t="shared" si="24"/>
        <v>25000</v>
      </c>
      <c r="E51" s="50">
        <f t="shared" si="25"/>
        <v>25000</v>
      </c>
      <c r="F51" s="50">
        <f t="shared" si="26"/>
        <v>30000</v>
      </c>
      <c r="G51" s="50">
        <f t="shared" si="27"/>
        <v>35000</v>
      </c>
      <c r="H51" s="50">
        <f t="shared" si="28"/>
        <v>40000</v>
      </c>
      <c r="I51" s="50">
        <f>+H51+$I$54</f>
        <v>45000</v>
      </c>
      <c r="J51" s="50">
        <f t="shared" si="29"/>
        <v>50000</v>
      </c>
      <c r="K51" s="50">
        <f t="shared" si="30"/>
        <v>55000</v>
      </c>
      <c r="L51" s="50">
        <f t="shared" si="31"/>
        <v>65000</v>
      </c>
      <c r="M51" s="50">
        <f t="shared" si="32"/>
        <v>95000</v>
      </c>
    </row>
    <row r="52" spans="1:13">
      <c r="A52" s="440">
        <v>22</v>
      </c>
      <c r="B52" s="49" t="s">
        <v>432</v>
      </c>
      <c r="C52" s="50">
        <v>25000</v>
      </c>
      <c r="D52" s="50">
        <f t="shared" si="24"/>
        <v>25000</v>
      </c>
      <c r="E52" s="50">
        <f t="shared" si="25"/>
        <v>25000</v>
      </c>
      <c r="F52" s="50">
        <f t="shared" si="26"/>
        <v>30000</v>
      </c>
      <c r="G52" s="50">
        <f t="shared" si="27"/>
        <v>35000</v>
      </c>
      <c r="H52" s="50">
        <f t="shared" si="28"/>
        <v>40000</v>
      </c>
      <c r="I52" s="50">
        <f>+H52+$I$54</f>
        <v>45000</v>
      </c>
      <c r="J52" s="50">
        <f t="shared" si="29"/>
        <v>50000</v>
      </c>
      <c r="K52" s="50">
        <f t="shared" si="30"/>
        <v>55000</v>
      </c>
      <c r="L52" s="50">
        <f t="shared" si="31"/>
        <v>65000</v>
      </c>
      <c r="M52" s="50">
        <f t="shared" si="32"/>
        <v>95000</v>
      </c>
    </row>
    <row r="53" spans="1:13">
      <c r="A53" s="440"/>
      <c r="B53" s="5" t="s">
        <v>92</v>
      </c>
      <c r="C53" s="29"/>
      <c r="D53" s="29"/>
      <c r="E53" s="29"/>
      <c r="F53" s="29">
        <v>3000</v>
      </c>
      <c r="G53" s="29">
        <v>3000</v>
      </c>
      <c r="H53" s="29">
        <v>3000</v>
      </c>
      <c r="I53" s="29">
        <v>5000</v>
      </c>
      <c r="J53" s="29">
        <v>5000</v>
      </c>
      <c r="K53" s="29">
        <v>5000</v>
      </c>
      <c r="L53" s="29">
        <v>10000</v>
      </c>
      <c r="M53" s="29">
        <v>26000</v>
      </c>
    </row>
    <row r="54" spans="1:13">
      <c r="A54" s="440"/>
      <c r="B54" s="259" t="s">
        <v>433</v>
      </c>
      <c r="C54" s="50"/>
      <c r="D54" s="50"/>
      <c r="E54" s="50"/>
      <c r="F54" s="50">
        <v>5000</v>
      </c>
      <c r="G54" s="50">
        <v>5000</v>
      </c>
      <c r="H54" s="50">
        <v>5000</v>
      </c>
      <c r="I54" s="50">
        <v>5000</v>
      </c>
      <c r="J54" s="50">
        <v>5000</v>
      </c>
      <c r="K54" s="50">
        <v>5000</v>
      </c>
      <c r="L54" s="50">
        <v>10000</v>
      </c>
      <c r="M54" s="50">
        <v>30000</v>
      </c>
    </row>
    <row r="56" spans="1:13" ht="31.5">
      <c r="A56" s="1344" t="s">
        <v>881</v>
      </c>
      <c r="B56" s="1344"/>
      <c r="C56" s="1344"/>
      <c r="D56" s="1344"/>
      <c r="E56" s="1344"/>
      <c r="F56" s="1344"/>
      <c r="G56" s="1344"/>
      <c r="H56" s="1344"/>
      <c r="I56" s="1344"/>
      <c r="J56" s="1344"/>
      <c r="K56" s="1344"/>
      <c r="L56" s="1344"/>
      <c r="M56" s="1344"/>
    </row>
    <row r="57" spans="1:13" ht="18" customHeight="1"/>
    <row r="58" spans="1:13" ht="30">
      <c r="B58" s="459" t="s">
        <v>896</v>
      </c>
      <c r="C58" t="s">
        <v>897</v>
      </c>
    </row>
    <row r="59" spans="1:13" ht="15.75" thickBot="1"/>
    <row r="60" spans="1:13" ht="15.75" thickBot="1">
      <c r="B60" s="460" t="s">
        <v>898</v>
      </c>
      <c r="C60" s="461" t="s">
        <v>899</v>
      </c>
      <c r="D60" s="461" t="s">
        <v>900</v>
      </c>
      <c r="E60" s="461" t="s">
        <v>901</v>
      </c>
      <c r="F60" s="461" t="s">
        <v>902</v>
      </c>
      <c r="G60" s="461" t="s">
        <v>903</v>
      </c>
    </row>
    <row r="61" spans="1:13" ht="60.75" thickBot="1">
      <c r="B61" s="462" t="s">
        <v>904</v>
      </c>
      <c r="C61" s="463">
        <f>+'Precios bases'!C61*5.2%+'Precios bases'!C61</f>
        <v>21040</v>
      </c>
      <c r="D61" s="463">
        <f>+'Precios bases'!D61*5.2%+'Precios bases'!D61</f>
        <v>26300</v>
      </c>
      <c r="E61" s="463">
        <f>+'Precios bases'!E61*5.2%+'Precios bases'!E61</f>
        <v>31560</v>
      </c>
      <c r="F61" s="463">
        <f>+'Precios bases'!F61*5.2%+'Precios bases'!F61</f>
        <v>38924</v>
      </c>
      <c r="G61" s="463" t="s">
        <v>905</v>
      </c>
    </row>
    <row r="62" spans="1:13" ht="15.75" thickBot="1">
      <c r="B62" s="462" t="s">
        <v>906</v>
      </c>
      <c r="C62" s="463">
        <f>+'Precios bases'!C62*5.2%+'Precios bases'!C62</f>
        <v>14728</v>
      </c>
      <c r="D62" s="463">
        <f>+'Precios bases'!D62*5.2%+'Precios bases'!D62</f>
        <v>19988</v>
      </c>
      <c r="E62" s="463">
        <f>+'Precios bases'!E62*5.2%+'Precios bases'!E62</f>
        <v>26300</v>
      </c>
      <c r="F62" s="463">
        <f>+'Precios bases'!F62*5.2%+'Precios bases'!F62</f>
        <v>31560</v>
      </c>
      <c r="G62" s="463"/>
    </row>
    <row r="63" spans="1:13" ht="15.75" thickBot="1">
      <c r="B63" s="462" t="s">
        <v>907</v>
      </c>
      <c r="C63" s="463">
        <f>+'Precios bases'!C63*5.2%+'Precios bases'!C63</f>
        <v>10520</v>
      </c>
      <c r="D63" s="463">
        <f>+'Precios bases'!D63*5.2%+'Precios bases'!D63</f>
        <v>15780</v>
      </c>
      <c r="E63" s="463">
        <f>+'Precios bases'!E63*5.2%+'Precios bases'!E63</f>
        <v>21040</v>
      </c>
      <c r="F63" s="463">
        <f>+'Precios bases'!F63*5.2%+'Precios bases'!F63</f>
        <v>26300</v>
      </c>
      <c r="G63" s="463"/>
    </row>
    <row r="64" spans="1:13" ht="15.75" thickBot="1"/>
    <row r="65" spans="1:60" ht="15.75" thickBot="1">
      <c r="B65" s="460" t="s">
        <v>898</v>
      </c>
      <c r="C65" s="465" t="s">
        <v>908</v>
      </c>
      <c r="D65" s="465" t="s">
        <v>909</v>
      </c>
      <c r="E65" s="465" t="s">
        <v>910</v>
      </c>
      <c r="F65" s="465" t="s">
        <v>911</v>
      </c>
      <c r="G65" s="465" t="s">
        <v>903</v>
      </c>
    </row>
    <row r="66" spans="1:60" ht="60.75" thickBot="1">
      <c r="A66" s="459" t="s">
        <v>914</v>
      </c>
      <c r="B66" s="464" t="s">
        <v>904</v>
      </c>
      <c r="C66" s="37">
        <f>+'Precios bases'!C66*5.2%+'Precios bases'!C66</f>
        <v>21040</v>
      </c>
      <c r="D66" s="37">
        <f>+'Precios bases'!D66*5.2%+'Precios bases'!D66</f>
        <v>26300</v>
      </c>
      <c r="E66" s="37">
        <f>+'Precios bases'!E66*5.2%+'Precios bases'!E66</f>
        <v>31560</v>
      </c>
      <c r="F66" s="37">
        <f>+'Precios bases'!F66*5.2%+'Precios bases'!F66</f>
        <v>38924</v>
      </c>
      <c r="G66" s="463" t="s">
        <v>905</v>
      </c>
    </row>
    <row r="67" spans="1:60" ht="30.75" thickBot="1">
      <c r="A67" s="459" t="s">
        <v>913</v>
      </c>
      <c r="B67" s="464" t="s">
        <v>906</v>
      </c>
      <c r="C67" s="37">
        <f>+'Precios bases'!C67*5.2%+'Precios bases'!C67</f>
        <v>14728</v>
      </c>
      <c r="D67" s="37">
        <f>+'Precios bases'!D67*5.2%+'Precios bases'!D67</f>
        <v>19988</v>
      </c>
      <c r="E67" s="37">
        <f>+'Precios bases'!E67*5.2%+'Precios bases'!E67</f>
        <v>26300</v>
      </c>
      <c r="F67" s="37">
        <f>+'Precios bases'!F67*5.2%+'Precios bases'!F67</f>
        <v>31560</v>
      </c>
      <c r="G67" s="37"/>
    </row>
    <row r="68" spans="1:60" ht="30.75" thickBot="1">
      <c r="A68" s="459" t="s">
        <v>912</v>
      </c>
      <c r="B68" s="464" t="s">
        <v>907</v>
      </c>
      <c r="C68" s="37">
        <f>+'Precios bases'!C68*5.2%+'Precios bases'!C68</f>
        <v>10520</v>
      </c>
      <c r="D68" s="37">
        <f>+'Precios bases'!D68*5.2%+'Precios bases'!D68</f>
        <v>15780</v>
      </c>
      <c r="E68" s="37">
        <f>+'Precios bases'!E68*5.2%+'Precios bases'!E68</f>
        <v>21040</v>
      </c>
      <c r="F68" s="37">
        <f>+'Precios bases'!F68*5.2%+'Precios bases'!F68</f>
        <v>26300</v>
      </c>
      <c r="G68" s="37"/>
    </row>
    <row r="69" spans="1:60" ht="15.75" thickBot="1"/>
    <row r="70" spans="1:60" ht="15.75" thickBot="1">
      <c r="B70" s="460" t="s">
        <v>898</v>
      </c>
      <c r="C70" s="465" t="s">
        <v>908</v>
      </c>
      <c r="D70" s="465" t="s">
        <v>909</v>
      </c>
      <c r="E70" s="465" t="s">
        <v>910</v>
      </c>
      <c r="F70" s="465" t="s">
        <v>911</v>
      </c>
      <c r="G70" s="465" t="s">
        <v>903</v>
      </c>
      <c r="H70" s="466" t="s">
        <v>915</v>
      </c>
    </row>
    <row r="71" spans="1:60" ht="60.75" thickBot="1">
      <c r="A71" s="459" t="s">
        <v>914</v>
      </c>
      <c r="B71" s="464" t="s">
        <v>904</v>
      </c>
      <c r="C71" s="37">
        <f>+'Precios bases'!C71*5.2%+'Precios bases'!C71</f>
        <v>26300</v>
      </c>
      <c r="D71" s="37">
        <f>+'Precios bases'!D71*5.2%+'Precios bases'!D71</f>
        <v>36820</v>
      </c>
      <c r="E71" s="37">
        <f>+'Precios bases'!E71*5.2%+'Precios bases'!E71</f>
        <v>42080</v>
      </c>
      <c r="F71" s="37">
        <f>+'Precios bases'!F71*5.2%+'Precios bases'!F71</f>
        <v>52600</v>
      </c>
      <c r="G71" s="467" t="s">
        <v>905</v>
      </c>
      <c r="H71" s="469"/>
    </row>
    <row r="72" spans="1:60" ht="30.75" thickBot="1">
      <c r="A72" s="459" t="s">
        <v>913</v>
      </c>
      <c r="B72" s="464" t="s">
        <v>906</v>
      </c>
      <c r="C72" s="37">
        <f>+'Precios bases'!C72*5.2%+'Precios bases'!C72</f>
        <v>18785.71428571433</v>
      </c>
      <c r="D72" s="37">
        <f>+'Precios bases'!D72*5.2%+'Precios bases'!D72</f>
        <v>24750.403999999999</v>
      </c>
      <c r="E72" s="37">
        <f>+'Precios bases'!E72*5.2%+'Precios bases'!E72</f>
        <v>30057.142857142888</v>
      </c>
      <c r="F72" s="37">
        <f>+'Precios bases'!F72*5.2%+'Precios bases'!F72</f>
        <v>37571.428571428558</v>
      </c>
      <c r="G72" s="468"/>
      <c r="H72" s="469"/>
    </row>
    <row r="73" spans="1:60" ht="30.75" thickBot="1">
      <c r="A73" s="459" t="s">
        <v>912</v>
      </c>
      <c r="B73" s="464" t="s">
        <v>907</v>
      </c>
      <c r="C73" s="37">
        <f>+'Precios bases'!C73*5.2%+'Precios bases'!C73</f>
        <v>15028.571428571429</v>
      </c>
      <c r="D73" s="37">
        <f>+'Precios bases'!D73*5.2%+'Precios bases'!D73</f>
        <v>19689.232</v>
      </c>
      <c r="E73" s="37">
        <f>+'Precios bases'!E73*5.2%+'Precios bases'!E73</f>
        <v>24045.714285714286</v>
      </c>
      <c r="F73" s="37">
        <f>+'Precios bases'!F73*5.2%+'Precios bases'!F73</f>
        <v>30057.142857142859</v>
      </c>
      <c r="G73" s="468"/>
      <c r="H73" s="469"/>
    </row>
    <row r="74" spans="1:60">
      <c r="C74" s="45">
        <f t="shared" ref="C74:E74" si="33">+C71/(1+40%)</f>
        <v>18785.714285714286</v>
      </c>
      <c r="D74" s="45">
        <f t="shared" si="33"/>
        <v>26300</v>
      </c>
      <c r="E74" s="45">
        <f t="shared" si="33"/>
        <v>30057.142857142859</v>
      </c>
      <c r="F74" s="45">
        <f>+F71/(1+40%)</f>
        <v>37571.428571428572</v>
      </c>
    </row>
    <row r="75" spans="1:60">
      <c r="C75" s="45">
        <f t="shared" ref="C75:E75" si="34">+C72/(1+25%)</f>
        <v>15028.571428571464</v>
      </c>
      <c r="D75" s="45">
        <f t="shared" si="34"/>
        <v>19800.323199999999</v>
      </c>
      <c r="E75" s="45">
        <f t="shared" si="34"/>
        <v>24045.714285714312</v>
      </c>
      <c r="F75" s="45">
        <f>+F72/(1+25%)</f>
        <v>30057.142857142848</v>
      </c>
    </row>
    <row r="76" spans="1:60" ht="15.75" thickBot="1"/>
    <row r="77" spans="1:60">
      <c r="C77" s="1348" t="s">
        <v>989</v>
      </c>
      <c r="D77" s="1349"/>
      <c r="E77" s="1349"/>
      <c r="F77" s="1349"/>
      <c r="G77" s="1349"/>
      <c r="H77" s="1349"/>
      <c r="I77" s="1349"/>
      <c r="J77" s="1349"/>
      <c r="K77" s="1350"/>
      <c r="L77" s="1352" t="s">
        <v>988</v>
      </c>
      <c r="M77" s="1353"/>
      <c r="N77" s="1353"/>
      <c r="O77" s="1353"/>
      <c r="P77" s="1353"/>
      <c r="Q77" s="1354"/>
      <c r="R77" s="1345" t="s">
        <v>445</v>
      </c>
      <c r="S77" s="1346"/>
      <c r="T77" s="1346"/>
      <c r="U77" s="1346"/>
      <c r="V77" s="1346"/>
      <c r="W77" s="1346"/>
      <c r="X77" s="1346"/>
      <c r="Y77" s="1346"/>
      <c r="Z77" s="1346"/>
      <c r="AA77" s="1346"/>
      <c r="AB77" s="1346"/>
      <c r="AC77" s="1346"/>
      <c r="AD77" s="1346"/>
      <c r="AE77" s="1346"/>
      <c r="AF77" s="1346"/>
      <c r="AG77" s="1346"/>
      <c r="AH77" s="1346"/>
      <c r="AI77" s="1347"/>
    </row>
    <row r="78" spans="1:60" ht="45">
      <c r="A78" s="440"/>
      <c r="B78" t="str">
        <f>B80</f>
        <v>Perfil</v>
      </c>
      <c r="C78" s="593" t="str">
        <f t="shared" ref="C78:AI78" si="35">C80</f>
        <v>Mas 82%</v>
      </c>
      <c r="D78" s="594" t="str">
        <f t="shared" si="35"/>
        <v>Coordinación, supervisión y tablets</v>
      </c>
      <c r="E78" s="594" t="str">
        <f t="shared" si="35"/>
        <v>Total Mas 82%</v>
      </c>
      <c r="F78" s="594" t="str">
        <f t="shared" si="35"/>
        <v>75%-82%</v>
      </c>
      <c r="G78" s="594" t="str">
        <f t="shared" si="35"/>
        <v>Coordinación, supervisión y tablets</v>
      </c>
      <c r="H78" s="594" t="str">
        <f t="shared" si="35"/>
        <v>Total 75%-82%</v>
      </c>
      <c r="I78" s="594" t="str">
        <f t="shared" si="35"/>
        <v>67%-74%</v>
      </c>
      <c r="J78" s="594" t="str">
        <f t="shared" si="35"/>
        <v>Coordinación, supervisión y tablets</v>
      </c>
      <c r="K78" s="595" t="str">
        <f t="shared" si="35"/>
        <v>Total 67%-74%</v>
      </c>
      <c r="L78" s="599" t="str">
        <f t="shared" si="35"/>
        <v>55-66%</v>
      </c>
      <c r="M78" s="600" t="str">
        <f t="shared" si="35"/>
        <v>Coordinación, supervisión y tablets</v>
      </c>
      <c r="N78" s="600" t="str">
        <f t="shared" si="35"/>
        <v>Total Mas 55-66%</v>
      </c>
      <c r="O78" s="600" t="str">
        <f t="shared" si="35"/>
        <v>46-54%</v>
      </c>
      <c r="P78" s="891" t="str">
        <f t="shared" si="35"/>
        <v>Coordinación, supervisión y tablets</v>
      </c>
      <c r="Q78" s="892" t="str">
        <f t="shared" si="35"/>
        <v>Total Mas 46-54%</v>
      </c>
      <c r="R78" s="893" t="str">
        <f t="shared" si="35"/>
        <v>37-45%</v>
      </c>
      <c r="S78" s="894" t="str">
        <f t="shared" si="35"/>
        <v>Coordinación, supervisión y tablets</v>
      </c>
      <c r="T78" s="894" t="str">
        <f t="shared" si="35"/>
        <v>Total Mas 37-45%</v>
      </c>
      <c r="U78" s="894" t="str">
        <f t="shared" si="35"/>
        <v>30-36%</v>
      </c>
      <c r="V78" s="894" t="str">
        <f t="shared" si="35"/>
        <v>Coordinación, supervisión y tablets</v>
      </c>
      <c r="W78" s="894" t="str">
        <f t="shared" si="35"/>
        <v>Total Mas 30-36%</v>
      </c>
      <c r="X78" s="894" t="s">
        <v>376</v>
      </c>
      <c r="Y78" s="894" t="str">
        <f t="shared" si="35"/>
        <v>Coordinación, supervisión y tablets</v>
      </c>
      <c r="Z78" s="894" t="str">
        <f t="shared" si="35"/>
        <v>Total Mas 22-29%</v>
      </c>
      <c r="AA78" s="894" t="s">
        <v>377</v>
      </c>
      <c r="AB78" s="894" t="str">
        <f t="shared" si="35"/>
        <v>Coordinación, supervisión y tablets</v>
      </c>
      <c r="AC78" s="894" t="str">
        <f t="shared" si="35"/>
        <v>Total Mas 15-21%</v>
      </c>
      <c r="AD78" s="895" t="s">
        <v>378</v>
      </c>
      <c r="AE78" s="894" t="str">
        <f t="shared" si="35"/>
        <v>Coordinación, supervisión y tablets</v>
      </c>
      <c r="AF78" s="894" t="str">
        <f t="shared" si="35"/>
        <v>Total Mas 10-14%</v>
      </c>
      <c r="AG78" s="606" t="s">
        <v>379</v>
      </c>
      <c r="AH78" s="606" t="str">
        <f t="shared" si="35"/>
        <v>Coordinación, supervisión y tablets</v>
      </c>
      <c r="AI78" s="608" t="str">
        <f t="shared" si="35"/>
        <v>Total Mas 0-9%</v>
      </c>
    </row>
    <row r="79" spans="1:60" ht="30.75" thickBot="1">
      <c r="A79" s="440"/>
      <c r="B79">
        <v>1</v>
      </c>
      <c r="C79" s="596">
        <v>2</v>
      </c>
      <c r="D79" s="597">
        <v>3</v>
      </c>
      <c r="E79" s="597">
        <v>4</v>
      </c>
      <c r="F79" s="597">
        <v>5</v>
      </c>
      <c r="G79" s="597">
        <v>6</v>
      </c>
      <c r="H79" s="597">
        <v>7</v>
      </c>
      <c r="I79" s="597">
        <v>8</v>
      </c>
      <c r="J79" s="597">
        <v>9</v>
      </c>
      <c r="K79" s="598">
        <v>10</v>
      </c>
      <c r="L79" s="602">
        <v>11</v>
      </c>
      <c r="M79" s="603">
        <v>12</v>
      </c>
      <c r="N79" s="603">
        <v>13</v>
      </c>
      <c r="O79" s="603">
        <v>14</v>
      </c>
      <c r="P79" s="896">
        <v>15</v>
      </c>
      <c r="Q79" s="897">
        <v>16</v>
      </c>
      <c r="R79" s="898">
        <v>17</v>
      </c>
      <c r="S79" s="899">
        <v>18</v>
      </c>
      <c r="T79" s="899">
        <v>19</v>
      </c>
      <c r="U79" s="899">
        <v>20</v>
      </c>
      <c r="V79" s="899">
        <v>21</v>
      </c>
      <c r="W79" s="899">
        <v>22</v>
      </c>
      <c r="X79" s="899">
        <v>23</v>
      </c>
      <c r="Y79" s="899">
        <v>24</v>
      </c>
      <c r="Z79" s="899">
        <v>25</v>
      </c>
      <c r="AA79" s="899">
        <v>26</v>
      </c>
      <c r="AB79" s="899">
        <v>27</v>
      </c>
      <c r="AC79" s="899">
        <v>28</v>
      </c>
      <c r="AD79" s="899">
        <v>29</v>
      </c>
      <c r="AE79" s="899">
        <v>30</v>
      </c>
      <c r="AF79" s="899">
        <v>31</v>
      </c>
      <c r="AG79" s="610">
        <v>32</v>
      </c>
      <c r="AH79" s="610">
        <v>33</v>
      </c>
      <c r="AI79" s="611">
        <v>34</v>
      </c>
      <c r="AX79" s="103" t="s">
        <v>355</v>
      </c>
    </row>
    <row r="80" spans="1:60" ht="45">
      <c r="A80" s="440"/>
      <c r="B80" s="3" t="s">
        <v>356</v>
      </c>
      <c r="C80" s="590" t="s">
        <v>357</v>
      </c>
      <c r="D80" s="591" t="s">
        <v>358</v>
      </c>
      <c r="E80" s="592" t="s">
        <v>359</v>
      </c>
      <c r="F80" s="590" t="s">
        <v>360</v>
      </c>
      <c r="G80" s="591" t="s">
        <v>358</v>
      </c>
      <c r="H80" s="592" t="s">
        <v>361</v>
      </c>
      <c r="I80" s="590" t="s">
        <v>362</v>
      </c>
      <c r="J80" s="591" t="s">
        <v>358</v>
      </c>
      <c r="K80" s="592" t="s">
        <v>363</v>
      </c>
      <c r="L80" s="590" t="s">
        <v>364</v>
      </c>
      <c r="M80" s="591" t="s">
        <v>358</v>
      </c>
      <c r="N80" s="592" t="s">
        <v>365</v>
      </c>
      <c r="O80" s="590" t="s">
        <v>55</v>
      </c>
      <c r="P80" s="591" t="s">
        <v>358</v>
      </c>
      <c r="Q80" s="900" t="s">
        <v>366</v>
      </c>
      <c r="R80" s="591" t="s">
        <v>367</v>
      </c>
      <c r="S80" s="591" t="s">
        <v>358</v>
      </c>
      <c r="T80" s="900" t="s">
        <v>368</v>
      </c>
      <c r="U80" s="591" t="s">
        <v>400</v>
      </c>
      <c r="V80" s="591" t="s">
        <v>358</v>
      </c>
      <c r="W80" s="900" t="s">
        <v>369</v>
      </c>
      <c r="X80" s="591" t="s">
        <v>1370</v>
      </c>
      <c r="Y80" s="591" t="s">
        <v>358</v>
      </c>
      <c r="Z80" s="900" t="s">
        <v>370</v>
      </c>
      <c r="AA80" s="591" t="s">
        <v>377</v>
      </c>
      <c r="AB80" s="591" t="s">
        <v>358</v>
      </c>
      <c r="AC80" s="900" t="s">
        <v>371</v>
      </c>
      <c r="AD80" s="591" t="s">
        <v>1371</v>
      </c>
      <c r="AE80" s="591" t="s">
        <v>358</v>
      </c>
      <c r="AF80" s="900" t="s">
        <v>372</v>
      </c>
      <c r="AG80" s="591" t="str">
        <f>+AG78</f>
        <v>0-9%</v>
      </c>
      <c r="AH80" s="591" t="s">
        <v>358</v>
      </c>
      <c r="AI80" s="592" t="s">
        <v>373</v>
      </c>
      <c r="AL80" s="79" t="s">
        <v>374</v>
      </c>
      <c r="AM80" s="3" t="s">
        <v>357</v>
      </c>
      <c r="AN80" s="3" t="s">
        <v>360</v>
      </c>
      <c r="AO80" s="3" t="s">
        <v>362</v>
      </c>
      <c r="AP80" s="3" t="s">
        <v>364</v>
      </c>
      <c r="AQ80" s="3" t="s">
        <v>55</v>
      </c>
      <c r="AR80" s="11" t="s">
        <v>367</v>
      </c>
      <c r="AS80" s="11" t="s">
        <v>375</v>
      </c>
      <c r="AT80" s="11" t="s">
        <v>376</v>
      </c>
      <c r="AU80" s="11" t="s">
        <v>377</v>
      </c>
      <c r="AV80" s="11" t="s">
        <v>378</v>
      </c>
      <c r="AW80" s="11" t="s">
        <v>379</v>
      </c>
      <c r="AX80" s="103" t="s">
        <v>357</v>
      </c>
      <c r="AY80" s="104" t="s">
        <v>360</v>
      </c>
      <c r="AZ80" s="104" t="s">
        <v>362</v>
      </c>
      <c r="BA80" s="104" t="s">
        <v>364</v>
      </c>
      <c r="BB80" s="105" t="s">
        <v>55</v>
      </c>
      <c r="BC80" s="105" t="s">
        <v>367</v>
      </c>
      <c r="BD80" s="105" t="s">
        <v>375</v>
      </c>
      <c r="BE80" s="105" t="s">
        <v>376</v>
      </c>
      <c r="BF80" s="105" t="s">
        <v>377</v>
      </c>
      <c r="BG80" s="105" t="s">
        <v>378</v>
      </c>
      <c r="BH80" s="105" t="s">
        <v>379</v>
      </c>
    </row>
    <row r="81" spans="1:60">
      <c r="A81" s="440">
        <v>5</v>
      </c>
      <c r="B81" s="3" t="s">
        <v>380</v>
      </c>
      <c r="C81" s="37">
        <f>+'Precios bases'!C81*5.2%+'Precios bases'!C81</f>
        <v>15028.871999999999</v>
      </c>
      <c r="D81" s="81">
        <f>+'Precios bases'!D81*5.2%+'Precios bases'!D81</f>
        <v>13893.763999999999</v>
      </c>
      <c r="E81" s="439">
        <f>+'Precios bases'!E81*5.2%+'Precios bases'!E81</f>
        <v>21387.16</v>
      </c>
      <c r="F81" s="37">
        <f>+'Precios bases'!F81*5.2%+'Precios bases'!F81</f>
        <v>15028.871999999999</v>
      </c>
      <c r="G81" s="81">
        <f>+'Precios bases'!G81*5.2%+'Precios bases'!G81</f>
        <v>13893.763999999999</v>
      </c>
      <c r="H81" s="86">
        <f>+'Precios bases'!H81*5.2%+'Precios bases'!H81</f>
        <v>21913.16</v>
      </c>
      <c r="I81" s="37">
        <f>+'Precios bases'!I81*5.2%+'Precios bases'!I81</f>
        <v>15028.871999999999</v>
      </c>
      <c r="J81" s="81">
        <f>+'Precios bases'!J81*5.2%+'Precios bases'!J81</f>
        <v>13893.763999999999</v>
      </c>
      <c r="K81" s="86">
        <f>+'Precios bases'!K81*5.2%+'Precios bases'!K81</f>
        <v>22439.16</v>
      </c>
      <c r="L81" s="80">
        <f>+'Precios bases'!L81*5.2%+'Precios bases'!L81</f>
        <v>18785.563999999998</v>
      </c>
      <c r="M81" s="81">
        <f>+'Precios bases'!M81*5.2%+'Precios bases'!M81</f>
        <v>13998.964</v>
      </c>
      <c r="N81" s="86">
        <f>+'Precios bases'!N81*5.2%+'Precios bases'!N81</f>
        <v>22965.16</v>
      </c>
      <c r="O81" s="80">
        <f>+'Precios bases'!O81*5.2%+'Precios bases'!O81</f>
        <v>18785.563999999998</v>
      </c>
      <c r="P81" s="877">
        <f>+'Precios bases'!P81*5.2%+'Precios bases'!P81</f>
        <v>14168.335999999999</v>
      </c>
      <c r="Q81" s="878">
        <f>+'Precios bases'!Q81*5.2%+'Precios bases'!Q81</f>
        <v>24017.16</v>
      </c>
      <c r="R81" s="877">
        <f>+'Precios bases'!R81*5.2%+'Precios bases'!R81</f>
        <v>26300</v>
      </c>
      <c r="S81" s="877">
        <f>+'Precios bases'!S81*5.2%+'Precios bases'!S81</f>
        <v>14838.46</v>
      </c>
      <c r="T81" s="878">
        <f>+'Precios bases'!T81*5.2%+'Precios bases'!T81</f>
        <v>25595.16</v>
      </c>
      <c r="U81" s="877">
        <f>+'Precios bases'!U81*5.2%+'Precios bases'!U81</f>
        <v>31560</v>
      </c>
      <c r="V81" s="877">
        <f>+'Precios bases'!V81*5.2%+'Precios bases'!V81</f>
        <v>15990.4</v>
      </c>
      <c r="W81" s="878">
        <f>+'Precios bases'!W81*5.2%+'Precios bases'!W81</f>
        <v>29277.16</v>
      </c>
      <c r="X81" s="877">
        <f>+'Precios bases'!X81*5.2%+'Precios bases'!X81</f>
        <v>42080</v>
      </c>
      <c r="Y81" s="877">
        <f>+'Precios bases'!Y81*5.2%+'Precios bases'!Y81</f>
        <v>15990.4</v>
      </c>
      <c r="Z81" s="878">
        <f>+'Precios bases'!Z81*5.2%+'Precios bases'!Z81</f>
        <v>32433.16</v>
      </c>
      <c r="AA81" s="877">
        <f>+'Precios bases'!AA81*5.2%+'Precios bases'!AA81</f>
        <v>52600</v>
      </c>
      <c r="AB81" s="877">
        <f>+'Precios bases'!AB81*5.2%+'Precios bases'!AB81</f>
        <v>15990.4</v>
      </c>
      <c r="AC81" s="878">
        <f>+'Precios bases'!AC81*5.2%+'Precios bases'!AC81</f>
        <v>35063.160000000003</v>
      </c>
      <c r="AD81" s="877">
        <f>+'Precios bases'!AD81*5.2%+'Precios bases'!AD81</f>
        <v>73640</v>
      </c>
      <c r="AE81" s="877">
        <f>+'Precios bases'!AE81*5.2%+'Precios bases'!AE81</f>
        <v>15990.4</v>
      </c>
      <c r="AF81" s="878">
        <f>+'Precios bases'!AF81*5.2%+'Precios bases'!AF81</f>
        <v>37693.160000000003</v>
      </c>
      <c r="AG81" s="80">
        <f>+'Precios bases'!AG81*5.2%+'Precios bases'!AG81</f>
        <v>94680</v>
      </c>
      <c r="AH81" s="80">
        <f>+'Precios bases'!AH81*5.2%+'Precios bases'!AH81</f>
        <v>15990.4</v>
      </c>
      <c r="AI81" s="86">
        <f>+'Precios bases'!AI81*5.2%+'Precios bases'!AI81</f>
        <v>40323.160000000003</v>
      </c>
      <c r="AL81" s="3" t="s">
        <v>380</v>
      </c>
      <c r="AM81" s="3"/>
      <c r="AN81" s="80">
        <f>+H81-E81</f>
        <v>526</v>
      </c>
      <c r="AO81" s="80">
        <f>+K81-H81</f>
        <v>526</v>
      </c>
      <c r="AP81" s="80">
        <f>+N81-K81</f>
        <v>526</v>
      </c>
      <c r="AQ81" s="80">
        <f>+Q81-N81</f>
        <v>1052</v>
      </c>
      <c r="AR81" s="80">
        <f t="shared" ref="AR81:AR83" si="36">+T81-Q81</f>
        <v>1578</v>
      </c>
      <c r="AS81" s="80">
        <f t="shared" ref="AS81:AS83" si="37">+W81-T81</f>
        <v>3682</v>
      </c>
      <c r="AT81" s="80">
        <f t="shared" ref="AT81:AT83" si="38">+Z81-W81</f>
        <v>3156</v>
      </c>
      <c r="AU81" s="80">
        <f t="shared" ref="AU81:AU83" si="39">+AC81-Z81</f>
        <v>2630.0000000000036</v>
      </c>
      <c r="AV81" s="80">
        <f t="shared" ref="AV81:AV83" si="40">+AF81-AC81</f>
        <v>2630</v>
      </c>
      <c r="AW81" s="80">
        <f t="shared" ref="AW81:AW83" si="41">+AI81-AF81</f>
        <v>2630</v>
      </c>
      <c r="AX81" s="88"/>
      <c r="AY81" s="88"/>
      <c r="AZ81" s="88"/>
      <c r="BA81" s="88"/>
      <c r="BB81" s="88"/>
      <c r="BC81" s="88"/>
      <c r="BD81" s="88"/>
      <c r="BE81" s="88"/>
      <c r="BF81" s="88"/>
      <c r="BG81" s="88"/>
      <c r="BH81" s="88"/>
    </row>
    <row r="82" spans="1:60">
      <c r="A82" s="440">
        <v>10</v>
      </c>
      <c r="B82" s="3" t="s">
        <v>39</v>
      </c>
      <c r="C82" s="37">
        <f>+'Precios bases'!C82*5.2%+'Precios bases'!C82</f>
        <v>15028.871999999999</v>
      </c>
      <c r="D82" s="81">
        <f>+'Precios bases'!D82*5.2%+'Precios bases'!D82</f>
        <v>13893.763999999999</v>
      </c>
      <c r="E82" s="86">
        <f>+'Precios bases'!E82*5.2%+'Precios bases'!E82</f>
        <v>22439.16</v>
      </c>
      <c r="F82" s="37">
        <f>+'Precios bases'!F82*5.2%+'Precios bases'!F82</f>
        <v>15028.871999999999</v>
      </c>
      <c r="G82" s="81">
        <f>+'Precios bases'!G82*5.2%+'Precios bases'!G82</f>
        <v>13893.763999999999</v>
      </c>
      <c r="H82" s="86">
        <f>+'Precios bases'!H82*5.2%+'Precios bases'!H82</f>
        <v>22965.16</v>
      </c>
      <c r="I82" s="37">
        <f>+'Precios bases'!I82*5.2%+'Precios bases'!I82</f>
        <v>15028.871999999999</v>
      </c>
      <c r="J82" s="81">
        <f>+'Precios bases'!J82*5.2%+'Precios bases'!J82</f>
        <v>13893.763999999999</v>
      </c>
      <c r="K82" s="86">
        <f>+'Precios bases'!K82*5.2%+'Precios bases'!K82</f>
        <v>23491.16</v>
      </c>
      <c r="L82" s="80">
        <f>+'Precios bases'!L82*5.2%+'Precios bases'!L82</f>
        <v>18785.563999999998</v>
      </c>
      <c r="M82" s="81">
        <f>+'Precios bases'!M82*5.2%+'Precios bases'!M82</f>
        <v>13998.964</v>
      </c>
      <c r="N82" s="86">
        <f>+'Precios bases'!N82*5.2%+'Precios bases'!N82</f>
        <v>24017.16</v>
      </c>
      <c r="O82" s="80">
        <f>+'Precios bases'!O82*5.2%+'Precios bases'!O82</f>
        <v>18785.563999999998</v>
      </c>
      <c r="P82" s="877">
        <f>+'Precios bases'!P82*5.2%+'Precios bases'!P82</f>
        <v>14168.335999999999</v>
      </c>
      <c r="Q82" s="878">
        <f>+'Precios bases'!Q82*5.2%+'Precios bases'!Q82</f>
        <v>25069.16</v>
      </c>
      <c r="R82" s="877">
        <f>+'Precios bases'!R82*5.2%+'Precios bases'!R82</f>
        <v>26300</v>
      </c>
      <c r="S82" s="877">
        <f>+'Precios bases'!S82*5.2%+'Precios bases'!S82</f>
        <v>14838.46</v>
      </c>
      <c r="T82" s="878">
        <f>+'Precios bases'!T82*5.2%+'Precios bases'!T82</f>
        <v>26647.16</v>
      </c>
      <c r="U82" s="877">
        <f>+'Precios bases'!U82*5.2%+'Precios bases'!U82</f>
        <v>31560</v>
      </c>
      <c r="V82" s="877">
        <f>+'Precios bases'!V82*5.2%+'Precios bases'!V82</f>
        <v>15990.4</v>
      </c>
      <c r="W82" s="878">
        <f>+'Precios bases'!W82*5.2%+'Precios bases'!W82</f>
        <v>30329.16</v>
      </c>
      <c r="X82" s="877">
        <f>+'Precios bases'!X82*5.2%+'Precios bases'!X82</f>
        <v>42080</v>
      </c>
      <c r="Y82" s="877">
        <f>+'Precios bases'!Y82*5.2%+'Precios bases'!Y82</f>
        <v>15990.4</v>
      </c>
      <c r="Z82" s="878">
        <f>+'Precios bases'!Z82*5.2%+'Precios bases'!Z82</f>
        <v>34537.160000000003</v>
      </c>
      <c r="AA82" s="877">
        <f>+'Precios bases'!AA82*5.2%+'Precios bases'!AA82</f>
        <v>52600</v>
      </c>
      <c r="AB82" s="877">
        <f>+'Precios bases'!AB82*5.2%+'Precios bases'!AB82</f>
        <v>15990.4</v>
      </c>
      <c r="AC82" s="878">
        <f>+'Precios bases'!AC82*5.2%+'Precios bases'!AC82</f>
        <v>37167.160000000003</v>
      </c>
      <c r="AD82" s="877">
        <f>+'Precios bases'!AD82*5.2%+'Precios bases'!AD82</f>
        <v>73640</v>
      </c>
      <c r="AE82" s="877">
        <f>+'Precios bases'!AE82*5.2%+'Precios bases'!AE82</f>
        <v>15990.4</v>
      </c>
      <c r="AF82" s="878">
        <f>+'Precios bases'!AF82*5.2%+'Precios bases'!AF82</f>
        <v>39797.160000000003</v>
      </c>
      <c r="AG82" s="80">
        <f>+'Precios bases'!AG82*5.2%+'Precios bases'!AG82</f>
        <v>94680</v>
      </c>
      <c r="AH82" s="80">
        <f>+'Precios bases'!AH82*5.2%+'Precios bases'!AH82</f>
        <v>15990.4</v>
      </c>
      <c r="AI82" s="86">
        <f>+'Precios bases'!AI82*5.2%+'Precios bases'!AI82</f>
        <v>42427.16</v>
      </c>
      <c r="AL82" s="3" t="s">
        <v>39</v>
      </c>
      <c r="AM82" s="3"/>
      <c r="AN82" s="80">
        <f t="shared" ref="AN82:AN83" si="42">+H82-E82</f>
        <v>526</v>
      </c>
      <c r="AO82" s="80">
        <f t="shared" ref="AO82:AO83" si="43">+K82-H82</f>
        <v>526</v>
      </c>
      <c r="AP82" s="80">
        <f t="shared" ref="AP82:AP83" si="44">+N82-K82</f>
        <v>526</v>
      </c>
      <c r="AQ82" s="80">
        <f t="shared" ref="AQ82:AQ83" si="45">+Q82-N82</f>
        <v>1052</v>
      </c>
      <c r="AR82" s="80">
        <f t="shared" si="36"/>
        <v>1578</v>
      </c>
      <c r="AS82" s="80">
        <f t="shared" si="37"/>
        <v>3682</v>
      </c>
      <c r="AT82" s="80">
        <f t="shared" si="38"/>
        <v>4208.0000000000036</v>
      </c>
      <c r="AU82" s="80">
        <f t="shared" si="39"/>
        <v>2630</v>
      </c>
      <c r="AV82" s="80">
        <f t="shared" si="40"/>
        <v>2630</v>
      </c>
      <c r="AW82" s="80">
        <f t="shared" si="41"/>
        <v>2630</v>
      </c>
      <c r="AX82" s="88">
        <f>+E82-E81</f>
        <v>1052</v>
      </c>
      <c r="AY82" s="88">
        <f>+H82-H81</f>
        <v>1052</v>
      </c>
      <c r="AZ82" s="88">
        <f>+K82-K81</f>
        <v>1052</v>
      </c>
      <c r="BA82" s="88">
        <f>+N82-N81</f>
        <v>1052</v>
      </c>
      <c r="BB82" s="88">
        <f>+Q82-Q81</f>
        <v>1052</v>
      </c>
      <c r="BC82" s="88">
        <f>+T82-T81</f>
        <v>1052</v>
      </c>
      <c r="BD82" s="88">
        <f>+W82-W81</f>
        <v>1052</v>
      </c>
      <c r="BE82" s="88">
        <f t="shared" ref="BE82:BE83" si="46">+Z82-Z81</f>
        <v>2104.0000000000036</v>
      </c>
      <c r="BF82" s="88">
        <f t="shared" ref="BF82:BF83" si="47">+AC82-AC81</f>
        <v>2104</v>
      </c>
      <c r="BG82" s="88">
        <f t="shared" ref="BG82:BG83" si="48">+AF82-AF81</f>
        <v>2104</v>
      </c>
      <c r="BH82" s="88">
        <f t="shared" ref="BH82:BH83" si="49">+AI82-AI81</f>
        <v>2104</v>
      </c>
    </row>
    <row r="83" spans="1:60">
      <c r="A83" s="440">
        <v>15</v>
      </c>
      <c r="B83" s="5" t="s">
        <v>534</v>
      </c>
      <c r="C83" s="29">
        <f>+'Precios bases'!C83*5.2%+'Precios bases'!C83</f>
        <v>19689.232</v>
      </c>
      <c r="D83" s="84">
        <f>+'Precios bases'!D83*5.2%+'Precios bases'!D83</f>
        <v>13893.763999999999</v>
      </c>
      <c r="E83" s="86">
        <f>+'Precios bases'!E83*5.2%+'Precios bases'!E83</f>
        <v>24017.16</v>
      </c>
      <c r="F83" s="29">
        <f>+'Precios bases'!F83*5.2%+'Precios bases'!F83</f>
        <v>19689.232</v>
      </c>
      <c r="G83" s="84">
        <f>+'Precios bases'!G83*5.2%+'Precios bases'!G83</f>
        <v>13893.763999999999</v>
      </c>
      <c r="H83" s="86">
        <f>+'Precios bases'!H83*5.2%+'Precios bases'!H83</f>
        <v>24543.16</v>
      </c>
      <c r="I83" s="29">
        <f>+'Precios bases'!I83*5.2%+'Precios bases'!I83</f>
        <v>19689.232</v>
      </c>
      <c r="J83" s="84">
        <f>+'Precios bases'!J83*5.2%+'Precios bases'!J83</f>
        <v>13893.763999999999</v>
      </c>
      <c r="K83" s="86">
        <f>+'Precios bases'!K83*5.2%+'Precios bases'!K83</f>
        <v>25069.16</v>
      </c>
      <c r="L83" s="84">
        <f>+'Precios bases'!L83*5.2%+'Precios bases'!L83</f>
        <v>24750.403999999999</v>
      </c>
      <c r="M83" s="84">
        <f>+'Precios bases'!M83*5.2%+'Precios bases'!M83</f>
        <v>13998.964</v>
      </c>
      <c r="N83" s="86">
        <f>+'Precios bases'!N83*5.2%+'Precios bases'!N83</f>
        <v>25595.16</v>
      </c>
      <c r="O83" s="84">
        <f>+'Precios bases'!O83*5.2%+'Precios bases'!O83</f>
        <v>24750.403999999999</v>
      </c>
      <c r="P83" s="879">
        <f>+'Precios bases'!P83*5.2%+'Precios bases'!P83</f>
        <v>14168.335999999999</v>
      </c>
      <c r="Q83" s="878">
        <f>+'Precios bases'!Q83*5.2%+'Precios bases'!Q83</f>
        <v>26647.16</v>
      </c>
      <c r="R83" s="879">
        <f>+'Precios bases'!R83*5.2%+'Precios bases'!R83</f>
        <v>36820</v>
      </c>
      <c r="S83" s="879">
        <f>+'Precios bases'!S83*5.2%+'Precios bases'!S83</f>
        <v>14838.46</v>
      </c>
      <c r="T83" s="878">
        <f>+'Precios bases'!T83*5.2%+'Precios bases'!T83</f>
        <v>28225.16</v>
      </c>
      <c r="U83" s="879">
        <f>+'Precios bases'!U83*5.2%+'Precios bases'!U83</f>
        <v>42080</v>
      </c>
      <c r="V83" s="879">
        <f>+'Precios bases'!V83*5.2%+'Precios bases'!V83</f>
        <v>15990.4</v>
      </c>
      <c r="W83" s="878">
        <f>+'Precios bases'!W83*5.2%+'Precios bases'!W83</f>
        <v>31907.16</v>
      </c>
      <c r="X83" s="879">
        <f>+'Precios bases'!X83*5.2%+'Precios bases'!X83</f>
        <v>52600</v>
      </c>
      <c r="Y83" s="879">
        <f>+'Precios bases'!Y83*5.2%+'Precios bases'!Y83</f>
        <v>15990.4</v>
      </c>
      <c r="Z83" s="878">
        <f>+'Precios bases'!Z83*5.2%+'Precios bases'!Z83</f>
        <v>36641.160000000003</v>
      </c>
      <c r="AA83" s="879">
        <f>+'Precios bases'!AA83*5.2%+'Precios bases'!AA83</f>
        <v>63120</v>
      </c>
      <c r="AB83" s="879">
        <f>+'Precios bases'!AB83*5.2%+'Precios bases'!AB83</f>
        <v>15990.4</v>
      </c>
      <c r="AC83" s="878">
        <f>+'Precios bases'!AC83*5.2%+'Precios bases'!AC83</f>
        <v>39271.160000000003</v>
      </c>
      <c r="AD83" s="879">
        <f>+'Precios bases'!AD83*5.2%+'Precios bases'!AD83</f>
        <v>84160</v>
      </c>
      <c r="AE83" s="879">
        <f>+'Precios bases'!AE83*5.2%+'Precios bases'!AE83</f>
        <v>15990.4</v>
      </c>
      <c r="AF83" s="878">
        <f>+'Precios bases'!AF83*5.2%+'Precios bases'!AF83</f>
        <v>41901.160000000003</v>
      </c>
      <c r="AG83" s="84">
        <f>+'Precios bases'!AG83*5.2%+'Precios bases'!AG83</f>
        <v>105200</v>
      </c>
      <c r="AH83" s="84">
        <f>+'Precios bases'!AH83*5.2%+'Precios bases'!AH83</f>
        <v>15990.4</v>
      </c>
      <c r="AI83" s="86">
        <f>+'Precios bases'!AI83*5.2%+'Precios bases'!AI83</f>
        <v>44531.16</v>
      </c>
      <c r="AL83" s="5" t="s">
        <v>381</v>
      </c>
      <c r="AM83" s="3"/>
      <c r="AN83" s="80">
        <f t="shared" si="42"/>
        <v>526</v>
      </c>
      <c r="AO83" s="80">
        <f t="shared" si="43"/>
        <v>526</v>
      </c>
      <c r="AP83" s="80">
        <f t="shared" si="44"/>
        <v>526</v>
      </c>
      <c r="AQ83" s="80">
        <f t="shared" si="45"/>
        <v>1052</v>
      </c>
      <c r="AR83" s="80">
        <f t="shared" si="36"/>
        <v>1578</v>
      </c>
      <c r="AS83" s="80">
        <f t="shared" si="37"/>
        <v>3682</v>
      </c>
      <c r="AT83" s="80">
        <f t="shared" si="38"/>
        <v>4734.0000000000036</v>
      </c>
      <c r="AU83" s="80">
        <f t="shared" si="39"/>
        <v>2630</v>
      </c>
      <c r="AV83" s="80">
        <f t="shared" si="40"/>
        <v>2630</v>
      </c>
      <c r="AW83" s="80">
        <f t="shared" si="41"/>
        <v>2630</v>
      </c>
      <c r="AX83" s="88">
        <f t="shared" ref="AX83" si="50">+E83-E82</f>
        <v>1578</v>
      </c>
      <c r="AY83" s="88">
        <f t="shared" ref="AY83" si="51">+H83-H82</f>
        <v>1578</v>
      </c>
      <c r="AZ83" s="88">
        <f t="shared" ref="AZ83" si="52">+K83-K82</f>
        <v>1578</v>
      </c>
      <c r="BA83" s="88">
        <f t="shared" ref="BA83" si="53">+N83-N82</f>
        <v>1578</v>
      </c>
      <c r="BB83" s="88">
        <f t="shared" ref="BB83" si="54">+Q83-Q82</f>
        <v>1578</v>
      </c>
      <c r="BC83" s="88">
        <f t="shared" ref="BC83" si="55">+T83-T82</f>
        <v>1578</v>
      </c>
      <c r="BD83" s="88">
        <f t="shared" ref="BD83" si="56">+W83-W82</f>
        <v>1578</v>
      </c>
      <c r="BE83" s="88">
        <f t="shared" si="46"/>
        <v>2104</v>
      </c>
      <c r="BF83" s="88">
        <f t="shared" si="47"/>
        <v>2104</v>
      </c>
      <c r="BG83" s="88">
        <f t="shared" si="48"/>
        <v>2104</v>
      </c>
      <c r="BH83" s="88">
        <f t="shared" si="49"/>
        <v>2104</v>
      </c>
    </row>
    <row r="84" spans="1:60">
      <c r="A84" s="440">
        <v>20</v>
      </c>
      <c r="B84" s="5" t="s">
        <v>535</v>
      </c>
      <c r="C84" s="29">
        <f>+'Precios bases'!C84*5.2%+'Precios bases'!C84</f>
        <v>19689.232</v>
      </c>
      <c r="D84" s="84">
        <f>+'Precios bases'!D84*5.2%+'Precios bases'!D84</f>
        <v>13893.763999999999</v>
      </c>
      <c r="E84" s="86">
        <f>+'Precios bases'!E84*5.2%+'Precios bases'!E84</f>
        <v>26121.16</v>
      </c>
      <c r="F84" s="29">
        <f>+'Precios bases'!F84*5.2%+'Precios bases'!F84</f>
        <v>19689.232</v>
      </c>
      <c r="G84" s="84">
        <f>+'Precios bases'!G84*5.2%+'Precios bases'!G84</f>
        <v>13893.763999999999</v>
      </c>
      <c r="H84" s="86">
        <f>+'Precios bases'!H84*5.2%+'Precios bases'!H84</f>
        <v>26647.16</v>
      </c>
      <c r="I84" s="29">
        <f>+'Precios bases'!I84*5.2%+'Precios bases'!I84</f>
        <v>19689.232</v>
      </c>
      <c r="J84" s="84">
        <f>+'Precios bases'!J84*5.2%+'Precios bases'!J84</f>
        <v>13893.763999999999</v>
      </c>
      <c r="K84" s="86">
        <f>+'Precios bases'!K84*5.2%+'Precios bases'!K84</f>
        <v>27173.16</v>
      </c>
      <c r="L84" s="84">
        <f>+'Precios bases'!L84*5.2%+'Precios bases'!L84</f>
        <v>24750.403999999999</v>
      </c>
      <c r="M84" s="84">
        <f>+'Precios bases'!M84*5.2%+'Precios bases'!M84</f>
        <v>13998.964</v>
      </c>
      <c r="N84" s="86">
        <f>+'Precios bases'!N84*5.2%+'Precios bases'!N84</f>
        <v>27699.16</v>
      </c>
      <c r="O84" s="84">
        <f>+'Precios bases'!O84*5.2%+'Precios bases'!O84</f>
        <v>24750.403999999999</v>
      </c>
      <c r="P84" s="879">
        <f>+'Precios bases'!P84*5.2%+'Precios bases'!P84</f>
        <v>14168.335999999999</v>
      </c>
      <c r="Q84" s="878">
        <f>+'Precios bases'!Q84*5.2%+'Precios bases'!Q84</f>
        <v>28751.16</v>
      </c>
      <c r="R84" s="879">
        <f>+'Precios bases'!R84*5.2%+'Precios bases'!R84</f>
        <v>36820</v>
      </c>
      <c r="S84" s="879">
        <f>+'Precios bases'!S84*5.2%+'Precios bases'!S84</f>
        <v>14838.46</v>
      </c>
      <c r="T84" s="878">
        <f>+'Precios bases'!T84*5.2%+'Precios bases'!T84</f>
        <v>30329.16</v>
      </c>
      <c r="U84" s="879">
        <f>+'Precios bases'!U84*5.2%+'Precios bases'!U84</f>
        <v>42080</v>
      </c>
      <c r="V84" s="879">
        <f>+'Precios bases'!V84*5.2%+'Precios bases'!V84</f>
        <v>15990.4</v>
      </c>
      <c r="W84" s="878">
        <f>+'Precios bases'!W84*5.2%+'Precios bases'!W84</f>
        <v>34011.160000000003</v>
      </c>
      <c r="X84" s="879">
        <f>+'Precios bases'!X84*5.2%+'Precios bases'!X84</f>
        <v>52600</v>
      </c>
      <c r="Y84" s="879">
        <f>+'Precios bases'!Y84*5.2%+'Precios bases'!Y84</f>
        <v>15990.4</v>
      </c>
      <c r="Z84" s="878">
        <f>+'Precios bases'!Z84*5.2%+'Precios bases'!Z84</f>
        <v>38745.160000000003</v>
      </c>
      <c r="AA84" s="879">
        <f>+'Precios bases'!AA84*5.2%+'Precios bases'!AA84</f>
        <v>63120</v>
      </c>
      <c r="AB84" s="879">
        <f>+'Precios bases'!AB84*5.2%+'Precios bases'!AB84</f>
        <v>15990.4</v>
      </c>
      <c r="AC84" s="878">
        <f>+'Precios bases'!AC84*5.2%+'Precios bases'!AC84</f>
        <v>41375.160000000003</v>
      </c>
      <c r="AD84" s="879">
        <f>+'Precios bases'!AD84*5.2%+'Precios bases'!AD84</f>
        <v>84160</v>
      </c>
      <c r="AE84" s="879">
        <f>+'Precios bases'!AE84*5.2%+'Precios bases'!AE84</f>
        <v>15990.4</v>
      </c>
      <c r="AF84" s="878">
        <f>+'Precios bases'!AF84*5.2%+'Precios bases'!AF84</f>
        <v>44005.16</v>
      </c>
      <c r="AG84" s="84">
        <f>+'Precios bases'!AG84*5.2%+'Precios bases'!AG84</f>
        <v>105200</v>
      </c>
      <c r="AH84" s="84">
        <f>+'Precios bases'!AH84*5.2%+'Precios bases'!AH84</f>
        <v>15990.4</v>
      </c>
      <c r="AI84" s="86">
        <f>+'Precios bases'!AI84*5.2%+'Precios bases'!AI84</f>
        <v>46635.16</v>
      </c>
      <c r="AL84" s="5"/>
      <c r="AM84" s="3"/>
      <c r="AN84" s="80"/>
      <c r="AO84" s="80"/>
      <c r="AP84" s="80"/>
      <c r="AQ84" s="80"/>
      <c r="AR84" s="80"/>
      <c r="AS84" s="80"/>
      <c r="AT84" s="80"/>
      <c r="AU84" s="80"/>
      <c r="AV84" s="80"/>
      <c r="AW84" s="80"/>
      <c r="AX84" s="88"/>
      <c r="AY84" s="88"/>
      <c r="AZ84" s="88"/>
      <c r="BA84" s="88"/>
      <c r="BB84" s="88"/>
      <c r="BC84" s="88"/>
      <c r="BD84" s="88"/>
      <c r="BE84" s="88"/>
      <c r="BF84" s="88"/>
      <c r="BG84" s="88"/>
      <c r="BH84" s="88"/>
    </row>
    <row r="85" spans="1:60">
      <c r="A85" s="440">
        <v>30</v>
      </c>
      <c r="B85" s="5" t="s">
        <v>382</v>
      </c>
      <c r="C85" s="84">
        <f>+'Precios bases'!C85*5.2%+'Precios bases'!C85</f>
        <v>24045.563999999998</v>
      </c>
      <c r="D85" s="84">
        <f>+'Precios bases'!D85*5.2%+'Precios bases'!D85</f>
        <v>13893.763999999999</v>
      </c>
      <c r="E85" s="86">
        <f>+'Precios bases'!E85*5.2%+'Precios bases'!E85</f>
        <v>28751.16</v>
      </c>
      <c r="F85" s="84">
        <f>+'Precios bases'!F85*5.2%+'Precios bases'!F85</f>
        <v>24045.563999999998</v>
      </c>
      <c r="G85" s="84">
        <f>+'Precios bases'!G85*5.2%+'Precios bases'!G85</f>
        <v>13893.763999999999</v>
      </c>
      <c r="H85" s="86">
        <f>+'Precios bases'!H85*5.2%+'Precios bases'!H85</f>
        <v>29277.16</v>
      </c>
      <c r="I85" s="84">
        <f>+'Precios bases'!I85*5.2%+'Precios bases'!I85</f>
        <v>24045.563999999998</v>
      </c>
      <c r="J85" s="84">
        <f>+'Precios bases'!J85*5.2%+'Precios bases'!J85</f>
        <v>13893.763999999999</v>
      </c>
      <c r="K85" s="86">
        <f>+'Precios bases'!K85*5.2%+'Precios bases'!K85</f>
        <v>29803.16</v>
      </c>
      <c r="L85" s="84">
        <f>+'Precios bases'!L85*5.2%+'Precios bases'!L85</f>
        <v>30056.691999999999</v>
      </c>
      <c r="M85" s="84">
        <f>+'Precios bases'!M85*5.2%+'Precios bases'!M85</f>
        <v>13998.964</v>
      </c>
      <c r="N85" s="86">
        <f>+'Precios bases'!N85*5.2%+'Precios bases'!N85</f>
        <v>30329.16</v>
      </c>
      <c r="O85" s="84">
        <f>+'Precios bases'!O85*5.2%+'Precios bases'!O85</f>
        <v>30056.691999999999</v>
      </c>
      <c r="P85" s="879">
        <f>+'Precios bases'!P85*5.2%+'Precios bases'!P85</f>
        <v>14168.335999999999</v>
      </c>
      <c r="Q85" s="878">
        <f>+'Precios bases'!Q85*5.2%+'Precios bases'!Q85</f>
        <v>31381.16</v>
      </c>
      <c r="R85" s="879">
        <f>+'Precios bases'!R85*5.2%+'Precios bases'!R85</f>
        <v>42080</v>
      </c>
      <c r="S85" s="879">
        <f>+'Precios bases'!S85*5.2%+'Precios bases'!S85</f>
        <v>14838.46</v>
      </c>
      <c r="T85" s="878">
        <f>+'Precios bases'!T85*5.2%+'Precios bases'!T85</f>
        <v>32959.160000000003</v>
      </c>
      <c r="U85" s="879">
        <f>+'Precios bases'!U85*5.2%+'Precios bases'!U85</f>
        <v>47340</v>
      </c>
      <c r="V85" s="879">
        <f>+'Precios bases'!V85*5.2%+'Precios bases'!V85</f>
        <v>15990.4</v>
      </c>
      <c r="W85" s="878">
        <f>+'Precios bases'!W85*5.2%+'Precios bases'!W85</f>
        <v>36641.160000000003</v>
      </c>
      <c r="X85" s="879">
        <f>+'Precios bases'!X85*5.2%+'Precios bases'!X85</f>
        <v>57860</v>
      </c>
      <c r="Y85" s="879">
        <f>+'Precios bases'!Y85*5.2%+'Precios bases'!Y85</f>
        <v>15990.4</v>
      </c>
      <c r="Z85" s="878">
        <f>+'Precios bases'!Z85*5.2%+'Precios bases'!Z85</f>
        <v>38745.160000000003</v>
      </c>
      <c r="AA85" s="879">
        <f>+'Precios bases'!AA85*5.2%+'Precios bases'!AA85</f>
        <v>68380</v>
      </c>
      <c r="AB85" s="879">
        <f>+'Precios bases'!AB85*5.2%+'Precios bases'!AB85</f>
        <v>15990.4</v>
      </c>
      <c r="AC85" s="878">
        <f>+'Precios bases'!AC85*5.2%+'Precios bases'!AC85</f>
        <v>41375.160000000003</v>
      </c>
      <c r="AD85" s="879">
        <f>+'Precios bases'!AD85*5.2%+'Precios bases'!AD85</f>
        <v>89420</v>
      </c>
      <c r="AE85" s="879">
        <f>+'Precios bases'!AE85*5.2%+'Precios bases'!AE85</f>
        <v>15990.4</v>
      </c>
      <c r="AF85" s="878">
        <f>+'Precios bases'!AF85*5.2%+'Precios bases'!AF85</f>
        <v>44005.16</v>
      </c>
      <c r="AG85" s="84">
        <f>+'Precios bases'!AG85*5.2%+'Precios bases'!AG85</f>
        <v>110460</v>
      </c>
      <c r="AH85" s="84">
        <f>+'Precios bases'!AH85*5.2%+'Precios bases'!AH85</f>
        <v>15990.4</v>
      </c>
      <c r="AI85" s="86">
        <f>+'Precios bases'!AI85*5.2%+'Precios bases'!AI85</f>
        <v>46635.16</v>
      </c>
      <c r="AL85" s="5" t="s">
        <v>382</v>
      </c>
      <c r="AM85" s="3"/>
      <c r="AN85" s="80">
        <f t="shared" ref="AN85:AN88" si="57">+H85-E85</f>
        <v>526</v>
      </c>
      <c r="AO85" s="80">
        <f t="shared" ref="AO85:AO88" si="58">+K85-H85</f>
        <v>526</v>
      </c>
      <c r="AP85" s="80">
        <f t="shared" ref="AP85:AP88" si="59">+N85-K85</f>
        <v>526</v>
      </c>
      <c r="AQ85" s="80">
        <f t="shared" ref="AQ85:AQ88" si="60">+Q85-N85</f>
        <v>1052</v>
      </c>
      <c r="AR85" s="80">
        <f t="shared" ref="AR85:AR88" si="61">+T85-Q85</f>
        <v>1578.0000000000036</v>
      </c>
      <c r="AS85" s="80">
        <f t="shared" ref="AS85:AS88" si="62">+W85-T85</f>
        <v>3682</v>
      </c>
      <c r="AT85" s="80">
        <f t="shared" ref="AT85:AT88" si="63">+Z85-W85</f>
        <v>2104</v>
      </c>
      <c r="AU85" s="80">
        <f t="shared" ref="AU85:AU88" si="64">+AC85-Z85</f>
        <v>2630</v>
      </c>
      <c r="AV85" s="80">
        <f t="shared" ref="AV85:AV88" si="65">+AF85-AC85</f>
        <v>2630</v>
      </c>
      <c r="AW85" s="80">
        <f t="shared" ref="AW85:AW88" si="66">+AI85-AF85</f>
        <v>2630</v>
      </c>
      <c r="AX85" s="88">
        <f>+E85-E83</f>
        <v>4734</v>
      </c>
      <c r="AY85" s="88">
        <f>+H85-H83</f>
        <v>4734</v>
      </c>
      <c r="AZ85" s="88">
        <f>+K85-K83</f>
        <v>4734</v>
      </c>
      <c r="BA85" s="88">
        <f>+N85-N83</f>
        <v>4734</v>
      </c>
      <c r="BB85" s="88">
        <f>+Q85-Q83</f>
        <v>4734</v>
      </c>
      <c r="BC85" s="88">
        <f>+T85-T83</f>
        <v>4734.0000000000036</v>
      </c>
      <c r="BD85" s="88">
        <f>+W85-W83</f>
        <v>4734.0000000000036</v>
      </c>
      <c r="BE85" s="88">
        <f>+Z85-Z83</f>
        <v>2104</v>
      </c>
      <c r="BF85" s="88">
        <f>+AC85-AC83</f>
        <v>2104</v>
      </c>
      <c r="BG85" s="88">
        <f>+AF85-AF83</f>
        <v>2104</v>
      </c>
      <c r="BH85" s="88">
        <f>+AI85-AI83</f>
        <v>2104</v>
      </c>
    </row>
    <row r="86" spans="1:60" s="643" customFormat="1">
      <c r="A86" s="643">
        <v>40</v>
      </c>
      <c r="B86" s="644" t="s">
        <v>383</v>
      </c>
      <c r="C86" s="645">
        <f>+'Precios bases'!C86*5.2%+'Precios bases'!C86</f>
        <v>30056.691999999999</v>
      </c>
      <c r="D86" s="646">
        <f>+'Precios bases'!D86*5.2%+'Precios bases'!D86</f>
        <v>13893.763999999999</v>
      </c>
      <c r="E86" s="647">
        <f>+'Precios bases'!E86*5.2%+'Precios bases'!E86</f>
        <v>31907.16</v>
      </c>
      <c r="F86" s="645">
        <f>+'Precios bases'!F86*5.2%+'Precios bases'!F86</f>
        <v>30056.691999999999</v>
      </c>
      <c r="G86" s="646">
        <f>+'Precios bases'!G86*5.2%+'Precios bases'!G86</f>
        <v>13893.763999999999</v>
      </c>
      <c r="H86" s="647">
        <f>+'Precios bases'!H86*5.2%+'Precios bases'!H86</f>
        <v>32433.16</v>
      </c>
      <c r="I86" s="645">
        <f>+'Precios bases'!I86*5.2%+'Precios bases'!I86</f>
        <v>30056.691999999999</v>
      </c>
      <c r="J86" s="646">
        <f>+'Precios bases'!J86*5.2%+'Precios bases'!J86</f>
        <v>13893.763999999999</v>
      </c>
      <c r="K86" s="647">
        <f>+'Precios bases'!K86*5.2%+'Precios bases'!K86</f>
        <v>32959.160000000003</v>
      </c>
      <c r="L86" s="646">
        <f>+'Precios bases'!L86*5.2%+'Precios bases'!L86</f>
        <v>37571.127999999997</v>
      </c>
      <c r="M86" s="646">
        <f>+'Precios bases'!M86*5.2%+'Precios bases'!M86</f>
        <v>13998.964</v>
      </c>
      <c r="N86" s="647">
        <f>+'Precios bases'!N86*5.2%+'Precios bases'!N86</f>
        <v>33485.160000000003</v>
      </c>
      <c r="O86" s="646">
        <f>+'Precios bases'!O86*5.2%+'Precios bases'!O86</f>
        <v>37571.127999999997</v>
      </c>
      <c r="P86" s="901">
        <f>+'Precios bases'!P86*5.2%+'Precios bases'!P86</f>
        <v>14168.335999999999</v>
      </c>
      <c r="Q86" s="902">
        <f>+'Precios bases'!Q86*5.2%+'Precios bases'!Q86</f>
        <v>34537.160000000003</v>
      </c>
      <c r="R86" s="901">
        <f>+'Precios bases'!R86*5.2%+'Precios bases'!R86</f>
        <v>52600</v>
      </c>
      <c r="S86" s="901">
        <f>+'Precios bases'!S86*5.2%+'Precios bases'!S86</f>
        <v>14838.46</v>
      </c>
      <c r="T86" s="902">
        <f>+'Precios bases'!T86*5.2%+'Precios bases'!T86</f>
        <v>36115.160000000003</v>
      </c>
      <c r="U86" s="901">
        <f>+'Precios bases'!U86*5.2%+'Precios bases'!U86</f>
        <v>57860</v>
      </c>
      <c r="V86" s="901">
        <f>+'Precios bases'!V86*5.2%+'Precios bases'!V86</f>
        <v>15990.4</v>
      </c>
      <c r="W86" s="902">
        <f>+'Precios bases'!W86*5.2%+'Precios bases'!W86</f>
        <v>39797.160000000003</v>
      </c>
      <c r="X86" s="901">
        <f>+'Precios bases'!X86*5.2%+'Precios bases'!X86</f>
        <v>68380</v>
      </c>
      <c r="Y86" s="901">
        <f>+'Precios bases'!Y86*5.2%+'Precios bases'!Y86</f>
        <v>15990.4</v>
      </c>
      <c r="Z86" s="902">
        <f>+'Precios bases'!Z86*5.2%+'Precios bases'!Z86</f>
        <v>40849.160000000003</v>
      </c>
      <c r="AA86" s="901">
        <f>+'Precios bases'!AA86*5.2%+'Precios bases'!AA86</f>
        <v>78900</v>
      </c>
      <c r="AB86" s="901">
        <f>+'Precios bases'!AB86*5.2%+'Precios bases'!AB86</f>
        <v>15990.4</v>
      </c>
      <c r="AC86" s="902">
        <f>+'Precios bases'!AC86*5.2%+'Precios bases'!AC86</f>
        <v>43479.16</v>
      </c>
      <c r="AD86" s="901">
        <f>+'Precios bases'!AD86*5.2%+'Precios bases'!AD86</f>
        <v>99940</v>
      </c>
      <c r="AE86" s="901">
        <f>+'Precios bases'!AE86*5.2%+'Precios bases'!AE86</f>
        <v>15990.4</v>
      </c>
      <c r="AF86" s="902">
        <f>+'Precios bases'!AF86*5.2%+'Precios bases'!AF86</f>
        <v>46109.16</v>
      </c>
      <c r="AG86" s="646">
        <f>+'Precios bases'!AG86*5.2%+'Precios bases'!AG86</f>
        <v>120980</v>
      </c>
      <c r="AH86" s="646">
        <f>+'Precios bases'!AH86*5.2%+'Precios bases'!AH86</f>
        <v>15990.4</v>
      </c>
      <c r="AI86" s="647">
        <f>+'Precios bases'!AI86*5.2%+'Precios bases'!AI86</f>
        <v>48739.16</v>
      </c>
      <c r="AL86" s="644" t="s">
        <v>383</v>
      </c>
      <c r="AM86" s="644"/>
      <c r="AN86" s="646">
        <f t="shared" si="57"/>
        <v>526</v>
      </c>
      <c r="AO86" s="646">
        <f t="shared" si="58"/>
        <v>526.00000000000364</v>
      </c>
      <c r="AP86" s="646">
        <f t="shared" si="59"/>
        <v>526</v>
      </c>
      <c r="AQ86" s="646">
        <f t="shared" si="60"/>
        <v>1052</v>
      </c>
      <c r="AR86" s="646">
        <f t="shared" si="61"/>
        <v>1578</v>
      </c>
      <c r="AS86" s="646">
        <f t="shared" si="62"/>
        <v>3682</v>
      </c>
      <c r="AT86" s="646">
        <f t="shared" si="63"/>
        <v>1052</v>
      </c>
      <c r="AU86" s="646">
        <f t="shared" si="64"/>
        <v>2630</v>
      </c>
      <c r="AV86" s="646">
        <f t="shared" si="65"/>
        <v>2630</v>
      </c>
      <c r="AW86" s="646">
        <f t="shared" si="66"/>
        <v>2630</v>
      </c>
      <c r="AX86" s="648">
        <f t="shared" ref="AX86:AX88" si="67">+E86-E85</f>
        <v>3156</v>
      </c>
      <c r="AY86" s="648">
        <f t="shared" ref="AY86:AY88" si="68">+H86-H85</f>
        <v>3156</v>
      </c>
      <c r="AZ86" s="648">
        <f t="shared" ref="AZ86:AZ88" si="69">+K86-K85</f>
        <v>3156.0000000000036</v>
      </c>
      <c r="BA86" s="648">
        <f t="shared" ref="BA86:BA88" si="70">+N86-N85</f>
        <v>3156.0000000000036</v>
      </c>
      <c r="BB86" s="648">
        <f t="shared" ref="BB86:BB88" si="71">+Q86-Q85</f>
        <v>3156.0000000000036</v>
      </c>
      <c r="BC86" s="648">
        <f t="shared" ref="BC86:BC88" si="72">+T86-T85</f>
        <v>3156</v>
      </c>
      <c r="BD86" s="648">
        <f t="shared" ref="BD86:BD88" si="73">+W86-W85</f>
        <v>3156</v>
      </c>
      <c r="BE86" s="648">
        <f t="shared" ref="BE86:BE88" si="74">+Z86-Z85</f>
        <v>2104</v>
      </c>
      <c r="BF86" s="648">
        <f t="shared" ref="BF86:BF88" si="75">+AC86-AC85</f>
        <v>2104</v>
      </c>
      <c r="BG86" s="648">
        <f t="shared" ref="BG86:BG88" si="76">+AF86-AF85</f>
        <v>2104</v>
      </c>
      <c r="BH86" s="648">
        <f t="shared" ref="BH86:BH88" si="77">+AI86-AI85</f>
        <v>2104</v>
      </c>
    </row>
    <row r="87" spans="1:60" s="643" customFormat="1">
      <c r="A87" s="643">
        <v>50</v>
      </c>
      <c r="B87" s="644" t="s">
        <v>384</v>
      </c>
      <c r="C87" s="645">
        <f>+'Precios bases'!C87*5.2%+'Precios bases'!C87</f>
        <v>40586.160000000003</v>
      </c>
      <c r="D87" s="646">
        <f>+'Precios bases'!D87*5.2%+'Precios bases'!D87</f>
        <v>13893.763999999999</v>
      </c>
      <c r="E87" s="647">
        <f>+'Precios bases'!E87*5.2%+'Precios bases'!E87</f>
        <v>35063.160000000003</v>
      </c>
      <c r="F87" s="645">
        <f>+'Precios bases'!F87*5.2%+'Precios bases'!F87</f>
        <v>40586.160000000003</v>
      </c>
      <c r="G87" s="646">
        <f>+'Precios bases'!G87*5.2%+'Precios bases'!G87</f>
        <v>13893.763999999999</v>
      </c>
      <c r="H87" s="647">
        <f>+'Precios bases'!H87*5.2%+'Precios bases'!H87</f>
        <v>35589.160000000003</v>
      </c>
      <c r="I87" s="645">
        <f>+'Precios bases'!I87*5.2%+'Precios bases'!I87</f>
        <v>40586.160000000003</v>
      </c>
      <c r="J87" s="646">
        <f>+'Precios bases'!J87*5.2%+'Precios bases'!J87</f>
        <v>13893.763999999999</v>
      </c>
      <c r="K87" s="647">
        <f>+'Precios bases'!K87*5.2%+'Precios bases'!K87</f>
        <v>36115.160000000003</v>
      </c>
      <c r="L87" s="646">
        <f>+'Precios bases'!L87*5.2%+'Precios bases'!L87</f>
        <v>63120</v>
      </c>
      <c r="M87" s="646">
        <f>+'Precios bases'!M87*5.2%+'Precios bases'!M87</f>
        <v>13998.964</v>
      </c>
      <c r="N87" s="647">
        <f>+'Precios bases'!N87*5.2%+'Precios bases'!N87</f>
        <v>36641.160000000003</v>
      </c>
      <c r="O87" s="646">
        <f>+'Precios bases'!O87*5.2%+'Precios bases'!O87</f>
        <v>63120</v>
      </c>
      <c r="P87" s="901">
        <f>+'Precios bases'!P87*5.2%+'Precios bases'!P87</f>
        <v>14168.335999999999</v>
      </c>
      <c r="Q87" s="902">
        <f>+'Precios bases'!Q87*5.2%+'Precios bases'!Q87</f>
        <v>37693.160000000003</v>
      </c>
      <c r="R87" s="901">
        <f>+'Precios bases'!R87*5.2%+'Precios bases'!R87</f>
        <v>63120</v>
      </c>
      <c r="S87" s="901">
        <f>+'Precios bases'!S87*5.2%+'Precios bases'!S87</f>
        <v>14838.46</v>
      </c>
      <c r="T87" s="902">
        <f>+'Precios bases'!T87*5.2%+'Precios bases'!T87</f>
        <v>39271.160000000003</v>
      </c>
      <c r="U87" s="901">
        <f>+'Precios bases'!U87*5.2%+'Precios bases'!U87</f>
        <v>68380</v>
      </c>
      <c r="V87" s="901">
        <f>+'Precios bases'!V87*5.2%+'Precios bases'!V87</f>
        <v>15990.4</v>
      </c>
      <c r="W87" s="902">
        <f>+'Precios bases'!W87*5.2%+'Precios bases'!W87</f>
        <v>42953.16</v>
      </c>
      <c r="X87" s="901">
        <f>+'Precios bases'!X87*5.2%+'Precios bases'!X87</f>
        <v>78900</v>
      </c>
      <c r="Y87" s="901">
        <f>+'Precios bases'!Y87*5.2%+'Precios bases'!Y87</f>
        <v>15990.4</v>
      </c>
      <c r="Z87" s="902">
        <f>+'Precios bases'!Z87*5.2%+'Precios bases'!Z87</f>
        <v>45057.16</v>
      </c>
      <c r="AA87" s="901">
        <f>+'Precios bases'!AA87*5.2%+'Precios bases'!AA87</f>
        <v>89420</v>
      </c>
      <c r="AB87" s="901">
        <f>+'Precios bases'!AB87*5.2%+'Precios bases'!AB87</f>
        <v>15990.4</v>
      </c>
      <c r="AC87" s="902">
        <f>+'Precios bases'!AC87*5.2%+'Precios bases'!AC87</f>
        <v>47687.16</v>
      </c>
      <c r="AD87" s="901">
        <f>+'Precios bases'!AD87*5.2%+'Precios bases'!AD87</f>
        <v>110460</v>
      </c>
      <c r="AE87" s="901">
        <f>+'Precios bases'!AE87*5.2%+'Precios bases'!AE87</f>
        <v>15990.4</v>
      </c>
      <c r="AF87" s="902">
        <f>+'Precios bases'!AF87*5.2%+'Precios bases'!AF87</f>
        <v>50317.16</v>
      </c>
      <c r="AG87" s="646">
        <f>+'Precios bases'!AG87*5.2%+'Precios bases'!AG87</f>
        <v>131500</v>
      </c>
      <c r="AH87" s="646">
        <f>+'Precios bases'!AH87*5.2%+'Precios bases'!AH87</f>
        <v>15990.4</v>
      </c>
      <c r="AI87" s="647">
        <f>+'Precios bases'!AI87*5.2%+'Precios bases'!AI87</f>
        <v>52947.16</v>
      </c>
      <c r="AL87" s="644" t="s">
        <v>384</v>
      </c>
      <c r="AM87" s="644"/>
      <c r="AN87" s="646">
        <f t="shared" si="57"/>
        <v>526</v>
      </c>
      <c r="AO87" s="646">
        <f t="shared" si="58"/>
        <v>526</v>
      </c>
      <c r="AP87" s="646">
        <f t="shared" si="59"/>
        <v>526</v>
      </c>
      <c r="AQ87" s="646">
        <f t="shared" si="60"/>
        <v>1052</v>
      </c>
      <c r="AR87" s="646">
        <f t="shared" si="61"/>
        <v>1578</v>
      </c>
      <c r="AS87" s="646">
        <f t="shared" si="62"/>
        <v>3682</v>
      </c>
      <c r="AT87" s="646">
        <f t="shared" si="63"/>
        <v>2104</v>
      </c>
      <c r="AU87" s="646">
        <f t="shared" si="64"/>
        <v>2630</v>
      </c>
      <c r="AV87" s="646">
        <f t="shared" si="65"/>
        <v>2630</v>
      </c>
      <c r="AW87" s="646">
        <f t="shared" si="66"/>
        <v>2630</v>
      </c>
      <c r="AX87" s="648">
        <f t="shared" si="67"/>
        <v>3156.0000000000036</v>
      </c>
      <c r="AY87" s="648">
        <f t="shared" si="68"/>
        <v>3156.0000000000036</v>
      </c>
      <c r="AZ87" s="648">
        <f t="shared" si="69"/>
        <v>3156</v>
      </c>
      <c r="BA87" s="648">
        <f t="shared" si="70"/>
        <v>3156</v>
      </c>
      <c r="BB87" s="648">
        <f t="shared" si="71"/>
        <v>3156</v>
      </c>
      <c r="BC87" s="648">
        <f t="shared" si="72"/>
        <v>3156</v>
      </c>
      <c r="BD87" s="648">
        <f t="shared" si="73"/>
        <v>3156</v>
      </c>
      <c r="BE87" s="648">
        <f t="shared" si="74"/>
        <v>4208</v>
      </c>
      <c r="BF87" s="648">
        <f t="shared" si="75"/>
        <v>4208</v>
      </c>
      <c r="BG87" s="648">
        <f t="shared" si="76"/>
        <v>4208</v>
      </c>
      <c r="BH87" s="648">
        <f t="shared" si="77"/>
        <v>4208</v>
      </c>
    </row>
    <row r="88" spans="1:60" s="643" customFormat="1">
      <c r="A88" s="643">
        <v>60</v>
      </c>
      <c r="B88" s="644" t="s">
        <v>385</v>
      </c>
      <c r="C88" s="645">
        <f>+'Precios bases'!C88*5.2%+'Precios bases'!C88</f>
        <v>51106.16</v>
      </c>
      <c r="D88" s="646">
        <f>+'Precios bases'!D88*5.2%+'Precios bases'!D88</f>
        <v>13893.763999999999</v>
      </c>
      <c r="E88" s="647">
        <f>+'Precios bases'!E88*5.2%+'Precios bases'!E88</f>
        <v>40323.160000000003</v>
      </c>
      <c r="F88" s="645">
        <f>+'Precios bases'!F88*5.2%+'Precios bases'!F88</f>
        <v>51106.16</v>
      </c>
      <c r="G88" s="646">
        <f>+'Precios bases'!G88*5.2%+'Precios bases'!G88</f>
        <v>13893.763999999999</v>
      </c>
      <c r="H88" s="647">
        <f>+'Precios bases'!H88*5.2%+'Precios bases'!H88</f>
        <v>40849.160000000003</v>
      </c>
      <c r="I88" s="645">
        <f>+'Precios bases'!I88*5.2%+'Precios bases'!I88</f>
        <v>51106.16</v>
      </c>
      <c r="J88" s="646">
        <f>+'Precios bases'!J88*5.2%+'Precios bases'!J88</f>
        <v>13893.763999999999</v>
      </c>
      <c r="K88" s="647">
        <f>+'Precios bases'!K88*5.2%+'Precios bases'!K88</f>
        <v>41375.160000000003</v>
      </c>
      <c r="L88" s="646">
        <f>+'Precios bases'!L88*5.2%+'Precios bases'!L88</f>
        <v>73640</v>
      </c>
      <c r="M88" s="646">
        <f>+'Precios bases'!M88*5.2%+'Precios bases'!M88</f>
        <v>13998.964</v>
      </c>
      <c r="N88" s="647">
        <f>+'Precios bases'!N88*5.2%+'Precios bases'!N88</f>
        <v>41901.160000000003</v>
      </c>
      <c r="O88" s="646">
        <f>+'Precios bases'!O88*5.2%+'Precios bases'!O88</f>
        <v>73640</v>
      </c>
      <c r="P88" s="901">
        <f>+'Precios bases'!P88*5.2%+'Precios bases'!P88</f>
        <v>14168.335999999999</v>
      </c>
      <c r="Q88" s="902">
        <f>+'Precios bases'!Q88*5.2%+'Precios bases'!Q88</f>
        <v>42953.16</v>
      </c>
      <c r="R88" s="901">
        <f>+'Precios bases'!R88*5.2%+'Precios bases'!R88</f>
        <v>73640</v>
      </c>
      <c r="S88" s="901">
        <f>+'Precios bases'!S88*5.2%+'Precios bases'!S88</f>
        <v>14838.46</v>
      </c>
      <c r="T88" s="902">
        <f>+'Precios bases'!T88*5.2%+'Precios bases'!T88</f>
        <v>44531.16</v>
      </c>
      <c r="U88" s="901">
        <f>+'Precios bases'!U88*5.2%+'Precios bases'!U88</f>
        <v>78900</v>
      </c>
      <c r="V88" s="901">
        <f>+'Precios bases'!V88*5.2%+'Precios bases'!V88</f>
        <v>15990.4</v>
      </c>
      <c r="W88" s="902">
        <f>+'Precios bases'!W88*5.2%+'Precios bases'!W88</f>
        <v>48213.16</v>
      </c>
      <c r="X88" s="901">
        <f>+'Precios bases'!X88*5.2%+'Precios bases'!X88</f>
        <v>89420</v>
      </c>
      <c r="Y88" s="901">
        <f>+'Precios bases'!Y88*5.2%+'Precios bases'!Y88</f>
        <v>15990.4</v>
      </c>
      <c r="Z88" s="902">
        <f>+'Precios bases'!Z88*5.2%+'Precios bases'!Z88</f>
        <v>49265.16</v>
      </c>
      <c r="AA88" s="901">
        <f>+'Precios bases'!AA88*5.2%+'Precios bases'!AA88</f>
        <v>99940</v>
      </c>
      <c r="AB88" s="901">
        <f>+'Precios bases'!AB88*5.2%+'Precios bases'!AB88</f>
        <v>15990.4</v>
      </c>
      <c r="AC88" s="902">
        <f>+'Precios bases'!AC88*5.2%+'Precios bases'!AC88</f>
        <v>51895.16</v>
      </c>
      <c r="AD88" s="901">
        <f>+'Precios bases'!AD88*5.2%+'Precios bases'!AD88</f>
        <v>120980</v>
      </c>
      <c r="AE88" s="901">
        <f>+'Precios bases'!AE88*5.2%+'Precios bases'!AE88</f>
        <v>15990.4</v>
      </c>
      <c r="AF88" s="902">
        <f>+'Precios bases'!AF88*5.2%+'Precios bases'!AF88</f>
        <v>54525.16</v>
      </c>
      <c r="AG88" s="646">
        <f>+'Precios bases'!AG88*5.2%+'Precios bases'!AG88</f>
        <v>142020</v>
      </c>
      <c r="AH88" s="646">
        <f>+'Precios bases'!AH88*5.2%+'Precios bases'!AH88</f>
        <v>15990.4</v>
      </c>
      <c r="AI88" s="647">
        <f>+'Precios bases'!AI88*5.2%+'Precios bases'!AI88</f>
        <v>57155.16</v>
      </c>
      <c r="AL88" s="644" t="s">
        <v>385</v>
      </c>
      <c r="AM88" s="644"/>
      <c r="AN88" s="646">
        <f t="shared" si="57"/>
        <v>526</v>
      </c>
      <c r="AO88" s="646">
        <f t="shared" si="58"/>
        <v>526</v>
      </c>
      <c r="AP88" s="646">
        <f t="shared" si="59"/>
        <v>526</v>
      </c>
      <c r="AQ88" s="646">
        <f t="shared" si="60"/>
        <v>1052</v>
      </c>
      <c r="AR88" s="646">
        <f t="shared" si="61"/>
        <v>1578</v>
      </c>
      <c r="AS88" s="646">
        <f t="shared" si="62"/>
        <v>3682</v>
      </c>
      <c r="AT88" s="646">
        <f t="shared" si="63"/>
        <v>1052</v>
      </c>
      <c r="AU88" s="646">
        <f t="shared" si="64"/>
        <v>2630</v>
      </c>
      <c r="AV88" s="646">
        <f t="shared" si="65"/>
        <v>2630</v>
      </c>
      <c r="AW88" s="646">
        <f t="shared" si="66"/>
        <v>2630</v>
      </c>
      <c r="AX88" s="648">
        <f t="shared" si="67"/>
        <v>5260</v>
      </c>
      <c r="AY88" s="648">
        <f t="shared" si="68"/>
        <v>5260</v>
      </c>
      <c r="AZ88" s="648">
        <f t="shared" si="69"/>
        <v>5260</v>
      </c>
      <c r="BA88" s="648">
        <f t="shared" si="70"/>
        <v>5260</v>
      </c>
      <c r="BB88" s="648">
        <f t="shared" si="71"/>
        <v>5260</v>
      </c>
      <c r="BC88" s="648">
        <f t="shared" si="72"/>
        <v>5260</v>
      </c>
      <c r="BD88" s="648">
        <f t="shared" si="73"/>
        <v>5260</v>
      </c>
      <c r="BE88" s="648">
        <f t="shared" si="74"/>
        <v>4208</v>
      </c>
      <c r="BF88" s="648">
        <f t="shared" si="75"/>
        <v>4208</v>
      </c>
      <c r="BG88" s="648">
        <f t="shared" si="76"/>
        <v>4208</v>
      </c>
      <c r="BH88" s="648">
        <f t="shared" si="77"/>
        <v>4208</v>
      </c>
    </row>
    <row r="89" spans="1:60">
      <c r="U89" s="903">
        <v>5000</v>
      </c>
      <c r="X89" s="903">
        <v>10000</v>
      </c>
      <c r="AA89" s="903">
        <v>10000</v>
      </c>
      <c r="AD89" s="903">
        <v>20000</v>
      </c>
      <c r="AG89" s="584">
        <v>20000</v>
      </c>
    </row>
    <row r="91" spans="1:60" ht="28.5">
      <c r="A91" s="1355" t="s">
        <v>1396</v>
      </c>
      <c r="B91" s="1355"/>
      <c r="C91" s="1355"/>
      <c r="D91" s="1355"/>
      <c r="E91" s="1355"/>
      <c r="F91" s="1355"/>
      <c r="G91" s="1355"/>
      <c r="H91" s="1355"/>
      <c r="I91" s="1355"/>
      <c r="J91" s="1355"/>
      <c r="K91" s="1355"/>
      <c r="L91" s="1355"/>
      <c r="M91" s="1355"/>
    </row>
    <row r="92" spans="1:60" ht="29.25" thickBot="1">
      <c r="A92" s="641"/>
      <c r="B92" s="641"/>
      <c r="C92" s="641"/>
      <c r="D92" s="641"/>
      <c r="E92" s="641"/>
      <c r="F92" s="641"/>
      <c r="G92" s="641"/>
      <c r="H92" s="641"/>
      <c r="I92" s="641"/>
      <c r="J92" s="641"/>
      <c r="K92" s="641"/>
      <c r="L92" s="641"/>
      <c r="M92" s="641"/>
    </row>
    <row r="93" spans="1:60">
      <c r="C93" s="1348" t="s">
        <v>989</v>
      </c>
      <c r="D93" s="1349"/>
      <c r="E93" s="1349"/>
      <c r="F93" s="1349"/>
      <c r="G93" s="1349"/>
      <c r="H93" s="1349"/>
      <c r="I93" s="1349"/>
      <c r="J93" s="1349"/>
      <c r="K93" s="1350"/>
      <c r="L93" s="1352" t="s">
        <v>988</v>
      </c>
      <c r="M93" s="1353"/>
      <c r="N93" s="1353"/>
      <c r="O93" s="1353"/>
      <c r="P93" s="1353"/>
      <c r="Q93" s="1354"/>
      <c r="R93" s="1345" t="s">
        <v>445</v>
      </c>
      <c r="S93" s="1346"/>
      <c r="T93" s="1346"/>
      <c r="U93" s="1346"/>
      <c r="V93" s="1346"/>
      <c r="W93" s="1346"/>
      <c r="X93" s="1346"/>
      <c r="Y93" s="1346"/>
      <c r="Z93" s="1346"/>
      <c r="AA93" s="1346"/>
      <c r="AB93" s="1346"/>
      <c r="AC93" s="1346"/>
      <c r="AD93" s="1346"/>
      <c r="AE93" s="1346"/>
      <c r="AF93" s="1346"/>
      <c r="AG93" s="1346"/>
      <c r="AH93" s="1346"/>
      <c r="AI93" s="1347"/>
    </row>
    <row r="94" spans="1:60" ht="45">
      <c r="A94" s="440"/>
      <c r="B94" t="str">
        <f>B96</f>
        <v>Perfil</v>
      </c>
      <c r="C94" s="593" t="str">
        <f t="shared" ref="C94:W94" si="78">C96</f>
        <v>Mas 82%</v>
      </c>
      <c r="D94" s="594" t="str">
        <f t="shared" si="78"/>
        <v>Coordinación, supervisión y tablets</v>
      </c>
      <c r="E94" s="594" t="str">
        <f t="shared" si="78"/>
        <v>Total Mas 82%</v>
      </c>
      <c r="F94" s="594" t="str">
        <f t="shared" si="78"/>
        <v>75%-82%</v>
      </c>
      <c r="G94" s="594" t="str">
        <f t="shared" si="78"/>
        <v>Coordinación, supervisión y tablets</v>
      </c>
      <c r="H94" s="594" t="str">
        <f t="shared" si="78"/>
        <v>Total 75%-82%</v>
      </c>
      <c r="I94" s="594" t="str">
        <f t="shared" si="78"/>
        <v>67%-74%</v>
      </c>
      <c r="J94" s="594" t="str">
        <f t="shared" si="78"/>
        <v>Coordinación, supervisión y tablets</v>
      </c>
      <c r="K94" s="595" t="str">
        <f t="shared" si="78"/>
        <v>Total 67%-74%</v>
      </c>
      <c r="L94" s="599" t="str">
        <f t="shared" si="78"/>
        <v>55-66%</v>
      </c>
      <c r="M94" s="600" t="str">
        <f t="shared" si="78"/>
        <v>Coordinación, supervisión y tablets</v>
      </c>
      <c r="N94" s="600" t="str">
        <f t="shared" si="78"/>
        <v>Total Mas 55-66%</v>
      </c>
      <c r="O94" s="600" t="str">
        <f t="shared" si="78"/>
        <v>46-54%</v>
      </c>
      <c r="P94" s="891" t="str">
        <f t="shared" si="78"/>
        <v>Coordinación, supervisión y tablets</v>
      </c>
      <c r="Q94" s="892" t="str">
        <f t="shared" si="78"/>
        <v>Total Mas 46-54%</v>
      </c>
      <c r="R94" s="893" t="str">
        <f t="shared" si="78"/>
        <v>37-45%</v>
      </c>
      <c r="S94" s="894" t="str">
        <f t="shared" si="78"/>
        <v>Coordinación, supervisión y tablets</v>
      </c>
      <c r="T94" s="894" t="str">
        <f t="shared" si="78"/>
        <v>Total Mas 37-45%</v>
      </c>
      <c r="U94" s="894">
        <f t="shared" si="78"/>
        <v>0</v>
      </c>
      <c r="V94" s="894" t="str">
        <f t="shared" si="78"/>
        <v>Coordinación, supervisión y tablets</v>
      </c>
      <c r="W94" s="894" t="str">
        <f t="shared" si="78"/>
        <v>Total Mas 30-36%</v>
      </c>
      <c r="X94" s="894" t="s">
        <v>376</v>
      </c>
      <c r="Y94" s="894" t="str">
        <f t="shared" ref="Y94:Z94" si="79">Y96</f>
        <v>Coordinación, supervisión y tablets</v>
      </c>
      <c r="Z94" s="894" t="str">
        <f t="shared" si="79"/>
        <v>Total Mas 22-29%</v>
      </c>
      <c r="AA94" s="894" t="s">
        <v>377</v>
      </c>
      <c r="AB94" s="894" t="str">
        <f t="shared" ref="AB94:AC94" si="80">AB96</f>
        <v>Coordinación, supervisión y tablets</v>
      </c>
      <c r="AC94" s="894" t="str">
        <f t="shared" si="80"/>
        <v>Total Mas 15-21%</v>
      </c>
      <c r="AD94" s="895" t="s">
        <v>378</v>
      </c>
      <c r="AE94" s="894" t="str">
        <f t="shared" ref="AE94:AF94" si="81">AE96</f>
        <v>Coordinación, supervisión y tablets</v>
      </c>
      <c r="AF94" s="894" t="str">
        <f t="shared" si="81"/>
        <v>Total Mas 10-14%</v>
      </c>
      <c r="AG94" s="606" t="s">
        <v>379</v>
      </c>
      <c r="AH94" s="606" t="str">
        <f t="shared" ref="AH94:AI94" si="82">AH96</f>
        <v>Coordinación, supervisión y tablets</v>
      </c>
      <c r="AI94" s="608" t="str">
        <f t="shared" si="82"/>
        <v>Total Mas 0-9%</v>
      </c>
    </row>
    <row r="95" spans="1:60" ht="30.75" thickBot="1">
      <c r="A95" s="440"/>
      <c r="B95">
        <v>1</v>
      </c>
      <c r="C95" s="596">
        <v>2</v>
      </c>
      <c r="D95" s="597">
        <v>3</v>
      </c>
      <c r="E95" s="597">
        <v>4</v>
      </c>
      <c r="F95" s="597">
        <v>5</v>
      </c>
      <c r="G95" s="597">
        <v>6</v>
      </c>
      <c r="H95" s="597">
        <v>7</v>
      </c>
      <c r="I95" s="597">
        <v>8</v>
      </c>
      <c r="J95" s="597">
        <v>9</v>
      </c>
      <c r="K95" s="598">
        <v>10</v>
      </c>
      <c r="L95" s="602">
        <v>11</v>
      </c>
      <c r="M95" s="603">
        <v>12</v>
      </c>
      <c r="N95" s="603">
        <v>13</v>
      </c>
      <c r="O95" s="603">
        <v>14</v>
      </c>
      <c r="P95" s="896">
        <v>15</v>
      </c>
      <c r="Q95" s="897">
        <v>16</v>
      </c>
      <c r="R95" s="898">
        <v>17</v>
      </c>
      <c r="S95" s="899">
        <v>18</v>
      </c>
      <c r="T95" s="899">
        <v>19</v>
      </c>
      <c r="U95" s="899">
        <v>20</v>
      </c>
      <c r="V95" s="899">
        <v>21</v>
      </c>
      <c r="W95" s="899">
        <v>22</v>
      </c>
      <c r="X95" s="899">
        <v>23</v>
      </c>
      <c r="Y95" s="899">
        <v>24</v>
      </c>
      <c r="Z95" s="899">
        <v>25</v>
      </c>
      <c r="AA95" s="899">
        <v>26</v>
      </c>
      <c r="AB95" s="899">
        <v>27</v>
      </c>
      <c r="AC95" s="899">
        <v>28</v>
      </c>
      <c r="AD95" s="899">
        <v>29</v>
      </c>
      <c r="AE95" s="899">
        <v>30</v>
      </c>
      <c r="AF95" s="899">
        <v>31</v>
      </c>
      <c r="AG95" s="610">
        <v>32</v>
      </c>
      <c r="AH95" s="610">
        <v>33</v>
      </c>
      <c r="AI95" s="611">
        <v>34</v>
      </c>
      <c r="AX95" s="103" t="s">
        <v>355</v>
      </c>
    </row>
    <row r="96" spans="1:60" ht="45">
      <c r="A96" s="440"/>
      <c r="B96" s="3" t="s">
        <v>356</v>
      </c>
      <c r="C96" s="3" t="s">
        <v>357</v>
      </c>
      <c r="D96" s="43" t="s">
        <v>358</v>
      </c>
      <c r="E96" s="31" t="s">
        <v>359</v>
      </c>
      <c r="F96" s="3" t="s">
        <v>360</v>
      </c>
      <c r="G96" s="43" t="s">
        <v>358</v>
      </c>
      <c r="H96" s="31" t="s">
        <v>361</v>
      </c>
      <c r="I96" s="3" t="s">
        <v>362</v>
      </c>
      <c r="J96" s="43" t="s">
        <v>358</v>
      </c>
      <c r="K96" s="31" t="s">
        <v>363</v>
      </c>
      <c r="L96" s="3" t="s">
        <v>364</v>
      </c>
      <c r="M96" s="43" t="s">
        <v>358</v>
      </c>
      <c r="N96" s="31" t="s">
        <v>365</v>
      </c>
      <c r="O96" s="3" t="s">
        <v>55</v>
      </c>
      <c r="P96" s="43" t="s">
        <v>358</v>
      </c>
      <c r="Q96" s="876" t="s">
        <v>366</v>
      </c>
      <c r="R96" s="43" t="s">
        <v>367</v>
      </c>
      <c r="S96" s="43" t="s">
        <v>358</v>
      </c>
      <c r="T96" s="876" t="s">
        <v>368</v>
      </c>
      <c r="U96" s="43">
        <f>+B290</f>
        <v>0</v>
      </c>
      <c r="V96" s="43" t="s">
        <v>358</v>
      </c>
      <c r="W96" s="876" t="s">
        <v>369</v>
      </c>
      <c r="X96" s="43">
        <f>+B291</f>
        <v>0</v>
      </c>
      <c r="Y96" s="43" t="s">
        <v>358</v>
      </c>
      <c r="Z96" s="876" t="s">
        <v>370</v>
      </c>
      <c r="AA96" s="43">
        <f>+B292</f>
        <v>0</v>
      </c>
      <c r="AB96" s="43" t="s">
        <v>358</v>
      </c>
      <c r="AC96" s="876" t="s">
        <v>371</v>
      </c>
      <c r="AD96" s="43">
        <f>+B293</f>
        <v>0</v>
      </c>
      <c r="AE96" s="43" t="s">
        <v>358</v>
      </c>
      <c r="AF96" s="876" t="s">
        <v>372</v>
      </c>
      <c r="AG96" s="43">
        <f>+B294</f>
        <v>0</v>
      </c>
      <c r="AH96" s="43" t="s">
        <v>358</v>
      </c>
      <c r="AI96" s="31" t="s">
        <v>373</v>
      </c>
      <c r="AL96" s="79" t="s">
        <v>374</v>
      </c>
      <c r="AM96" s="3" t="s">
        <v>357</v>
      </c>
      <c r="AN96" s="3" t="s">
        <v>360</v>
      </c>
      <c r="AO96" s="3" t="s">
        <v>362</v>
      </c>
      <c r="AP96" s="3" t="s">
        <v>364</v>
      </c>
      <c r="AQ96" s="3" t="s">
        <v>55</v>
      </c>
      <c r="AR96" s="11" t="s">
        <v>367</v>
      </c>
      <c r="AS96" s="11" t="s">
        <v>375</v>
      </c>
      <c r="AT96" s="11" t="s">
        <v>376</v>
      </c>
      <c r="AU96" s="11" t="s">
        <v>377</v>
      </c>
      <c r="AV96" s="11" t="s">
        <v>378</v>
      </c>
      <c r="AW96" s="11" t="s">
        <v>379</v>
      </c>
      <c r="AX96" s="103" t="s">
        <v>357</v>
      </c>
      <c r="AY96" s="104" t="s">
        <v>360</v>
      </c>
      <c r="AZ96" s="104" t="s">
        <v>362</v>
      </c>
      <c r="BA96" s="104" t="s">
        <v>364</v>
      </c>
      <c r="BB96" s="105" t="s">
        <v>55</v>
      </c>
      <c r="BC96" s="105" t="s">
        <v>367</v>
      </c>
      <c r="BD96" s="105" t="s">
        <v>375</v>
      </c>
      <c r="BE96" s="105" t="s">
        <v>376</v>
      </c>
      <c r="BF96" s="105" t="s">
        <v>377</v>
      </c>
      <c r="BG96" s="105" t="s">
        <v>378</v>
      </c>
      <c r="BH96" s="105" t="s">
        <v>379</v>
      </c>
    </row>
    <row r="97" spans="1:60">
      <c r="A97" s="440">
        <v>5</v>
      </c>
      <c r="B97" s="3" t="s">
        <v>380</v>
      </c>
      <c r="C97" s="80">
        <f>+'Precios bases'!C97*5.2%+'Precios bases'!C97</f>
        <v>12020.152</v>
      </c>
      <c r="D97" s="81">
        <f>+'Precios bases'!D97*5.2%+'Precios bases'!D97</f>
        <v>13893.763999999999</v>
      </c>
      <c r="E97" s="439">
        <f>+'Precios bases'!E97*5.2%+'Precios bases'!E97</f>
        <v>21387.16</v>
      </c>
      <c r="F97" s="80">
        <f>+'Precios bases'!F97*5.2%+'Precios bases'!F97</f>
        <v>12966.951999999999</v>
      </c>
      <c r="G97" s="81">
        <f>+'Precios bases'!G97*5.2%+'Precios bases'!G97</f>
        <v>13893.763999999999</v>
      </c>
      <c r="H97" s="86">
        <f>+'Precios bases'!H97*5.2%+'Precios bases'!H97</f>
        <v>21913.16</v>
      </c>
      <c r="I97" s="80">
        <f>+'Precios bases'!I97*5.2%+'Precios bases'!I97</f>
        <v>13913.752</v>
      </c>
      <c r="J97" s="81">
        <f>+'Precios bases'!J97*5.2%+'Precios bases'!J97</f>
        <v>13893.763999999999</v>
      </c>
      <c r="K97" s="86">
        <f>+'Precios bases'!K97*5.2%+'Precios bases'!K97</f>
        <v>22439.16</v>
      </c>
      <c r="L97" s="80">
        <f>+'Precios bases'!L97*5.2%+'Precios bases'!L97</f>
        <v>14860.552</v>
      </c>
      <c r="M97" s="81">
        <f>+'Precios bases'!M97*5.2%+'Precios bases'!M97</f>
        <v>13998.964</v>
      </c>
      <c r="N97" s="86">
        <f>+'Precios bases'!N97*5.2%+'Precios bases'!N97</f>
        <v>22965.16</v>
      </c>
      <c r="O97" s="80">
        <f>+'Precios bases'!O97*5.2%+'Precios bases'!O97</f>
        <v>15807.352000000001</v>
      </c>
      <c r="P97" s="877">
        <f>+'Precios bases'!P97*5.2%+'Precios bases'!P97</f>
        <v>14168.335999999999</v>
      </c>
      <c r="Q97" s="878">
        <f>+'Precios bases'!Q97*5.2%+'Precios bases'!Q97</f>
        <v>24017.16</v>
      </c>
      <c r="R97" s="877">
        <f>+'Precios bases'!R97*5.2%+'Precios bases'!R97</f>
        <v>17700.952000000001</v>
      </c>
      <c r="S97" s="877">
        <f>+'Precios bases'!S97*5.2%+'Precios bases'!S97</f>
        <v>14838.46</v>
      </c>
      <c r="T97" s="878">
        <f>+'Precios bases'!T97*5.2%+'Precios bases'!T97</f>
        <v>25595.16</v>
      </c>
      <c r="U97" s="877">
        <f>+'Precios bases'!U97*5.2%+'Precios bases'!U97</f>
        <v>19594.552</v>
      </c>
      <c r="V97" s="877">
        <f>+'Precios bases'!V97*5.2%+'Precios bases'!V97</f>
        <v>15990.4</v>
      </c>
      <c r="W97" s="878">
        <f>+'Precios bases'!W97*5.2%+'Precios bases'!W97</f>
        <v>29277.16</v>
      </c>
      <c r="X97" s="877">
        <f>+'Precios bases'!X97*5.2%+'Precios bases'!X97</f>
        <v>21488.152000000002</v>
      </c>
      <c r="Y97" s="877">
        <f>+'Precios bases'!Y97*5.2%+'Precios bases'!Y97</f>
        <v>15990.4</v>
      </c>
      <c r="Z97" s="878">
        <f>+'Precios bases'!Z97*5.2%+'Precios bases'!Z97</f>
        <v>32433.16</v>
      </c>
      <c r="AA97" s="877">
        <f>+'Precios bases'!AA97*5.2%+'Precios bases'!AA97</f>
        <v>23381.752</v>
      </c>
      <c r="AB97" s="877">
        <f>+'Precios bases'!AB97*5.2%+'Precios bases'!AB97</f>
        <v>15990.4</v>
      </c>
      <c r="AC97" s="878">
        <f>+'Precios bases'!AC97*5.2%+'Precios bases'!AC97</f>
        <v>35063.160000000003</v>
      </c>
      <c r="AD97" s="877">
        <f>+'Precios bases'!AD97*5.2%+'Precios bases'!AD97</f>
        <v>25275.351999999999</v>
      </c>
      <c r="AE97" s="877">
        <f>+'Precios bases'!AE97*5.2%+'Precios bases'!AE97</f>
        <v>15990.4</v>
      </c>
      <c r="AF97" s="878">
        <f>+'Precios bases'!AF97*5.2%+'Precios bases'!AF97</f>
        <v>37693.160000000003</v>
      </c>
      <c r="AG97" s="80">
        <f>+'Precios bases'!AG97*5.2%+'Precios bases'!AG97</f>
        <v>27168.952000000001</v>
      </c>
      <c r="AH97" s="80">
        <f>+'Precios bases'!AH97*5.2%+'Precios bases'!AH97</f>
        <v>15990.4</v>
      </c>
      <c r="AI97" s="86">
        <f>+'Precios bases'!AI97*5.2%+'Precios bases'!AI97</f>
        <v>40323.160000000003</v>
      </c>
      <c r="AL97" s="3" t="s">
        <v>380</v>
      </c>
      <c r="AM97" s="3"/>
      <c r="AN97" s="80">
        <f>+H97-E97</f>
        <v>526</v>
      </c>
      <c r="AO97" s="80">
        <f>+K97-H97</f>
        <v>526</v>
      </c>
      <c r="AP97" s="80">
        <f>+N97-K97</f>
        <v>526</v>
      </c>
      <c r="AQ97" s="80">
        <f>+Q97-N97</f>
        <v>1052</v>
      </c>
      <c r="AR97" s="80">
        <f t="shared" ref="AR97:AR99" si="83">+T97-Q97</f>
        <v>1578</v>
      </c>
      <c r="AS97" s="80">
        <f t="shared" ref="AS97:AS99" si="84">+W97-T97</f>
        <v>3682</v>
      </c>
      <c r="AT97" s="80">
        <f t="shared" ref="AT97:AT99" si="85">+Z97-W97</f>
        <v>3156</v>
      </c>
      <c r="AU97" s="80">
        <f t="shared" ref="AU97:AU99" si="86">+AC97-Z97</f>
        <v>2630.0000000000036</v>
      </c>
      <c r="AV97" s="80">
        <f t="shared" ref="AV97:AV99" si="87">+AF97-AC97</f>
        <v>2630</v>
      </c>
      <c r="AW97" s="80">
        <f t="shared" ref="AW97:AW99" si="88">+AI97-AF97</f>
        <v>2630</v>
      </c>
      <c r="AX97" s="88"/>
      <c r="AY97" s="88"/>
      <c r="AZ97" s="88"/>
      <c r="BA97" s="88"/>
      <c r="BB97" s="88"/>
      <c r="BC97" s="88"/>
      <c r="BD97" s="88"/>
      <c r="BE97" s="88"/>
      <c r="BF97" s="88"/>
      <c r="BG97" s="88"/>
      <c r="BH97" s="88"/>
    </row>
    <row r="98" spans="1:60">
      <c r="A98" s="440">
        <v>10</v>
      </c>
      <c r="B98" s="3" t="s">
        <v>39</v>
      </c>
      <c r="C98" s="80">
        <f>+'Precios bases'!C98*5.2%+'Precios bases'!C98</f>
        <v>13913.752</v>
      </c>
      <c r="D98" s="81">
        <f>+'Precios bases'!D98*5.2%+'Precios bases'!D98</f>
        <v>13893.763999999999</v>
      </c>
      <c r="E98" s="86">
        <f>+'Precios bases'!E98*5.2%+'Precios bases'!E98</f>
        <v>22439.16</v>
      </c>
      <c r="F98" s="80">
        <f>+'Precios bases'!F98*5.2%+'Precios bases'!F98</f>
        <v>14860.552</v>
      </c>
      <c r="G98" s="81">
        <f>+'Precios bases'!G98*5.2%+'Precios bases'!G98</f>
        <v>13893.763999999999</v>
      </c>
      <c r="H98" s="86">
        <f>+'Precios bases'!H98*5.2%+'Precios bases'!H98</f>
        <v>22965.16</v>
      </c>
      <c r="I98" s="80">
        <f>+'Precios bases'!I98*5.2%+'Precios bases'!I98</f>
        <v>15807.352000000001</v>
      </c>
      <c r="J98" s="81">
        <f>+'Precios bases'!J98*5.2%+'Precios bases'!J98</f>
        <v>13893.763999999999</v>
      </c>
      <c r="K98" s="86">
        <f>+'Precios bases'!K98*5.2%+'Precios bases'!K98</f>
        <v>23491.16</v>
      </c>
      <c r="L98" s="80">
        <f>+'Precios bases'!L98*5.2%+'Precios bases'!L98</f>
        <v>16754.152000000002</v>
      </c>
      <c r="M98" s="81">
        <f>+'Precios bases'!M98*5.2%+'Precios bases'!M98</f>
        <v>13998.964</v>
      </c>
      <c r="N98" s="86">
        <f>+'Precios bases'!N98*5.2%+'Precios bases'!N98</f>
        <v>24017.16</v>
      </c>
      <c r="O98" s="80">
        <f>+'Precios bases'!O98*5.2%+'Precios bases'!O98</f>
        <v>17700.952000000001</v>
      </c>
      <c r="P98" s="877">
        <f>+'Precios bases'!P98*5.2%+'Precios bases'!P98</f>
        <v>14168.335999999999</v>
      </c>
      <c r="Q98" s="878">
        <f>+'Precios bases'!Q98*5.2%+'Precios bases'!Q98</f>
        <v>25069.16</v>
      </c>
      <c r="R98" s="877">
        <f>+'Precios bases'!R98*5.2%+'Precios bases'!R98</f>
        <v>19594.552</v>
      </c>
      <c r="S98" s="877">
        <f>+'Precios bases'!S98*5.2%+'Precios bases'!S98</f>
        <v>14838.46</v>
      </c>
      <c r="T98" s="878">
        <f>+'Precios bases'!T98*5.2%+'Precios bases'!T98</f>
        <v>26647.16</v>
      </c>
      <c r="U98" s="877">
        <f>+'Precios bases'!U98*5.2%+'Precios bases'!U98</f>
        <v>21488.152000000002</v>
      </c>
      <c r="V98" s="877">
        <f>+'Precios bases'!V98*5.2%+'Precios bases'!V98</f>
        <v>15990.4</v>
      </c>
      <c r="W98" s="878">
        <f>+'Precios bases'!W98*5.2%+'Precios bases'!W98</f>
        <v>30329.16</v>
      </c>
      <c r="X98" s="877">
        <f>+'Precios bases'!X98*5.2%+'Precios bases'!X98</f>
        <v>23381.752</v>
      </c>
      <c r="Y98" s="877">
        <f>+'Precios bases'!Y98*5.2%+'Precios bases'!Y98</f>
        <v>15990.4</v>
      </c>
      <c r="Z98" s="878">
        <f>+'Precios bases'!Z98*5.2%+'Precios bases'!Z98</f>
        <v>34537.160000000003</v>
      </c>
      <c r="AA98" s="877">
        <f>+'Precios bases'!AA98*5.2%+'Precios bases'!AA98</f>
        <v>25275.351999999999</v>
      </c>
      <c r="AB98" s="877">
        <f>+'Precios bases'!AB98*5.2%+'Precios bases'!AB98</f>
        <v>15990.4</v>
      </c>
      <c r="AC98" s="878">
        <f>+'Precios bases'!AC98*5.2%+'Precios bases'!AC98</f>
        <v>37167.160000000003</v>
      </c>
      <c r="AD98" s="877">
        <f>+'Precios bases'!AD98*5.2%+'Precios bases'!AD98</f>
        <v>27168.952000000001</v>
      </c>
      <c r="AE98" s="877">
        <f>+'Precios bases'!AE98*5.2%+'Precios bases'!AE98</f>
        <v>15990.4</v>
      </c>
      <c r="AF98" s="878">
        <f>+'Precios bases'!AF98*5.2%+'Precios bases'!AF98</f>
        <v>39797.160000000003</v>
      </c>
      <c r="AG98" s="80">
        <f>+'Precios bases'!AG98*5.2%+'Precios bases'!AG98</f>
        <v>29062.552</v>
      </c>
      <c r="AH98" s="80">
        <f>+'Precios bases'!AH98*5.2%+'Precios bases'!AH98</f>
        <v>15990.4</v>
      </c>
      <c r="AI98" s="86">
        <f>+'Precios bases'!AI98*5.2%+'Precios bases'!AI98</f>
        <v>42427.16</v>
      </c>
      <c r="AL98" s="3" t="s">
        <v>39</v>
      </c>
      <c r="AM98" s="3"/>
      <c r="AN98" s="80">
        <f t="shared" ref="AN98:AN99" si="89">+H98-E98</f>
        <v>526</v>
      </c>
      <c r="AO98" s="80">
        <f t="shared" ref="AO98:AO99" si="90">+K98-H98</f>
        <v>526</v>
      </c>
      <c r="AP98" s="80">
        <f t="shared" ref="AP98:AP99" si="91">+N98-K98</f>
        <v>526</v>
      </c>
      <c r="AQ98" s="80">
        <f t="shared" ref="AQ98:AQ99" si="92">+Q98-N98</f>
        <v>1052</v>
      </c>
      <c r="AR98" s="80">
        <f t="shared" si="83"/>
        <v>1578</v>
      </c>
      <c r="AS98" s="80">
        <f t="shared" si="84"/>
        <v>3682</v>
      </c>
      <c r="AT98" s="80">
        <f t="shared" si="85"/>
        <v>4208.0000000000036</v>
      </c>
      <c r="AU98" s="80">
        <f t="shared" si="86"/>
        <v>2630</v>
      </c>
      <c r="AV98" s="80">
        <f t="shared" si="87"/>
        <v>2630</v>
      </c>
      <c r="AW98" s="80">
        <f t="shared" si="88"/>
        <v>2630</v>
      </c>
      <c r="AX98" s="88">
        <f>+E98-E97</f>
        <v>1052</v>
      </c>
      <c r="AY98" s="88">
        <f>+H98-H97</f>
        <v>1052</v>
      </c>
      <c r="AZ98" s="88">
        <f>+K98-K97</f>
        <v>1052</v>
      </c>
      <c r="BA98" s="88">
        <f>+N98-N97</f>
        <v>1052</v>
      </c>
      <c r="BB98" s="88">
        <f>+Q98-Q97</f>
        <v>1052</v>
      </c>
      <c r="BC98" s="88">
        <f>+T98-T97</f>
        <v>1052</v>
      </c>
      <c r="BD98" s="88">
        <f>+W98-W97</f>
        <v>1052</v>
      </c>
      <c r="BE98" s="88">
        <f t="shared" ref="BE98:BE99" si="93">+Z98-Z97</f>
        <v>2104.0000000000036</v>
      </c>
      <c r="BF98" s="88">
        <f t="shared" ref="BF98:BF99" si="94">+AC98-AC97</f>
        <v>2104</v>
      </c>
      <c r="BG98" s="88">
        <f t="shared" ref="BG98:BG99" si="95">+AF98-AF97</f>
        <v>2104</v>
      </c>
      <c r="BH98" s="88">
        <f t="shared" ref="BH98:BH99" si="96">+AI98-AI97</f>
        <v>2104</v>
      </c>
    </row>
    <row r="99" spans="1:60">
      <c r="A99" s="440">
        <v>15</v>
      </c>
      <c r="B99" s="5" t="s">
        <v>534</v>
      </c>
      <c r="C99" s="84">
        <f>+'Precios bases'!C99*5.2%+'Precios bases'!C99</f>
        <v>15807.352000000001</v>
      </c>
      <c r="D99" s="84">
        <f>+'Precios bases'!D99*5.2%+'Precios bases'!D99</f>
        <v>13893.763999999999</v>
      </c>
      <c r="E99" s="86">
        <f>+'Precios bases'!E99*5.2%+'Precios bases'!E99</f>
        <v>24017.16</v>
      </c>
      <c r="F99" s="84">
        <f>+'Precios bases'!F99*5.2%+'Precios bases'!F99</f>
        <v>16754.152000000002</v>
      </c>
      <c r="G99" s="84">
        <f>+'Precios bases'!G99*5.2%+'Precios bases'!G99</f>
        <v>13893.763999999999</v>
      </c>
      <c r="H99" s="86">
        <f>+'Precios bases'!H99*5.2%+'Precios bases'!H99</f>
        <v>24543.16</v>
      </c>
      <c r="I99" s="84">
        <f>+'Precios bases'!I99*5.2%+'Precios bases'!I99</f>
        <v>17700.952000000001</v>
      </c>
      <c r="J99" s="84">
        <f>+'Precios bases'!J99*5.2%+'Precios bases'!J99</f>
        <v>13893.763999999999</v>
      </c>
      <c r="K99" s="86">
        <f>+'Precios bases'!K99*5.2%+'Precios bases'!K99</f>
        <v>25069.16</v>
      </c>
      <c r="L99" s="84">
        <f>+'Precios bases'!L99*5.2%+'Precios bases'!L99</f>
        <v>18647.752</v>
      </c>
      <c r="M99" s="84">
        <f>+'Precios bases'!M99*5.2%+'Precios bases'!M99</f>
        <v>13998.964</v>
      </c>
      <c r="N99" s="86">
        <f>+'Precios bases'!N99*5.2%+'Precios bases'!N99</f>
        <v>25595.16</v>
      </c>
      <c r="O99" s="84">
        <f>+'Precios bases'!O99*5.2%+'Precios bases'!O99</f>
        <v>19594.552</v>
      </c>
      <c r="P99" s="879">
        <f>+'Precios bases'!P99*5.2%+'Precios bases'!P99</f>
        <v>14168.335999999999</v>
      </c>
      <c r="Q99" s="878">
        <f>+'Precios bases'!Q99*5.2%+'Precios bases'!Q99</f>
        <v>26647.16</v>
      </c>
      <c r="R99" s="879">
        <f>+'Precios bases'!R99*5.2%+'Precios bases'!R99</f>
        <v>21488.152000000002</v>
      </c>
      <c r="S99" s="879">
        <f>+'Precios bases'!S99*5.2%+'Precios bases'!S99</f>
        <v>14838.46</v>
      </c>
      <c r="T99" s="878">
        <f>+'Precios bases'!T99*5.2%+'Precios bases'!T99</f>
        <v>28225.16</v>
      </c>
      <c r="U99" s="879">
        <f>+'Precios bases'!U99*5.2%+'Precios bases'!U99</f>
        <v>23381.752</v>
      </c>
      <c r="V99" s="879">
        <f>+'Precios bases'!V99*5.2%+'Precios bases'!V99</f>
        <v>15990.4</v>
      </c>
      <c r="W99" s="878">
        <f>+'Precios bases'!W99*5.2%+'Precios bases'!W99</f>
        <v>31907.16</v>
      </c>
      <c r="X99" s="879">
        <f>+'Precios bases'!X99*5.2%+'Precios bases'!X99</f>
        <v>25275.351999999999</v>
      </c>
      <c r="Y99" s="879">
        <f>+'Precios bases'!Y99*5.2%+'Precios bases'!Y99</f>
        <v>15990.4</v>
      </c>
      <c r="Z99" s="878">
        <f>+'Precios bases'!Z99*5.2%+'Precios bases'!Z99</f>
        <v>36641.160000000003</v>
      </c>
      <c r="AA99" s="879">
        <f>+'Precios bases'!AA99*5.2%+'Precios bases'!AA99</f>
        <v>27168.952000000001</v>
      </c>
      <c r="AB99" s="879">
        <f>+'Precios bases'!AB99*5.2%+'Precios bases'!AB99</f>
        <v>15990.4</v>
      </c>
      <c r="AC99" s="878">
        <f>+'Precios bases'!AC99*5.2%+'Precios bases'!AC99</f>
        <v>39271.160000000003</v>
      </c>
      <c r="AD99" s="879">
        <f>+'Precios bases'!AD99*5.2%+'Precios bases'!AD99</f>
        <v>29062.552</v>
      </c>
      <c r="AE99" s="879">
        <f>+'Precios bases'!AE99*5.2%+'Precios bases'!AE99</f>
        <v>15990.4</v>
      </c>
      <c r="AF99" s="878">
        <f>+'Precios bases'!AF99*5.2%+'Precios bases'!AF99</f>
        <v>41901.160000000003</v>
      </c>
      <c r="AG99" s="84">
        <f>+'Precios bases'!AG99*5.2%+'Precios bases'!AG99</f>
        <v>30956.152000000002</v>
      </c>
      <c r="AH99" s="84">
        <f>+'Precios bases'!AH99*5.2%+'Precios bases'!AH99</f>
        <v>15990.4</v>
      </c>
      <c r="AI99" s="86">
        <f>+'Precios bases'!AI99*5.2%+'Precios bases'!AI99</f>
        <v>44531.16</v>
      </c>
      <c r="AL99" s="5" t="s">
        <v>381</v>
      </c>
      <c r="AM99" s="3"/>
      <c r="AN99" s="80">
        <f t="shared" si="89"/>
        <v>526</v>
      </c>
      <c r="AO99" s="80">
        <f t="shared" si="90"/>
        <v>526</v>
      </c>
      <c r="AP99" s="80">
        <f t="shared" si="91"/>
        <v>526</v>
      </c>
      <c r="AQ99" s="80">
        <f t="shared" si="92"/>
        <v>1052</v>
      </c>
      <c r="AR99" s="80">
        <f t="shared" si="83"/>
        <v>1578</v>
      </c>
      <c r="AS99" s="80">
        <f t="shared" si="84"/>
        <v>3682</v>
      </c>
      <c r="AT99" s="80">
        <f t="shared" si="85"/>
        <v>4734.0000000000036</v>
      </c>
      <c r="AU99" s="80">
        <f t="shared" si="86"/>
        <v>2630</v>
      </c>
      <c r="AV99" s="80">
        <f t="shared" si="87"/>
        <v>2630</v>
      </c>
      <c r="AW99" s="80">
        <f t="shared" si="88"/>
        <v>2630</v>
      </c>
      <c r="AX99" s="88">
        <f t="shared" ref="AX99" si="97">+E99-E98</f>
        <v>1578</v>
      </c>
      <c r="AY99" s="88">
        <f t="shared" ref="AY99" si="98">+H99-H98</f>
        <v>1578</v>
      </c>
      <c r="AZ99" s="88">
        <f t="shared" ref="AZ99" si="99">+K99-K98</f>
        <v>1578</v>
      </c>
      <c r="BA99" s="88">
        <f t="shared" ref="BA99" si="100">+N99-N98</f>
        <v>1578</v>
      </c>
      <c r="BB99" s="88">
        <f t="shared" ref="BB99" si="101">+Q99-Q98</f>
        <v>1578</v>
      </c>
      <c r="BC99" s="88">
        <f t="shared" ref="BC99" si="102">+T99-T98</f>
        <v>1578</v>
      </c>
      <c r="BD99" s="88">
        <f t="shared" ref="BD99" si="103">+W99-W98</f>
        <v>1578</v>
      </c>
      <c r="BE99" s="88">
        <f t="shared" si="93"/>
        <v>2104</v>
      </c>
      <c r="BF99" s="88">
        <f t="shared" si="94"/>
        <v>2104</v>
      </c>
      <c r="BG99" s="88">
        <f t="shared" si="95"/>
        <v>2104</v>
      </c>
      <c r="BH99" s="88">
        <f t="shared" si="96"/>
        <v>2104</v>
      </c>
    </row>
    <row r="100" spans="1:60">
      <c r="A100" s="440">
        <v>20</v>
      </c>
      <c r="B100" s="5" t="s">
        <v>535</v>
      </c>
      <c r="C100" s="84">
        <f>+'Precios bases'!C100*5.2%+'Precios bases'!C100</f>
        <v>17700.952000000001</v>
      </c>
      <c r="D100" s="84">
        <f>+'Precios bases'!D100*5.2%+'Precios bases'!D100</f>
        <v>13893.763999999999</v>
      </c>
      <c r="E100" s="86">
        <f>+'Precios bases'!E100*5.2%+'Precios bases'!E100</f>
        <v>26121.16</v>
      </c>
      <c r="F100" s="84">
        <f>+'Precios bases'!F100*5.2%+'Precios bases'!F100</f>
        <v>18647.752</v>
      </c>
      <c r="G100" s="84">
        <f>+'Precios bases'!G100*5.2%+'Precios bases'!G100</f>
        <v>13893.763999999999</v>
      </c>
      <c r="H100" s="86">
        <f>+'Precios bases'!H100*5.2%+'Precios bases'!H100</f>
        <v>26647.16</v>
      </c>
      <c r="I100" s="84">
        <f>+'Precios bases'!I100*5.2%+'Precios bases'!I100</f>
        <v>19594.552</v>
      </c>
      <c r="J100">
        <f>+'Precios bases'!J100*5.2%+'Precios bases'!J100</f>
        <v>0</v>
      </c>
      <c r="K100" s="86">
        <f>+'Precios bases'!K100*5.2%+'Precios bases'!K100</f>
        <v>27173.16</v>
      </c>
      <c r="L100" s="84">
        <f>+'Precios bases'!L100*5.2%+'Precios bases'!L100</f>
        <v>20541.351999999999</v>
      </c>
      <c r="M100" s="84">
        <f>+'Precios bases'!M100*5.2%+'Precios bases'!M100</f>
        <v>13998.964</v>
      </c>
      <c r="N100" s="86">
        <f>+'Precios bases'!N100*5.2%+'Precios bases'!N100</f>
        <v>27699.16</v>
      </c>
      <c r="O100" s="84">
        <f>+'Precios bases'!O100*5.2%+'Precios bases'!O100</f>
        <v>21488.152000000002</v>
      </c>
      <c r="P100" s="879">
        <f>+'Precios bases'!P100*5.2%+'Precios bases'!P100</f>
        <v>14168.335999999999</v>
      </c>
      <c r="Q100" s="878">
        <f>+'Precios bases'!Q100*5.2%+'Precios bases'!Q100</f>
        <v>28751.16</v>
      </c>
      <c r="R100" s="879">
        <f>+'Precios bases'!R100*5.2%+'Precios bases'!R100</f>
        <v>23381.752</v>
      </c>
      <c r="S100" s="879">
        <f>+'Precios bases'!S100*5.2%+'Precios bases'!S100</f>
        <v>14838.46</v>
      </c>
      <c r="T100" s="878">
        <f>+'Precios bases'!T100*5.2%+'Precios bases'!T100</f>
        <v>30329.16</v>
      </c>
      <c r="U100" s="879">
        <f>+'Precios bases'!U100*5.2%+'Precios bases'!U100</f>
        <v>25275.351999999999</v>
      </c>
      <c r="V100" s="879">
        <f>+'Precios bases'!V100*5.2%+'Precios bases'!V100</f>
        <v>15990.4</v>
      </c>
      <c r="W100" s="878">
        <f>+'Precios bases'!W100*5.2%+'Precios bases'!W100</f>
        <v>34011.160000000003</v>
      </c>
      <c r="X100" s="879">
        <f>+'Precios bases'!X100*5.2%+'Precios bases'!X100</f>
        <v>27168.952000000001</v>
      </c>
      <c r="Y100" s="879">
        <f>+'Precios bases'!Y100*5.2%+'Precios bases'!Y100</f>
        <v>15990.4</v>
      </c>
      <c r="Z100" s="878">
        <f>+'Precios bases'!Z100*5.2%+'Precios bases'!Z100</f>
        <v>38745.160000000003</v>
      </c>
      <c r="AA100" s="879">
        <f>+'Precios bases'!AA100*5.2%+'Precios bases'!AA100</f>
        <v>29062.552</v>
      </c>
      <c r="AB100" s="879">
        <f>+'Precios bases'!AB100*5.2%+'Precios bases'!AB100</f>
        <v>15990.4</v>
      </c>
      <c r="AC100" s="878">
        <f>+'Precios bases'!AC100*5.2%+'Precios bases'!AC100</f>
        <v>41375.160000000003</v>
      </c>
      <c r="AD100" s="879">
        <f>+'Precios bases'!AD100*5.2%+'Precios bases'!AD100</f>
        <v>30956.152000000002</v>
      </c>
      <c r="AE100" s="879">
        <f>+'Precios bases'!AE100*5.2%+'Precios bases'!AE100</f>
        <v>15990.4</v>
      </c>
      <c r="AF100" s="878">
        <f>+'Precios bases'!AF100*5.2%+'Precios bases'!AF100</f>
        <v>44005.16</v>
      </c>
      <c r="AG100" s="84">
        <f>+'Precios bases'!AG100*5.2%+'Precios bases'!AG100</f>
        <v>32849.752</v>
      </c>
      <c r="AH100" s="84">
        <f>+'Precios bases'!AH100*5.2%+'Precios bases'!AH100</f>
        <v>15990.4</v>
      </c>
      <c r="AI100" s="86">
        <f>+'Precios bases'!AI100*5.2%+'Precios bases'!AI100</f>
        <v>46635.16</v>
      </c>
      <c r="AL100" s="5"/>
      <c r="AM100" s="3"/>
      <c r="AN100" s="80"/>
      <c r="AO100" s="80"/>
      <c r="AP100" s="80"/>
      <c r="AQ100" s="80"/>
      <c r="AR100" s="80"/>
      <c r="AS100" s="80"/>
      <c r="AT100" s="80"/>
      <c r="AU100" s="80"/>
      <c r="AV100" s="80"/>
      <c r="AW100" s="80"/>
      <c r="AX100" s="88"/>
      <c r="AY100" s="88"/>
      <c r="AZ100" s="88"/>
      <c r="BA100" s="88"/>
      <c r="BB100" s="88"/>
      <c r="BC100" s="88"/>
      <c r="BD100" s="88"/>
      <c r="BE100" s="88"/>
      <c r="BF100" s="88"/>
      <c r="BG100" s="88"/>
      <c r="BH100" s="88"/>
    </row>
    <row r="101" spans="1:60">
      <c r="A101" s="440">
        <v>30</v>
      </c>
      <c r="B101" s="5" t="s">
        <v>382</v>
      </c>
      <c r="C101" s="84">
        <f>+'Precios bases'!C101*5.2%+'Precios bases'!C101</f>
        <v>19594.552</v>
      </c>
      <c r="D101" s="84">
        <f>+'Precios bases'!D101*5.2%+'Precios bases'!D101</f>
        <v>13893.763999999999</v>
      </c>
      <c r="E101" s="86">
        <f>+'Precios bases'!E101*5.2%+'Precios bases'!E101</f>
        <v>28751.16</v>
      </c>
      <c r="F101" s="84">
        <f>+'Precios bases'!F101*5.2%+'Precios bases'!F101</f>
        <v>20541.351999999999</v>
      </c>
      <c r="G101" s="84">
        <f>+'Precios bases'!G101*5.2%+'Precios bases'!G101</f>
        <v>13893.763999999999</v>
      </c>
      <c r="H101" s="86">
        <f>+'Precios bases'!H101*5.2%+'Precios bases'!H101</f>
        <v>29277.16</v>
      </c>
      <c r="I101" s="84">
        <f>+'Precios bases'!I101*5.2%+'Precios bases'!I101</f>
        <v>21488.152000000002</v>
      </c>
      <c r="J101" s="650">
        <f>+'Precios bases'!J101*5.2%+'Precios bases'!J101</f>
        <v>2.0886583333333331</v>
      </c>
      <c r="K101" s="86">
        <f>+'Precios bases'!K101*5.2%+'Precios bases'!K101</f>
        <v>29803.16</v>
      </c>
      <c r="L101" s="84">
        <f>+'Precios bases'!L101*5.2%+'Precios bases'!L101</f>
        <v>22434.952000000001</v>
      </c>
      <c r="M101" s="84">
        <f>+'Precios bases'!M101*5.2%+'Precios bases'!M101</f>
        <v>13998.964</v>
      </c>
      <c r="N101" s="86">
        <f>+'Precios bases'!N101*5.2%+'Precios bases'!N101</f>
        <v>30329.16</v>
      </c>
      <c r="O101" s="84">
        <f>+'Precios bases'!O101*5.2%+'Precios bases'!O101</f>
        <v>23381.752</v>
      </c>
      <c r="P101" s="879">
        <f>+'Precios bases'!P101*5.2%+'Precios bases'!P101</f>
        <v>14168.335999999999</v>
      </c>
      <c r="Q101" s="878">
        <f>+'Precios bases'!Q101*5.2%+'Precios bases'!Q101</f>
        <v>31381.16</v>
      </c>
      <c r="R101" s="879">
        <f>+'Precios bases'!R101*5.2%+'Precios bases'!R101</f>
        <v>25275.351999999999</v>
      </c>
      <c r="S101" s="879">
        <f>+'Precios bases'!S101*5.2%+'Precios bases'!S101</f>
        <v>14838.46</v>
      </c>
      <c r="T101" s="878">
        <f>+'Precios bases'!T101*5.2%+'Precios bases'!T101</f>
        <v>32959.160000000003</v>
      </c>
      <c r="U101" s="879">
        <f>+'Precios bases'!U101*5.2%+'Precios bases'!U101</f>
        <v>27168.952000000001</v>
      </c>
      <c r="V101" s="879">
        <f>+'Precios bases'!V101*5.2%+'Precios bases'!V101</f>
        <v>15990.4</v>
      </c>
      <c r="W101" s="878">
        <f>+'Precios bases'!W101*5.2%+'Precios bases'!W101</f>
        <v>36641.160000000003</v>
      </c>
      <c r="X101" s="879">
        <f>+'Precios bases'!X101*5.2%+'Precios bases'!X101</f>
        <v>29062.552</v>
      </c>
      <c r="Y101" s="879">
        <f>+'Precios bases'!Y101*5.2%+'Precios bases'!Y101</f>
        <v>15990.4</v>
      </c>
      <c r="Z101" s="878">
        <f>+'Precios bases'!Z101*5.2%+'Precios bases'!Z101</f>
        <v>38745.160000000003</v>
      </c>
      <c r="AA101" s="879">
        <f>+'Precios bases'!AA101*5.2%+'Precios bases'!AA101</f>
        <v>30956.152000000002</v>
      </c>
      <c r="AB101" s="879">
        <f>+'Precios bases'!AB101*5.2%+'Precios bases'!AB101</f>
        <v>15990.4</v>
      </c>
      <c r="AC101" s="878">
        <f>+'Precios bases'!AC101*5.2%+'Precios bases'!AC101</f>
        <v>41375.160000000003</v>
      </c>
      <c r="AD101" s="879">
        <f>+'Precios bases'!AD101*5.2%+'Precios bases'!AD101</f>
        <v>32849.752</v>
      </c>
      <c r="AE101" s="879">
        <f>+'Precios bases'!AE101*5.2%+'Precios bases'!AE101</f>
        <v>15990.4</v>
      </c>
      <c r="AF101" s="878">
        <f>+'Precios bases'!AF101*5.2%+'Precios bases'!AF101</f>
        <v>44005.16</v>
      </c>
      <c r="AG101" s="84">
        <f>+'Precios bases'!AG101*5.2%+'Precios bases'!AG101</f>
        <v>34743.351999999999</v>
      </c>
      <c r="AH101" s="84">
        <f>+'Precios bases'!AH101*5.2%+'Precios bases'!AH101</f>
        <v>15990.4</v>
      </c>
      <c r="AI101" s="86">
        <f>+'Precios bases'!AI101*5.2%+'Precios bases'!AI101</f>
        <v>46635.16</v>
      </c>
      <c r="AL101" s="5" t="s">
        <v>382</v>
      </c>
      <c r="AM101" s="3"/>
      <c r="AN101" s="80">
        <f t="shared" ref="AN101:AN104" si="104">+H101-E101</f>
        <v>526</v>
      </c>
      <c r="AO101" s="80">
        <f t="shared" ref="AO101:AO104" si="105">+K101-H101</f>
        <v>526</v>
      </c>
      <c r="AP101" s="80">
        <f t="shared" ref="AP101:AP104" si="106">+N101-K101</f>
        <v>526</v>
      </c>
      <c r="AQ101" s="80">
        <f t="shared" ref="AQ101:AQ104" si="107">+Q101-N101</f>
        <v>1052</v>
      </c>
      <c r="AR101" s="80">
        <f t="shared" ref="AR101:AR104" si="108">+T101-Q101</f>
        <v>1578.0000000000036</v>
      </c>
      <c r="AS101" s="80">
        <f t="shared" ref="AS101:AS104" si="109">+W101-T101</f>
        <v>3682</v>
      </c>
      <c r="AT101" s="80">
        <f t="shared" ref="AT101:AT104" si="110">+Z101-W101</f>
        <v>2104</v>
      </c>
      <c r="AU101" s="80">
        <f t="shared" ref="AU101:AU104" si="111">+AC101-Z101</f>
        <v>2630</v>
      </c>
      <c r="AV101" s="80">
        <f t="shared" ref="AV101:AV104" si="112">+AF101-AC101</f>
        <v>2630</v>
      </c>
      <c r="AW101" s="80">
        <f t="shared" ref="AW101:AW104" si="113">+AI101-AF101</f>
        <v>2630</v>
      </c>
      <c r="AX101" s="88">
        <f>+E101-E99</f>
        <v>4734</v>
      </c>
      <c r="AY101" s="88">
        <f>+H101-H99</f>
        <v>4734</v>
      </c>
      <c r="AZ101" s="88">
        <f>+K101-K99</f>
        <v>4734</v>
      </c>
      <c r="BA101" s="88">
        <f>+N101-N99</f>
        <v>4734</v>
      </c>
      <c r="BB101" s="88">
        <f>+Q101-Q99</f>
        <v>4734</v>
      </c>
      <c r="BC101" s="88">
        <f>+T101-T99</f>
        <v>4734.0000000000036</v>
      </c>
      <c r="BD101" s="88">
        <f>+W101-W99</f>
        <v>4734.0000000000036</v>
      </c>
      <c r="BE101" s="88">
        <f>+Z101-Z99</f>
        <v>2104</v>
      </c>
      <c r="BF101" s="88">
        <f>+AC101-AC99</f>
        <v>2104</v>
      </c>
      <c r="BG101" s="88">
        <f>+AF101-AF99</f>
        <v>2104</v>
      </c>
      <c r="BH101" s="88">
        <f>+AI101-AI99</f>
        <v>2104</v>
      </c>
    </row>
    <row r="102" spans="1:60" s="643" customFormat="1">
      <c r="A102" s="643">
        <v>40</v>
      </c>
      <c r="B102" s="644" t="s">
        <v>383</v>
      </c>
      <c r="C102" s="646">
        <f>+'Precios bases'!C102*5.2%+'Precios bases'!C102</f>
        <v>21488.152000000002</v>
      </c>
      <c r="D102" s="646">
        <f>+'Precios bases'!D102*5.2%+'Precios bases'!D102</f>
        <v>13893.763999999999</v>
      </c>
      <c r="E102" s="647">
        <f>+'Precios bases'!E102*5.2%+'Precios bases'!E102</f>
        <v>31907.16</v>
      </c>
      <c r="F102" s="646">
        <f>+'Precios bases'!F102*5.2%+'Precios bases'!F102</f>
        <v>22434.952000000001</v>
      </c>
      <c r="G102" s="646">
        <f>+'Precios bases'!G102*5.2%+'Precios bases'!G102</f>
        <v>13893.763999999999</v>
      </c>
      <c r="H102" s="647">
        <f>+'Precios bases'!H102*5.2%+'Precios bases'!H102</f>
        <v>32433.16</v>
      </c>
      <c r="I102" s="646">
        <f>+'Precios bases'!I102*5.2%+'Precios bases'!I102</f>
        <v>23381.752</v>
      </c>
      <c r="J102" s="646">
        <f>+'Precios bases'!J102*5.2%+'Precios bases'!J102</f>
        <v>13893.763999999999</v>
      </c>
      <c r="K102" s="647">
        <f>+'Precios bases'!K102*5.2%+'Precios bases'!K102</f>
        <v>32959.160000000003</v>
      </c>
      <c r="L102" s="646">
        <f>+'Precios bases'!L102*5.2%+'Precios bases'!L102</f>
        <v>24328.552</v>
      </c>
      <c r="M102" s="646">
        <f>+'Precios bases'!M102*5.2%+'Precios bases'!M102</f>
        <v>13998.964</v>
      </c>
      <c r="N102" s="647">
        <f>+'Precios bases'!N102*5.2%+'Precios bases'!N102</f>
        <v>33485.160000000003</v>
      </c>
      <c r="O102" s="646">
        <f>+'Precios bases'!O102*5.2%+'Precios bases'!O102</f>
        <v>25275.351999999999</v>
      </c>
      <c r="P102" s="901">
        <f>+'Precios bases'!P102*5.2%+'Precios bases'!P102</f>
        <v>14168.335999999999</v>
      </c>
      <c r="Q102" s="902">
        <f>+'Precios bases'!Q102*5.2%+'Precios bases'!Q102</f>
        <v>34537.160000000003</v>
      </c>
      <c r="R102" s="901">
        <f>+'Precios bases'!R102*5.2%+'Precios bases'!R102</f>
        <v>27168.952000000001</v>
      </c>
      <c r="S102" s="901">
        <f>+'Precios bases'!S102*5.2%+'Precios bases'!S102</f>
        <v>14838.46</v>
      </c>
      <c r="T102" s="902">
        <f>+'Precios bases'!T102*5.2%+'Precios bases'!T102</f>
        <v>36115.160000000003</v>
      </c>
      <c r="U102" s="901">
        <f>+'Precios bases'!U102*5.2%+'Precios bases'!U102</f>
        <v>29062.552</v>
      </c>
      <c r="V102" s="901">
        <f>+'Precios bases'!V102*5.2%+'Precios bases'!V102</f>
        <v>15990.4</v>
      </c>
      <c r="W102" s="902">
        <f>+'Precios bases'!W102*5.2%+'Precios bases'!W102</f>
        <v>39797.160000000003</v>
      </c>
      <c r="X102" s="901">
        <f>+'Precios bases'!X102*5.2%+'Precios bases'!X102</f>
        <v>30956.152000000002</v>
      </c>
      <c r="Y102" s="901">
        <f>+'Precios bases'!Y102*5.2%+'Precios bases'!Y102</f>
        <v>15990.4</v>
      </c>
      <c r="Z102" s="902">
        <f>+'Precios bases'!Z102*5.2%+'Precios bases'!Z102</f>
        <v>40849.160000000003</v>
      </c>
      <c r="AA102" s="901">
        <f>+'Precios bases'!AA102*5.2%+'Precios bases'!AA102</f>
        <v>32849.752</v>
      </c>
      <c r="AB102" s="901">
        <f>+'Precios bases'!AB102*5.2%+'Precios bases'!AB102</f>
        <v>15990.4</v>
      </c>
      <c r="AC102" s="902">
        <f>+'Precios bases'!AC102*5.2%+'Precios bases'!AC102</f>
        <v>43479.16</v>
      </c>
      <c r="AD102" s="901">
        <f>+'Precios bases'!AD102*5.2%+'Precios bases'!AD102</f>
        <v>34743.351999999999</v>
      </c>
      <c r="AE102" s="901">
        <f>+'Precios bases'!AE102*5.2%+'Precios bases'!AE102</f>
        <v>15990.4</v>
      </c>
      <c r="AF102" s="902">
        <f>+'Precios bases'!AF102*5.2%+'Precios bases'!AF102</f>
        <v>46109.16</v>
      </c>
      <c r="AG102" s="646">
        <f>+'Precios bases'!AG102*5.2%+'Precios bases'!AG102</f>
        <v>36636.951999999997</v>
      </c>
      <c r="AH102" s="646">
        <f>+'Precios bases'!AH102*5.2%+'Precios bases'!AH102</f>
        <v>15990.4</v>
      </c>
      <c r="AI102" s="647">
        <f>+'Precios bases'!AI102*5.2%+'Precios bases'!AI102</f>
        <v>48739.16</v>
      </c>
      <c r="AL102" s="644" t="s">
        <v>383</v>
      </c>
      <c r="AM102" s="644"/>
      <c r="AN102" s="646">
        <f t="shared" si="104"/>
        <v>526</v>
      </c>
      <c r="AO102" s="646">
        <f t="shared" si="105"/>
        <v>526.00000000000364</v>
      </c>
      <c r="AP102" s="646">
        <f t="shared" si="106"/>
        <v>526</v>
      </c>
      <c r="AQ102" s="646">
        <f t="shared" si="107"/>
        <v>1052</v>
      </c>
      <c r="AR102" s="646">
        <f t="shared" si="108"/>
        <v>1578</v>
      </c>
      <c r="AS102" s="646">
        <f t="shared" si="109"/>
        <v>3682</v>
      </c>
      <c r="AT102" s="646">
        <f t="shared" si="110"/>
        <v>1052</v>
      </c>
      <c r="AU102" s="646">
        <f t="shared" si="111"/>
        <v>2630</v>
      </c>
      <c r="AV102" s="646">
        <f t="shared" si="112"/>
        <v>2630</v>
      </c>
      <c r="AW102" s="646">
        <f t="shared" si="113"/>
        <v>2630</v>
      </c>
      <c r="AX102" s="648">
        <f t="shared" ref="AX102:AX104" si="114">+E102-E101</f>
        <v>3156</v>
      </c>
      <c r="AY102" s="648">
        <f t="shared" ref="AY102:AY104" si="115">+H102-H101</f>
        <v>3156</v>
      </c>
      <c r="AZ102" s="648">
        <f t="shared" ref="AZ102:AZ104" si="116">+K102-K101</f>
        <v>3156.0000000000036</v>
      </c>
      <c r="BA102" s="648">
        <f t="shared" ref="BA102:BA104" si="117">+N102-N101</f>
        <v>3156.0000000000036</v>
      </c>
      <c r="BB102" s="648">
        <f t="shared" ref="BB102:BB104" si="118">+Q102-Q101</f>
        <v>3156.0000000000036</v>
      </c>
      <c r="BC102" s="648">
        <f t="shared" ref="BC102:BC104" si="119">+T102-T101</f>
        <v>3156</v>
      </c>
      <c r="BD102" s="648">
        <f t="shared" ref="BD102:BD104" si="120">+W102-W101</f>
        <v>3156</v>
      </c>
      <c r="BE102" s="648">
        <f t="shared" ref="BE102:BE104" si="121">+Z102-Z101</f>
        <v>2104</v>
      </c>
      <c r="BF102" s="648">
        <f t="shared" ref="BF102:BF104" si="122">+AC102-AC101</f>
        <v>2104</v>
      </c>
      <c r="BG102" s="648">
        <f t="shared" ref="BG102:BG104" si="123">+AF102-AF101</f>
        <v>2104</v>
      </c>
      <c r="BH102" s="648">
        <f t="shared" ref="BH102:BH104" si="124">+AI102-AI101</f>
        <v>2104</v>
      </c>
    </row>
    <row r="103" spans="1:60" s="643" customFormat="1">
      <c r="A103" s="643">
        <v>50</v>
      </c>
      <c r="B103" s="644" t="s">
        <v>384</v>
      </c>
      <c r="C103" s="646">
        <f>+'Precios bases'!C103*5.2%+'Precios bases'!C103</f>
        <v>23381.752</v>
      </c>
      <c r="D103" s="646">
        <f>+'Precios bases'!D103*5.2%+'Precios bases'!D103</f>
        <v>13893.763999999999</v>
      </c>
      <c r="E103" s="647">
        <f>+'Precios bases'!E103*5.2%+'Precios bases'!E103</f>
        <v>35063.160000000003</v>
      </c>
      <c r="F103" s="646">
        <f>+'Precios bases'!F103*5.2%+'Precios bases'!F103</f>
        <v>24328.552</v>
      </c>
      <c r="G103" s="646">
        <f>+'Precios bases'!G103*5.2%+'Precios bases'!G103</f>
        <v>13893.763999999999</v>
      </c>
      <c r="H103" s="647">
        <f>+'Precios bases'!H103*5.2%+'Precios bases'!H103</f>
        <v>35589.160000000003</v>
      </c>
      <c r="I103" s="646">
        <f>+'Precios bases'!I103*5.2%+'Precios bases'!I103</f>
        <v>25275.351999999999</v>
      </c>
      <c r="J103" s="646">
        <f>+'Precios bases'!J103*5.2%+'Precios bases'!J103</f>
        <v>13893.763999999999</v>
      </c>
      <c r="K103" s="647">
        <f>+'Precios bases'!K103*5.2%+'Precios bases'!K103</f>
        <v>36115.160000000003</v>
      </c>
      <c r="L103" s="646">
        <f>+'Precios bases'!L103*5.2%+'Precios bases'!L103</f>
        <v>26222.152000000002</v>
      </c>
      <c r="M103" s="646">
        <f>+'Precios bases'!M103*5.2%+'Precios bases'!M103</f>
        <v>13998.964</v>
      </c>
      <c r="N103" s="647">
        <f>+'Precios bases'!N103*5.2%+'Precios bases'!N103</f>
        <v>36641.160000000003</v>
      </c>
      <c r="O103" s="646">
        <f>+'Precios bases'!O103*5.2%+'Precios bases'!O103</f>
        <v>27168.952000000001</v>
      </c>
      <c r="P103" s="901">
        <f>+'Precios bases'!P103*5.2%+'Precios bases'!P103</f>
        <v>14168.335999999999</v>
      </c>
      <c r="Q103" s="902">
        <f>+'Precios bases'!Q103*5.2%+'Precios bases'!Q103</f>
        <v>37693.160000000003</v>
      </c>
      <c r="R103" s="901">
        <f>+'Precios bases'!R103*5.2%+'Precios bases'!R103</f>
        <v>29062.552</v>
      </c>
      <c r="S103" s="901">
        <f>+'Precios bases'!S103*5.2%+'Precios bases'!S103</f>
        <v>14838.46</v>
      </c>
      <c r="T103" s="902">
        <f>+'Precios bases'!T103*5.2%+'Precios bases'!T103</f>
        <v>39271.160000000003</v>
      </c>
      <c r="U103" s="901">
        <f>+'Precios bases'!U103*5.2%+'Precios bases'!U103</f>
        <v>30956.152000000002</v>
      </c>
      <c r="V103" s="901">
        <f>+'Precios bases'!V103*5.2%+'Precios bases'!V103</f>
        <v>15990.4</v>
      </c>
      <c r="W103" s="902">
        <f>+'Precios bases'!W103*5.2%+'Precios bases'!W103</f>
        <v>42953.16</v>
      </c>
      <c r="X103" s="901">
        <f>+'Precios bases'!X103*5.2%+'Precios bases'!X103</f>
        <v>32849.752</v>
      </c>
      <c r="Y103" s="901">
        <f>+'Precios bases'!Y103*5.2%+'Precios bases'!Y103</f>
        <v>15990.4</v>
      </c>
      <c r="Z103" s="902">
        <f>+'Precios bases'!Z103*5.2%+'Precios bases'!Z103</f>
        <v>45057.16</v>
      </c>
      <c r="AA103" s="901">
        <f>+'Precios bases'!AA103*5.2%+'Precios bases'!AA103</f>
        <v>34743.351999999999</v>
      </c>
      <c r="AB103" s="901">
        <f>+'Precios bases'!AB103*5.2%+'Precios bases'!AB103</f>
        <v>15990.4</v>
      </c>
      <c r="AC103" s="902">
        <f>+'Precios bases'!AC103*5.2%+'Precios bases'!AC103</f>
        <v>47687.16</v>
      </c>
      <c r="AD103" s="901">
        <f>+'Precios bases'!AD103*5.2%+'Precios bases'!AD103</f>
        <v>36636.951999999997</v>
      </c>
      <c r="AE103" s="901">
        <f>+'Precios bases'!AE103*5.2%+'Precios bases'!AE103</f>
        <v>15990.4</v>
      </c>
      <c r="AF103" s="902">
        <f>+'Precios bases'!AF103*5.2%+'Precios bases'!AF103</f>
        <v>50317.16</v>
      </c>
      <c r="AG103" s="646">
        <f>+'Precios bases'!AG103*5.2%+'Precios bases'!AG103</f>
        <v>38530.552000000003</v>
      </c>
      <c r="AH103" s="646">
        <f>+'Precios bases'!AH103*5.2%+'Precios bases'!AH103</f>
        <v>15990.4</v>
      </c>
      <c r="AI103" s="647">
        <f>+'Precios bases'!AI103*5.2%+'Precios bases'!AI103</f>
        <v>52947.16</v>
      </c>
      <c r="AL103" s="644" t="s">
        <v>384</v>
      </c>
      <c r="AM103" s="644"/>
      <c r="AN103" s="646">
        <f t="shared" si="104"/>
        <v>526</v>
      </c>
      <c r="AO103" s="646">
        <f t="shared" si="105"/>
        <v>526</v>
      </c>
      <c r="AP103" s="646">
        <f t="shared" si="106"/>
        <v>526</v>
      </c>
      <c r="AQ103" s="646">
        <f t="shared" si="107"/>
        <v>1052</v>
      </c>
      <c r="AR103" s="646">
        <f t="shared" si="108"/>
        <v>1578</v>
      </c>
      <c r="AS103" s="646">
        <f t="shared" si="109"/>
        <v>3682</v>
      </c>
      <c r="AT103" s="646">
        <f t="shared" si="110"/>
        <v>2104</v>
      </c>
      <c r="AU103" s="646">
        <f t="shared" si="111"/>
        <v>2630</v>
      </c>
      <c r="AV103" s="646">
        <f t="shared" si="112"/>
        <v>2630</v>
      </c>
      <c r="AW103" s="646">
        <f t="shared" si="113"/>
        <v>2630</v>
      </c>
      <c r="AX103" s="648">
        <f t="shared" si="114"/>
        <v>3156.0000000000036</v>
      </c>
      <c r="AY103" s="648">
        <f t="shared" si="115"/>
        <v>3156.0000000000036</v>
      </c>
      <c r="AZ103" s="648">
        <f t="shared" si="116"/>
        <v>3156</v>
      </c>
      <c r="BA103" s="648">
        <f t="shared" si="117"/>
        <v>3156</v>
      </c>
      <c r="BB103" s="648">
        <f t="shared" si="118"/>
        <v>3156</v>
      </c>
      <c r="BC103" s="648">
        <f t="shared" si="119"/>
        <v>3156</v>
      </c>
      <c r="BD103" s="648">
        <f t="shared" si="120"/>
        <v>3156</v>
      </c>
      <c r="BE103" s="648">
        <f t="shared" si="121"/>
        <v>4208</v>
      </c>
      <c r="BF103" s="648">
        <f t="shared" si="122"/>
        <v>4208</v>
      </c>
      <c r="BG103" s="648">
        <f t="shared" si="123"/>
        <v>4208</v>
      </c>
      <c r="BH103" s="648">
        <f t="shared" si="124"/>
        <v>4208</v>
      </c>
    </row>
    <row r="104" spans="1:60" s="643" customFormat="1">
      <c r="A104" s="643">
        <v>60</v>
      </c>
      <c r="B104" s="644" t="s">
        <v>385</v>
      </c>
      <c r="C104" s="646">
        <f>+'Precios bases'!C104*5.2%+'Precios bases'!C104</f>
        <v>25275.351999999999</v>
      </c>
      <c r="D104" s="646">
        <f>+'Precios bases'!D104*5.2%+'Precios bases'!D104</f>
        <v>13893.763999999999</v>
      </c>
      <c r="E104" s="647">
        <f>+'Precios bases'!E104*5.2%+'Precios bases'!E104</f>
        <v>40323.160000000003</v>
      </c>
      <c r="F104" s="646">
        <f>+'Precios bases'!F104*5.2%+'Precios bases'!F104</f>
        <v>26222.152000000002</v>
      </c>
      <c r="G104" s="646">
        <f>+'Precios bases'!G104*5.2%+'Precios bases'!G104</f>
        <v>13893.763999999999</v>
      </c>
      <c r="H104" s="647">
        <f>+'Precios bases'!H104*5.2%+'Precios bases'!H104</f>
        <v>40849.160000000003</v>
      </c>
      <c r="I104" s="646">
        <f>+'Precios bases'!I104*5.2%+'Precios bases'!I104</f>
        <v>27168.952000000001</v>
      </c>
      <c r="J104" s="646">
        <f>+'Precios bases'!J104*5.2%+'Precios bases'!J104</f>
        <v>13893.763999999999</v>
      </c>
      <c r="K104" s="647">
        <f>+'Precios bases'!K104*5.2%+'Precios bases'!K104</f>
        <v>41375.160000000003</v>
      </c>
      <c r="L104" s="646">
        <f>+'Precios bases'!L104*5.2%+'Precios bases'!L104</f>
        <v>28115.752</v>
      </c>
      <c r="M104" s="646">
        <f>+'Precios bases'!M104*5.2%+'Precios bases'!M104</f>
        <v>13998.964</v>
      </c>
      <c r="N104" s="647">
        <f>+'Precios bases'!N104*5.2%+'Precios bases'!N104</f>
        <v>41901.160000000003</v>
      </c>
      <c r="O104" s="646">
        <f>+'Precios bases'!O104*5.2%+'Precios bases'!O104</f>
        <v>29062.552</v>
      </c>
      <c r="P104" s="901">
        <f>+'Precios bases'!P104*5.2%+'Precios bases'!P104</f>
        <v>14168.335999999999</v>
      </c>
      <c r="Q104" s="902">
        <f>+'Precios bases'!Q104*5.2%+'Precios bases'!Q104</f>
        <v>42953.16</v>
      </c>
      <c r="R104" s="901">
        <f>+'Precios bases'!R104*5.2%+'Precios bases'!R104</f>
        <v>30956.152000000002</v>
      </c>
      <c r="S104" s="901">
        <f>+'Precios bases'!S104*5.2%+'Precios bases'!S104</f>
        <v>14838.46</v>
      </c>
      <c r="T104" s="902">
        <f>+'Precios bases'!T104*5.2%+'Precios bases'!T104</f>
        <v>44531.16</v>
      </c>
      <c r="U104" s="901">
        <f>+'Precios bases'!U104*5.2%+'Precios bases'!U104</f>
        <v>32849.752</v>
      </c>
      <c r="V104" s="901">
        <f>+'Precios bases'!V104*5.2%+'Precios bases'!V104</f>
        <v>15990.4</v>
      </c>
      <c r="W104" s="902">
        <f>+'Precios bases'!W104*5.2%+'Precios bases'!W104</f>
        <v>48213.16</v>
      </c>
      <c r="X104" s="901">
        <f>+'Precios bases'!X104*5.2%+'Precios bases'!X104</f>
        <v>34743.351999999999</v>
      </c>
      <c r="Y104" s="901">
        <f>+'Precios bases'!Y104*5.2%+'Precios bases'!Y104</f>
        <v>15990.4</v>
      </c>
      <c r="Z104" s="902">
        <f>+'Precios bases'!Z104*5.2%+'Precios bases'!Z104</f>
        <v>49265.16</v>
      </c>
      <c r="AA104" s="901">
        <f>+'Precios bases'!AA104*5.2%+'Precios bases'!AA104</f>
        <v>36636.951999999997</v>
      </c>
      <c r="AB104" s="901">
        <f>+'Precios bases'!AB104*5.2%+'Precios bases'!AB104</f>
        <v>15990.4</v>
      </c>
      <c r="AC104" s="902">
        <f>+'Precios bases'!AC104*5.2%+'Precios bases'!AC104</f>
        <v>51895.16</v>
      </c>
      <c r="AD104" s="901">
        <f>+'Precios bases'!AD104*5.2%+'Precios bases'!AD104</f>
        <v>38530.552000000003</v>
      </c>
      <c r="AE104" s="901">
        <f>+'Precios bases'!AE104*5.2%+'Precios bases'!AE104</f>
        <v>15990.4</v>
      </c>
      <c r="AF104" s="902">
        <f>+'Precios bases'!AF104*5.2%+'Precios bases'!AF104</f>
        <v>54525.16</v>
      </c>
      <c r="AG104" s="646">
        <f>+'Precios bases'!AG104*5.2%+'Precios bases'!AG104</f>
        <v>40424.152000000002</v>
      </c>
      <c r="AH104" s="646">
        <f>+'Precios bases'!AH104*5.2%+'Precios bases'!AH104</f>
        <v>15990.4</v>
      </c>
      <c r="AI104" s="647">
        <f>+'Precios bases'!AI104*5.2%+'Precios bases'!AI104</f>
        <v>57155.16</v>
      </c>
      <c r="AL104" s="644" t="s">
        <v>385</v>
      </c>
      <c r="AM104" s="644"/>
      <c r="AN104" s="646">
        <f t="shared" si="104"/>
        <v>526</v>
      </c>
      <c r="AO104" s="646">
        <f t="shared" si="105"/>
        <v>526</v>
      </c>
      <c r="AP104" s="646">
        <f t="shared" si="106"/>
        <v>526</v>
      </c>
      <c r="AQ104" s="646">
        <f t="shared" si="107"/>
        <v>1052</v>
      </c>
      <c r="AR104" s="646">
        <f t="shared" si="108"/>
        <v>1578</v>
      </c>
      <c r="AS104" s="646">
        <f t="shared" si="109"/>
        <v>3682</v>
      </c>
      <c r="AT104" s="646">
        <f t="shared" si="110"/>
        <v>1052</v>
      </c>
      <c r="AU104" s="646">
        <f t="shared" si="111"/>
        <v>2630</v>
      </c>
      <c r="AV104" s="646">
        <f t="shared" si="112"/>
        <v>2630</v>
      </c>
      <c r="AW104" s="646">
        <f t="shared" si="113"/>
        <v>2630</v>
      </c>
      <c r="AX104" s="648">
        <f t="shared" si="114"/>
        <v>5260</v>
      </c>
      <c r="AY104" s="648">
        <f t="shared" si="115"/>
        <v>5260</v>
      </c>
      <c r="AZ104" s="648">
        <f t="shared" si="116"/>
        <v>5260</v>
      </c>
      <c r="BA104" s="648">
        <f t="shared" si="117"/>
        <v>5260</v>
      </c>
      <c r="BB104" s="648">
        <f t="shared" si="118"/>
        <v>5260</v>
      </c>
      <c r="BC104" s="648">
        <f t="shared" si="119"/>
        <v>5260</v>
      </c>
      <c r="BD104" s="648">
        <f t="shared" si="120"/>
        <v>5260</v>
      </c>
      <c r="BE104" s="648">
        <f t="shared" si="121"/>
        <v>4208</v>
      </c>
      <c r="BF104" s="648">
        <f t="shared" si="122"/>
        <v>4208</v>
      </c>
      <c r="BG104" s="648">
        <f t="shared" si="123"/>
        <v>4208</v>
      </c>
      <c r="BH104" s="648">
        <f t="shared" si="124"/>
        <v>4208</v>
      </c>
    </row>
    <row r="105" spans="1:60" ht="18.75">
      <c r="A105" s="583"/>
      <c r="B105" s="583"/>
      <c r="C105" s="583"/>
      <c r="D105" s="583"/>
      <c r="E105" s="583"/>
      <c r="F105" s="651">
        <v>5</v>
      </c>
      <c r="G105" s="583"/>
      <c r="H105" s="583"/>
      <c r="I105" s="583">
        <v>10</v>
      </c>
      <c r="J105" s="583"/>
      <c r="L105">
        <v>15</v>
      </c>
      <c r="O105">
        <v>20</v>
      </c>
      <c r="R105" s="459">
        <v>30</v>
      </c>
      <c r="U105" s="459">
        <v>40</v>
      </c>
      <c r="X105" s="459">
        <v>50</v>
      </c>
      <c r="AA105" s="459">
        <v>60</v>
      </c>
      <c r="AD105" s="459">
        <v>70</v>
      </c>
      <c r="AG105">
        <v>80</v>
      </c>
    </row>
    <row r="106" spans="1:60" ht="18.75">
      <c r="A106" s="583"/>
      <c r="B106" s="583"/>
      <c r="C106" s="583"/>
      <c r="D106" s="583"/>
      <c r="E106" s="583"/>
      <c r="F106" s="649"/>
      <c r="G106" s="583"/>
      <c r="H106" s="583"/>
      <c r="I106" s="649"/>
      <c r="J106" s="583"/>
    </row>
    <row r="107" spans="1:60" ht="28.5">
      <c r="A107" s="1364" t="s">
        <v>1395</v>
      </c>
      <c r="B107" s="1364"/>
      <c r="C107" s="1364"/>
      <c r="D107" s="1364"/>
      <c r="E107" s="1364"/>
      <c r="F107" s="1364"/>
      <c r="G107" s="1364"/>
      <c r="H107" s="1364"/>
      <c r="I107" s="1364"/>
      <c r="J107" s="1364"/>
      <c r="K107" s="1364"/>
      <c r="L107" s="1364"/>
      <c r="M107" s="1364"/>
    </row>
    <row r="108" spans="1:60" ht="28.5">
      <c r="B108" s="641"/>
      <c r="C108" s="641"/>
      <c r="D108" s="641"/>
      <c r="E108" s="641"/>
      <c r="F108" s="641"/>
      <c r="G108" s="641"/>
      <c r="H108" s="641"/>
      <c r="I108" s="641"/>
      <c r="J108" s="641"/>
      <c r="K108" s="641"/>
      <c r="L108" s="641"/>
      <c r="M108" s="641"/>
      <c r="N108" s="641"/>
    </row>
    <row r="109" spans="1:60" ht="45">
      <c r="B109" s="757" t="s">
        <v>1487</v>
      </c>
      <c r="C109" s="757" t="s">
        <v>1488</v>
      </c>
      <c r="D109" s="757" t="s">
        <v>1489</v>
      </c>
      <c r="E109" s="756" t="s">
        <v>1490</v>
      </c>
      <c r="F109" s="756" t="s">
        <v>1491</v>
      </c>
      <c r="I109" s="751"/>
      <c r="J109" s="1358" t="s">
        <v>1475</v>
      </c>
      <c r="K109" s="1358"/>
    </row>
    <row r="110" spans="1:60">
      <c r="B110" s="809" t="s">
        <v>1492</v>
      </c>
      <c r="C110" s="758">
        <f>+'Precios bases'!C110*5.2%+'Precios bases'!C110</f>
        <v>23144</v>
      </c>
      <c r="D110" s="759">
        <v>40000</v>
      </c>
      <c r="E110" s="3" t="s">
        <v>1493</v>
      </c>
      <c r="F110" s="1360" t="s">
        <v>1494</v>
      </c>
      <c r="I110" s="751"/>
      <c r="J110" s="752" t="s">
        <v>1476</v>
      </c>
      <c r="K110" s="752" t="s">
        <v>1477</v>
      </c>
    </row>
    <row r="111" spans="1:60">
      <c r="B111" s="809" t="s">
        <v>1495</v>
      </c>
      <c r="C111" s="758">
        <f>+'Precios bases'!C111*5.2%+'Precios bases'!C111</f>
        <v>29457.052</v>
      </c>
      <c r="D111" s="759">
        <v>47000</v>
      </c>
      <c r="E111" s="3" t="s">
        <v>1496</v>
      </c>
      <c r="F111" s="1360"/>
      <c r="I111" s="753" t="s">
        <v>1478</v>
      </c>
      <c r="J111" s="754">
        <v>220000</v>
      </c>
      <c r="K111" s="754">
        <v>283000</v>
      </c>
    </row>
    <row r="112" spans="1:60">
      <c r="B112" s="809" t="s">
        <v>1497</v>
      </c>
      <c r="C112" s="758">
        <f>+'Precios bases'!C112*5.2%+'Precios bases'!C112</f>
        <v>36821.052000000003</v>
      </c>
      <c r="D112" s="759">
        <v>53000</v>
      </c>
      <c r="E112" s="3" t="s">
        <v>1498</v>
      </c>
      <c r="F112" s="1360"/>
      <c r="I112" s="753" t="s">
        <v>1479</v>
      </c>
      <c r="J112" s="754">
        <v>283001</v>
      </c>
      <c r="K112" s="754">
        <v>355000</v>
      </c>
    </row>
    <row r="113" spans="1:18">
      <c r="B113" s="809" t="s">
        <v>2212</v>
      </c>
      <c r="C113" s="758"/>
      <c r="D113" s="759">
        <v>100000</v>
      </c>
      <c r="E113" s="3"/>
      <c r="F113" s="1360"/>
      <c r="I113" s="753" t="s">
        <v>1480</v>
      </c>
      <c r="J113" s="754">
        <v>355001</v>
      </c>
      <c r="K113" s="754">
        <v>480000</v>
      </c>
    </row>
    <row r="114" spans="1:18">
      <c r="B114" s="809" t="s">
        <v>2213</v>
      </c>
      <c r="C114" s="758"/>
      <c r="D114" s="759">
        <v>120000</v>
      </c>
      <c r="E114" s="3"/>
      <c r="F114" s="1360"/>
    </row>
    <row r="115" spans="1:18">
      <c r="B115" s="809" t="s">
        <v>2214</v>
      </c>
      <c r="C115" s="758"/>
      <c r="D115" s="759">
        <v>150000</v>
      </c>
      <c r="E115" s="3"/>
      <c r="F115" s="1360"/>
    </row>
    <row r="116" spans="1:18">
      <c r="B116" s="809" t="s">
        <v>1499</v>
      </c>
      <c r="C116" s="758">
        <f>+'Precios bases'!C113*5.2%+'Precios bases'!C113</f>
        <v>47341.052000000003</v>
      </c>
      <c r="D116" s="759">
        <v>55000</v>
      </c>
      <c r="E116" s="3" t="s">
        <v>1500</v>
      </c>
      <c r="F116" s="1360"/>
    </row>
    <row r="117" spans="1:18">
      <c r="B117" s="809" t="s">
        <v>1501</v>
      </c>
      <c r="C117" s="758">
        <f>+'Precios bases'!C114*5.2%+'Precios bases'!C114</f>
        <v>54705.052000000003</v>
      </c>
      <c r="D117" s="759">
        <v>65000</v>
      </c>
      <c r="E117" s="3" t="s">
        <v>1502</v>
      </c>
      <c r="F117" s="1360"/>
    </row>
    <row r="118" spans="1:18">
      <c r="B118" s="809" t="s">
        <v>1503</v>
      </c>
      <c r="C118" s="758">
        <f>+'Precios bases'!C115*5.2%+'Precios bases'!C115</f>
        <v>63121.052000000003</v>
      </c>
      <c r="D118" s="759">
        <v>100000</v>
      </c>
      <c r="E118" s="3" t="s">
        <v>1504</v>
      </c>
      <c r="F118" s="1360"/>
    </row>
    <row r="119" spans="1:18">
      <c r="B119" s="809" t="s">
        <v>1564</v>
      </c>
      <c r="C119" s="758">
        <f>+'Precios bases'!C116*5.2%+'Precios bases'!C116</f>
        <v>21040</v>
      </c>
      <c r="D119" s="759">
        <v>30000</v>
      </c>
      <c r="E119" s="3" t="s">
        <v>1505</v>
      </c>
      <c r="F119" s="1360"/>
    </row>
    <row r="120" spans="1:18">
      <c r="B120" s="809" t="s">
        <v>1563</v>
      </c>
      <c r="C120" s="758">
        <f>+'Precios bases'!C117*5.2%+'Precios bases'!C117</f>
        <v>21040</v>
      </c>
      <c r="D120" s="759">
        <v>35000</v>
      </c>
      <c r="E120" s="3" t="s">
        <v>1505</v>
      </c>
      <c r="F120" s="1360"/>
    </row>
    <row r="121" spans="1:18">
      <c r="B121" s="862" t="s">
        <v>1506</v>
      </c>
      <c r="C121" s="807">
        <f>+'Precios bases'!C118*5.2%+'Precios bases'!C118</f>
        <v>29457.052</v>
      </c>
      <c r="D121" s="808">
        <v>40000</v>
      </c>
      <c r="E121" s="58" t="s">
        <v>1507</v>
      </c>
      <c r="F121" s="1300"/>
    </row>
    <row r="122" spans="1:18">
      <c r="B122" s="809" t="s">
        <v>1565</v>
      </c>
      <c r="C122" s="759">
        <f>+'Precios bases'!C119*5.2%+'Precios bases'!C119</f>
        <v>0</v>
      </c>
      <c r="D122" s="759">
        <f>+'Precios bases'!D119*5.2%+'Precios bases'!D119</f>
        <v>0</v>
      </c>
      <c r="E122" s="3"/>
      <c r="F122" s="3"/>
    </row>
    <row r="123" spans="1:18">
      <c r="B123" s="765">
        <v>1</v>
      </c>
      <c r="C123" s="760">
        <v>2</v>
      </c>
      <c r="D123" s="760">
        <v>3</v>
      </c>
      <c r="E123">
        <v>4</v>
      </c>
      <c r="F123">
        <v>5</v>
      </c>
      <c r="G123">
        <v>6</v>
      </c>
      <c r="H123">
        <v>1</v>
      </c>
      <c r="I123">
        <v>2</v>
      </c>
      <c r="J123">
        <v>3</v>
      </c>
      <c r="K123">
        <v>4</v>
      </c>
      <c r="L123">
        <v>5</v>
      </c>
      <c r="M123">
        <v>6</v>
      </c>
    </row>
    <row r="124" spans="1:18" ht="79.5" customHeight="1">
      <c r="B124" s="805"/>
      <c r="C124" s="1377" t="s">
        <v>1566</v>
      </c>
      <c r="D124" s="1377"/>
      <c r="E124" s="641"/>
      <c r="F124" s="1375" t="s">
        <v>1555</v>
      </c>
      <c r="G124" s="1375" t="s">
        <v>92</v>
      </c>
      <c r="H124" s="819" t="s">
        <v>79</v>
      </c>
      <c r="I124" s="820" t="s">
        <v>1569</v>
      </c>
      <c r="J124" s="820" t="s">
        <v>1570</v>
      </c>
      <c r="K124" s="821" t="s">
        <v>1571</v>
      </c>
      <c r="L124" s="821" t="s">
        <v>1537</v>
      </c>
      <c r="M124" s="821" t="s">
        <v>1554</v>
      </c>
      <c r="N124" s="812"/>
      <c r="O124" s="1359" t="s">
        <v>1481</v>
      </c>
      <c r="P124" s="1362" t="s">
        <v>1482</v>
      </c>
      <c r="Q124" s="1362"/>
      <c r="R124" s="1362"/>
    </row>
    <row r="125" spans="1:18" ht="28.5">
      <c r="A125" s="641"/>
      <c r="B125" s="82" t="s">
        <v>1436</v>
      </c>
      <c r="C125" s="749" t="s">
        <v>1471</v>
      </c>
      <c r="D125" s="749" t="s">
        <v>1472</v>
      </c>
      <c r="E125" s="641"/>
      <c r="F125" s="1376"/>
      <c r="G125" s="1376"/>
      <c r="H125" s="3">
        <v>50</v>
      </c>
      <c r="I125" s="3">
        <v>10</v>
      </c>
      <c r="J125" s="3">
        <v>8</v>
      </c>
      <c r="K125" s="3">
        <v>1</v>
      </c>
      <c r="L125" s="811">
        <v>30000</v>
      </c>
      <c r="M125" s="817">
        <f>1*300000</f>
        <v>300000</v>
      </c>
      <c r="N125" s="813"/>
      <c r="O125" s="1359"/>
      <c r="P125" s="1362" t="s">
        <v>1483</v>
      </c>
      <c r="Q125" s="1362"/>
      <c r="R125" s="1362"/>
    </row>
    <row r="126" spans="1:18" ht="18.75">
      <c r="A126" s="804">
        <v>1</v>
      </c>
      <c r="B126" s="3" t="s">
        <v>1492</v>
      </c>
      <c r="C126" s="750">
        <v>2</v>
      </c>
      <c r="D126" s="750">
        <v>1</v>
      </c>
      <c r="E126" s="804">
        <v>1</v>
      </c>
      <c r="F126" s="818">
        <v>30000</v>
      </c>
      <c r="G126" s="818">
        <v>25000</v>
      </c>
      <c r="H126" s="3">
        <v>100</v>
      </c>
      <c r="I126" s="3">
        <v>12</v>
      </c>
      <c r="J126" s="3">
        <v>10</v>
      </c>
      <c r="K126" s="3">
        <v>1</v>
      </c>
      <c r="L126" s="811">
        <v>50000</v>
      </c>
      <c r="M126" s="817">
        <f>2*300000</f>
        <v>600000</v>
      </c>
      <c r="N126" s="813"/>
      <c r="O126" s="1359"/>
      <c r="P126" s="1362" t="s">
        <v>1484</v>
      </c>
      <c r="Q126" s="1362"/>
      <c r="R126" s="1362"/>
    </row>
    <row r="127" spans="1:18" ht="28.5">
      <c r="A127" s="804">
        <v>1</v>
      </c>
      <c r="B127" s="3" t="s">
        <v>1499</v>
      </c>
      <c r="C127" s="750">
        <v>2</v>
      </c>
      <c r="D127" s="750">
        <v>1</v>
      </c>
      <c r="E127" s="804">
        <v>1</v>
      </c>
      <c r="F127" s="818">
        <v>35000</v>
      </c>
      <c r="G127" s="818">
        <v>25000</v>
      </c>
      <c r="H127" s="3">
        <v>200</v>
      </c>
      <c r="I127" s="3">
        <v>20</v>
      </c>
      <c r="J127" s="3">
        <v>20</v>
      </c>
      <c r="K127" s="3">
        <v>1.5</v>
      </c>
      <c r="L127" s="811">
        <v>100000</v>
      </c>
      <c r="M127" s="817">
        <f>3*300000</f>
        <v>900000</v>
      </c>
      <c r="N127" s="641"/>
      <c r="O127" s="1361" t="s">
        <v>470</v>
      </c>
      <c r="P127" s="1362" t="s">
        <v>1482</v>
      </c>
      <c r="Q127" s="1362"/>
      <c r="R127" s="1362"/>
    </row>
    <row r="128" spans="1:18" ht="28.5">
      <c r="A128" s="804">
        <v>1</v>
      </c>
      <c r="B128" s="3" t="s">
        <v>1564</v>
      </c>
      <c r="C128" s="750">
        <v>2</v>
      </c>
      <c r="D128" s="750">
        <v>1</v>
      </c>
      <c r="E128" s="804">
        <v>1</v>
      </c>
      <c r="F128" s="818">
        <v>15000</v>
      </c>
      <c r="G128" s="818">
        <v>25000</v>
      </c>
      <c r="H128" s="3">
        <v>300</v>
      </c>
      <c r="I128" s="3">
        <v>30</v>
      </c>
      <c r="J128" s="3">
        <v>30</v>
      </c>
      <c r="K128" s="3">
        <v>2</v>
      </c>
      <c r="L128" s="811">
        <v>100000</v>
      </c>
      <c r="M128" s="817">
        <f>4*300000</f>
        <v>1200000</v>
      </c>
      <c r="N128" s="641"/>
      <c r="O128" s="1361"/>
      <c r="P128" s="1362" t="s">
        <v>1485</v>
      </c>
      <c r="Q128" s="1362"/>
      <c r="R128" s="1362"/>
    </row>
    <row r="129" spans="1:18" ht="28.5" customHeight="1">
      <c r="A129" s="804">
        <v>2</v>
      </c>
      <c r="B129" s="3" t="s">
        <v>1495</v>
      </c>
      <c r="C129" s="750">
        <v>3</v>
      </c>
      <c r="D129" s="750" t="s">
        <v>1473</v>
      </c>
      <c r="E129" s="804">
        <v>2</v>
      </c>
      <c r="F129" s="818">
        <v>35000</v>
      </c>
      <c r="G129" s="818">
        <v>35000</v>
      </c>
      <c r="H129" s="1300" t="s">
        <v>1556</v>
      </c>
      <c r="J129">
        <f>+H126/J126</f>
        <v>10</v>
      </c>
      <c r="L129" s="641"/>
      <c r="M129" s="641"/>
      <c r="N129" s="641"/>
      <c r="O129" s="1361"/>
      <c r="P129" s="1362" t="s">
        <v>1486</v>
      </c>
      <c r="Q129" s="1362"/>
      <c r="R129" s="1362"/>
    </row>
    <row r="130" spans="1:18" ht="48">
      <c r="A130" s="804">
        <v>2</v>
      </c>
      <c r="B130" s="3" t="s">
        <v>1501</v>
      </c>
      <c r="C130" s="750">
        <v>3</v>
      </c>
      <c r="D130" s="750" t="s">
        <v>1473</v>
      </c>
      <c r="E130" s="804">
        <v>2</v>
      </c>
      <c r="F130" s="818">
        <v>45000</v>
      </c>
      <c r="G130" s="818">
        <v>35000</v>
      </c>
      <c r="H130" s="1301"/>
      <c r="L130" s="641"/>
      <c r="M130" s="641"/>
      <c r="N130" s="641"/>
      <c r="O130" s="1361" t="s">
        <v>1512</v>
      </c>
      <c r="P130" s="762" t="s">
        <v>1513</v>
      </c>
      <c r="Q130" s="762" t="s">
        <v>1514</v>
      </c>
      <c r="R130" s="762" t="s">
        <v>1510</v>
      </c>
    </row>
    <row r="131" spans="1:18" ht="108">
      <c r="A131" s="804">
        <v>2</v>
      </c>
      <c r="B131" s="3" t="s">
        <v>1563</v>
      </c>
      <c r="C131" s="750">
        <v>3</v>
      </c>
      <c r="D131" s="750" t="s">
        <v>1473</v>
      </c>
      <c r="E131" s="804">
        <v>2</v>
      </c>
      <c r="F131" s="818">
        <v>20000</v>
      </c>
      <c r="G131" s="818">
        <v>35000</v>
      </c>
      <c r="H131" s="1301"/>
      <c r="L131" s="641"/>
      <c r="M131" s="641"/>
      <c r="N131" s="641"/>
      <c r="O131" s="1361"/>
      <c r="P131" s="1360" t="s">
        <v>1515</v>
      </c>
      <c r="Q131" s="1360" t="s">
        <v>1516</v>
      </c>
      <c r="R131" s="43" t="s">
        <v>1517</v>
      </c>
    </row>
    <row r="132" spans="1:18" ht="93">
      <c r="A132" s="804">
        <v>3</v>
      </c>
      <c r="B132" s="3" t="s">
        <v>1497</v>
      </c>
      <c r="C132" s="750">
        <v>4</v>
      </c>
      <c r="D132" s="750" t="s">
        <v>1474</v>
      </c>
      <c r="E132" s="804">
        <v>3</v>
      </c>
      <c r="F132" s="818">
        <v>45000</v>
      </c>
      <c r="G132" s="818">
        <v>45000</v>
      </c>
      <c r="H132" s="1301"/>
      <c r="L132" s="641"/>
      <c r="M132" s="641"/>
      <c r="N132" s="641"/>
      <c r="O132" s="1361"/>
      <c r="P132" s="1360"/>
      <c r="Q132" s="1360"/>
      <c r="R132" s="43" t="s">
        <v>1518</v>
      </c>
    </row>
    <row r="133" spans="1:18" ht="153">
      <c r="A133" s="804">
        <v>3</v>
      </c>
      <c r="B133" s="3" t="s">
        <v>1503</v>
      </c>
      <c r="C133" s="750">
        <v>4</v>
      </c>
      <c r="D133" s="750" t="s">
        <v>1474</v>
      </c>
      <c r="E133" s="804">
        <v>3</v>
      </c>
      <c r="F133" s="818">
        <v>60000</v>
      </c>
      <c r="G133" s="818">
        <v>45000</v>
      </c>
      <c r="H133" s="1301"/>
      <c r="L133" s="641"/>
      <c r="M133" s="641"/>
      <c r="N133" s="641"/>
      <c r="O133" s="1361"/>
      <c r="P133" s="1360"/>
      <c r="Q133" s="1360"/>
      <c r="R133" s="43" t="s">
        <v>1519</v>
      </c>
    </row>
    <row r="134" spans="1:18" ht="48">
      <c r="A134" s="804">
        <v>3</v>
      </c>
      <c r="B134" s="3" t="s">
        <v>1506</v>
      </c>
      <c r="C134" s="750">
        <v>4</v>
      </c>
      <c r="D134" s="750" t="s">
        <v>1474</v>
      </c>
      <c r="E134" s="804">
        <v>3</v>
      </c>
      <c r="F134" s="818">
        <v>25000</v>
      </c>
      <c r="G134" s="818">
        <v>45000</v>
      </c>
      <c r="H134" s="1301"/>
      <c r="L134" s="641"/>
      <c r="M134" s="641"/>
      <c r="N134" s="641"/>
      <c r="O134" s="1361" t="s">
        <v>1520</v>
      </c>
      <c r="P134" s="762" t="s">
        <v>1513</v>
      </c>
      <c r="Q134" s="762" t="s">
        <v>1521</v>
      </c>
      <c r="R134" s="904"/>
    </row>
    <row r="135" spans="1:18" ht="28.5">
      <c r="A135" s="804">
        <v>0</v>
      </c>
      <c r="B135" s="3" t="s">
        <v>1565</v>
      </c>
      <c r="C135" s="750"/>
      <c r="D135" s="750"/>
      <c r="E135" s="804">
        <v>0</v>
      </c>
      <c r="F135" s="818">
        <f>+'Precios bases'!F132*5.2%+'Precios bases'!F132</f>
        <v>0</v>
      </c>
      <c r="G135" s="823">
        <f>+'Precios bases'!G132*5.2%+'Precios bases'!G132</f>
        <v>0</v>
      </c>
      <c r="H135" s="1302"/>
      <c r="I135" s="641"/>
      <c r="J135" s="641"/>
      <c r="K135" s="641"/>
      <c r="L135" s="641"/>
      <c r="M135" s="641"/>
      <c r="N135" s="641"/>
      <c r="O135" s="1361" t="s">
        <v>1522</v>
      </c>
      <c r="P135" s="370" t="s">
        <v>1523</v>
      </c>
      <c r="Q135" s="370" t="s">
        <v>1524</v>
      </c>
      <c r="R135" s="904"/>
    </row>
    <row r="136" spans="1:18" ht="15" customHeight="1">
      <c r="A136" s="755"/>
      <c r="G136" s="641"/>
      <c r="H136" s="641"/>
      <c r="I136" s="641"/>
      <c r="J136" s="641"/>
      <c r="K136" s="641"/>
      <c r="L136" s="641"/>
      <c r="N136" s="757" t="s">
        <v>1525</v>
      </c>
      <c r="O136" s="761" t="s">
        <v>1513</v>
      </c>
      <c r="P136" s="762" t="s">
        <v>1526</v>
      </c>
      <c r="Q136" s="762" t="s">
        <v>1510</v>
      </c>
    </row>
    <row r="137" spans="1:18" ht="120">
      <c r="A137" s="765"/>
      <c r="M137" s="757"/>
      <c r="N137" s="1300" t="s">
        <v>1515</v>
      </c>
      <c r="O137" s="1300" t="s">
        <v>1516</v>
      </c>
      <c r="P137" s="43" t="s">
        <v>1517</v>
      </c>
    </row>
    <row r="138" spans="1:18" ht="105">
      <c r="B138" s="757" t="s">
        <v>1572</v>
      </c>
      <c r="C138" s="761" t="s">
        <v>1508</v>
      </c>
      <c r="D138" s="761" t="s">
        <v>1509</v>
      </c>
      <c r="E138" s="761" t="s">
        <v>1510</v>
      </c>
      <c r="M138" s="757"/>
      <c r="N138" s="1302"/>
      <c r="O138" s="1302"/>
      <c r="P138" s="43" t="s">
        <v>1527</v>
      </c>
    </row>
    <row r="139" spans="1:18">
      <c r="B139" s="809" t="s">
        <v>1511</v>
      </c>
      <c r="C139" s="80">
        <f>+'Precios bases'!C136*5.2%+'Precios bases'!C136</f>
        <v>23144</v>
      </c>
      <c r="D139" s="80">
        <f>+'Precios bases'!D136*5.2%+'Precios bases'!D136</f>
        <v>18936</v>
      </c>
      <c r="E139" s="20"/>
    </row>
    <row r="140" spans="1:18" ht="105">
      <c r="B140" s="809" t="s">
        <v>1574</v>
      </c>
      <c r="C140" s="80">
        <f>+'Precios bases'!C137*5.2%+'Precios bases'!C137</f>
        <v>18936</v>
      </c>
      <c r="D140" s="80">
        <f>+'Precios bases'!D137*5.2%+'Precios bases'!D137</f>
        <v>16832</v>
      </c>
      <c r="E140" s="810" t="s">
        <v>1573</v>
      </c>
    </row>
    <row r="141" spans="1:18">
      <c r="B141" s="765"/>
    </row>
    <row r="142" spans="1:18">
      <c r="B142" s="765"/>
    </row>
    <row r="143" spans="1:18">
      <c r="B143" s="765"/>
      <c r="C143" s="763" t="s">
        <v>1469</v>
      </c>
      <c r="D143" s="763" t="s">
        <v>1470</v>
      </c>
    </row>
    <row r="144" spans="1:18" ht="30">
      <c r="B144" s="767" t="s">
        <v>1528</v>
      </c>
      <c r="C144" s="20" t="s">
        <v>1529</v>
      </c>
      <c r="D144" s="20" t="s">
        <v>1530</v>
      </c>
    </row>
    <row r="145" spans="2:6">
      <c r="B145" s="765"/>
    </row>
    <row r="146" spans="2:6">
      <c r="B146" s="767" t="s">
        <v>1531</v>
      </c>
      <c r="C146" s="1363" t="s">
        <v>1532</v>
      </c>
      <c r="D146" s="1363"/>
      <c r="E146" t="s">
        <v>1533</v>
      </c>
    </row>
    <row r="147" spans="2:6">
      <c r="B147" s="765"/>
    </row>
    <row r="148" spans="2:6">
      <c r="B148" s="765"/>
    </row>
    <row r="149" spans="2:6">
      <c r="B149" s="765"/>
      <c r="E149" s="814" t="s">
        <v>1510</v>
      </c>
    </row>
    <row r="150" spans="2:6" ht="66" customHeight="1">
      <c r="B150" s="757" t="s">
        <v>1534</v>
      </c>
      <c r="C150" s="3" t="s">
        <v>1535</v>
      </c>
      <c r="D150" s="3"/>
      <c r="E150" s="816" t="s">
        <v>1536</v>
      </c>
      <c r="F150" s="815"/>
    </row>
    <row r="151" spans="2:6">
      <c r="B151" s="765"/>
      <c r="F151" s="802"/>
    </row>
    <row r="152" spans="2:6">
      <c r="B152" s="765"/>
    </row>
    <row r="153" spans="2:6">
      <c r="B153" s="1361" t="s">
        <v>1538</v>
      </c>
      <c r="C153" s="748" t="s">
        <v>1539</v>
      </c>
      <c r="D153" s="748" t="s">
        <v>1540</v>
      </c>
      <c r="E153" s="129"/>
    </row>
    <row r="154" spans="2:6">
      <c r="B154" s="1361"/>
      <c r="C154" s="764">
        <v>0.48</v>
      </c>
      <c r="D154" s="764">
        <v>0.55000000000000004</v>
      </c>
      <c r="E154" t="s">
        <v>1541</v>
      </c>
    </row>
    <row r="155" spans="2:6">
      <c r="B155" s="765"/>
    </row>
    <row r="156" spans="2:6">
      <c r="B156" s="1378" t="s">
        <v>1542</v>
      </c>
      <c r="C156" s="756" t="s">
        <v>1543</v>
      </c>
      <c r="D156" s="756" t="s">
        <v>1544</v>
      </c>
    </row>
    <row r="157" spans="2:6">
      <c r="B157" s="1378"/>
      <c r="C157" s="20">
        <v>400</v>
      </c>
      <c r="D157" s="748"/>
    </row>
    <row r="158" spans="2:6">
      <c r="B158" s="765"/>
    </row>
    <row r="159" spans="2:6">
      <c r="B159" s="757" t="s">
        <v>1545</v>
      </c>
      <c r="C159" s="756" t="s">
        <v>1543</v>
      </c>
      <c r="D159" s="756" t="s">
        <v>1544</v>
      </c>
      <c r="E159" s="761" t="s">
        <v>1510</v>
      </c>
    </row>
    <row r="160" spans="2:6" ht="30">
      <c r="B160" s="768" t="s">
        <v>1546</v>
      </c>
      <c r="C160" s="3">
        <v>898</v>
      </c>
      <c r="D160" s="3">
        <v>3030</v>
      </c>
      <c r="E160" s="3"/>
    </row>
    <row r="161" spans="1:13">
      <c r="B161" s="768" t="s">
        <v>1547</v>
      </c>
      <c r="C161" s="3">
        <v>500</v>
      </c>
      <c r="D161" s="3">
        <v>2400</v>
      </c>
      <c r="E161" s="3"/>
    </row>
    <row r="162" spans="1:13">
      <c r="B162" s="768" t="s">
        <v>1548</v>
      </c>
      <c r="C162" s="3">
        <v>500</v>
      </c>
      <c r="D162" s="3">
        <v>2400</v>
      </c>
      <c r="E162" s="3" t="s">
        <v>1549</v>
      </c>
    </row>
    <row r="163" spans="1:13">
      <c r="B163" s="768" t="s">
        <v>1550</v>
      </c>
      <c r="C163" s="3">
        <v>654</v>
      </c>
      <c r="D163" s="3">
        <v>3380</v>
      </c>
      <c r="E163" s="3" t="s">
        <v>1551</v>
      </c>
    </row>
    <row r="164" spans="1:13">
      <c r="B164" s="768" t="s">
        <v>1552</v>
      </c>
      <c r="C164" s="3">
        <v>654</v>
      </c>
      <c r="D164" s="3">
        <v>3380</v>
      </c>
      <c r="E164" s="54" t="s">
        <v>1553</v>
      </c>
    </row>
    <row r="165" spans="1:13">
      <c r="B165" s="765"/>
    </row>
    <row r="166" spans="1:13">
      <c r="B166" s="765"/>
    </row>
    <row r="167" spans="1:13" ht="18.75">
      <c r="A167" s="583"/>
      <c r="B167" s="583"/>
      <c r="C167" s="583"/>
      <c r="D167" s="583"/>
      <c r="E167" s="583"/>
      <c r="F167" s="583"/>
      <c r="G167" s="583"/>
      <c r="H167" s="583"/>
      <c r="I167" s="583"/>
      <c r="J167" s="583"/>
    </row>
    <row r="168" spans="1:13" ht="18.75">
      <c r="A168" s="583"/>
      <c r="B168" s="583"/>
      <c r="C168" s="583"/>
      <c r="D168" s="583"/>
      <c r="E168" s="583"/>
      <c r="F168" s="583"/>
      <c r="G168" s="583"/>
      <c r="H168" s="583"/>
      <c r="I168" s="583"/>
      <c r="J168" s="583"/>
    </row>
    <row r="169" spans="1:13" ht="26.25">
      <c r="A169" s="1372" t="s">
        <v>1372</v>
      </c>
      <c r="B169" s="1373"/>
      <c r="C169" s="1373"/>
      <c r="D169" s="1373"/>
      <c r="E169" s="1373"/>
      <c r="F169" s="1373"/>
      <c r="G169" s="1373"/>
      <c r="H169" s="1373"/>
      <c r="I169" s="1373"/>
      <c r="J169" s="1373"/>
      <c r="K169" s="1373"/>
      <c r="L169" s="1373"/>
      <c r="M169" s="1374"/>
    </row>
    <row r="170" spans="1:13" ht="18.75">
      <c r="A170" s="583"/>
      <c r="B170" s="583"/>
      <c r="C170" s="583"/>
      <c r="D170" s="583"/>
      <c r="E170" s="583"/>
      <c r="F170" s="583"/>
      <c r="G170" s="583"/>
      <c r="H170" s="583"/>
      <c r="I170" s="583"/>
      <c r="J170" s="583"/>
    </row>
    <row r="171" spans="1:13">
      <c r="B171" s="1356" t="s">
        <v>434</v>
      </c>
      <c r="C171" s="1357"/>
      <c r="D171" s="539" t="s">
        <v>48</v>
      </c>
      <c r="E171" s="539" t="s">
        <v>893</v>
      </c>
      <c r="F171" s="539" t="s">
        <v>895</v>
      </c>
    </row>
    <row r="172" spans="1:13">
      <c r="B172" s="534" t="s">
        <v>380</v>
      </c>
      <c r="C172" s="534">
        <v>20</v>
      </c>
      <c r="D172" s="534">
        <v>18</v>
      </c>
      <c r="E172" s="534">
        <v>9</v>
      </c>
      <c r="F172" s="534">
        <v>27</v>
      </c>
    </row>
    <row r="173" spans="1:13">
      <c r="B173" s="534" t="s">
        <v>39</v>
      </c>
      <c r="C173" s="534">
        <v>20</v>
      </c>
      <c r="D173" s="534">
        <v>18</v>
      </c>
      <c r="E173" s="534">
        <v>9</v>
      </c>
      <c r="F173" s="534">
        <v>27</v>
      </c>
    </row>
    <row r="174" spans="1:13">
      <c r="B174" s="534" t="s">
        <v>534</v>
      </c>
      <c r="C174" s="534">
        <v>20</v>
      </c>
      <c r="D174" s="534">
        <v>18</v>
      </c>
      <c r="E174" s="534">
        <v>9</v>
      </c>
      <c r="F174" s="534">
        <v>27</v>
      </c>
    </row>
    <row r="175" spans="1:13">
      <c r="B175" s="534" t="s">
        <v>535</v>
      </c>
      <c r="C175" s="534">
        <v>28</v>
      </c>
      <c r="D175" s="534">
        <v>18</v>
      </c>
      <c r="E175" s="534">
        <v>9</v>
      </c>
      <c r="F175" s="534">
        <v>27</v>
      </c>
    </row>
    <row r="176" spans="1:13">
      <c r="B176" s="534" t="s">
        <v>382</v>
      </c>
      <c r="C176" s="534">
        <v>28</v>
      </c>
      <c r="D176" s="534">
        <v>18</v>
      </c>
      <c r="E176" s="534">
        <v>9</v>
      </c>
      <c r="F176" s="534">
        <v>36</v>
      </c>
    </row>
    <row r="177" spans="1:20">
      <c r="B177" s="534" t="s">
        <v>383</v>
      </c>
      <c r="C177" s="534">
        <v>41</v>
      </c>
      <c r="D177" s="534">
        <v>18</v>
      </c>
      <c r="E177" s="534">
        <v>9</v>
      </c>
      <c r="F177" s="534">
        <v>36</v>
      </c>
    </row>
    <row r="178" spans="1:20">
      <c r="B178" s="534" t="s">
        <v>384</v>
      </c>
      <c r="C178" s="534">
        <v>52</v>
      </c>
      <c r="D178" s="534">
        <v>18</v>
      </c>
      <c r="E178" s="534">
        <v>9</v>
      </c>
      <c r="F178" s="534">
        <v>45</v>
      </c>
    </row>
    <row r="179" spans="1:20">
      <c r="B179" s="534" t="s">
        <v>385</v>
      </c>
      <c r="C179" s="534">
        <v>52</v>
      </c>
      <c r="D179" s="534">
        <v>18</v>
      </c>
      <c r="E179" s="534">
        <v>9</v>
      </c>
      <c r="F179" s="534">
        <v>45</v>
      </c>
    </row>
    <row r="180" spans="1:20">
      <c r="B180" s="535" t="s">
        <v>854</v>
      </c>
      <c r="C180" s="536">
        <v>1</v>
      </c>
    </row>
    <row r="181" spans="1:20">
      <c r="B181" s="535" t="s">
        <v>850</v>
      </c>
      <c r="C181" s="536">
        <v>4</v>
      </c>
    </row>
    <row r="182" spans="1:20">
      <c r="B182" s="535" t="s">
        <v>936</v>
      </c>
      <c r="C182" s="536">
        <v>2</v>
      </c>
    </row>
    <row r="183" spans="1:20">
      <c r="E183" s="696">
        <v>1509064</v>
      </c>
    </row>
    <row r="184" spans="1:20">
      <c r="E184">
        <f>+E183/28</f>
        <v>53895.142857142855</v>
      </c>
    </row>
    <row r="185" spans="1:20">
      <c r="E185" s="697">
        <v>976238</v>
      </c>
    </row>
    <row r="186" spans="1:20">
      <c r="E186">
        <f>+E185/18</f>
        <v>54235.444444444445</v>
      </c>
    </row>
    <row r="189" spans="1:20" ht="23.25">
      <c r="A189" s="1369" t="s">
        <v>406</v>
      </c>
      <c r="B189" s="1370"/>
      <c r="C189" s="1370"/>
      <c r="D189" s="1370"/>
      <c r="E189" s="1370"/>
      <c r="F189" s="1370"/>
      <c r="G189" s="1370"/>
      <c r="H189" s="1370"/>
      <c r="I189" s="1370"/>
      <c r="J189" s="1370"/>
      <c r="K189" s="1370"/>
      <c r="L189" s="1370"/>
      <c r="M189" s="1371"/>
      <c r="Q189" s="890"/>
      <c r="R189" s="890"/>
      <c r="T189" s="880"/>
    </row>
    <row r="190" spans="1:20">
      <c r="A190">
        <v>0</v>
      </c>
      <c r="C190" s="87"/>
      <c r="D190" s="87"/>
      <c r="E190" s="87"/>
      <c r="F190" s="87"/>
      <c r="G190" s="87"/>
      <c r="H190" s="87"/>
      <c r="I190" s="87"/>
      <c r="J190" s="87"/>
      <c r="K190" s="87"/>
      <c r="Q190" s="886"/>
      <c r="R190" s="886"/>
      <c r="T190" s="880"/>
    </row>
    <row r="191" spans="1:20">
      <c r="A191">
        <v>1</v>
      </c>
      <c r="B191" s="3" t="s">
        <v>357</v>
      </c>
      <c r="C191" s="3" t="s">
        <v>380</v>
      </c>
      <c r="D191" s="87"/>
      <c r="E191" s="87"/>
      <c r="F191" s="87"/>
      <c r="G191" s="87"/>
      <c r="H191" s="87"/>
      <c r="I191" s="87"/>
      <c r="J191" s="87"/>
      <c r="K191" s="87"/>
      <c r="Q191" s="886"/>
      <c r="R191" s="886"/>
      <c r="T191" s="880"/>
    </row>
    <row r="192" spans="1:20">
      <c r="A192">
        <v>2</v>
      </c>
      <c r="B192" s="3" t="s">
        <v>360</v>
      </c>
      <c r="C192" s="3" t="s">
        <v>39</v>
      </c>
      <c r="D192" s="87"/>
      <c r="E192" s="87"/>
      <c r="F192" s="87"/>
      <c r="G192" s="87"/>
      <c r="H192" s="87"/>
      <c r="I192" s="87"/>
      <c r="J192" s="87"/>
      <c r="K192" s="87"/>
      <c r="Q192" s="886"/>
      <c r="R192" s="886"/>
      <c r="T192" s="880"/>
    </row>
    <row r="193" spans="1:20">
      <c r="A193">
        <v>3</v>
      </c>
      <c r="B193" s="3" t="s">
        <v>362</v>
      </c>
      <c r="C193" s="5" t="s">
        <v>534</v>
      </c>
      <c r="D193" s="87"/>
      <c r="E193" s="87"/>
      <c r="F193" s="87"/>
      <c r="G193" s="87"/>
      <c r="H193" s="87"/>
      <c r="I193" s="87"/>
      <c r="J193" s="87"/>
      <c r="K193" s="87"/>
      <c r="Q193" s="886"/>
      <c r="R193" s="886"/>
      <c r="T193" s="880"/>
    </row>
    <row r="194" spans="1:20">
      <c r="A194">
        <v>4</v>
      </c>
      <c r="B194" s="3" t="s">
        <v>364</v>
      </c>
      <c r="C194" s="5" t="s">
        <v>535</v>
      </c>
      <c r="D194" s="87"/>
      <c r="E194" s="87"/>
      <c r="F194" s="87"/>
      <c r="G194" s="87"/>
      <c r="H194" s="87"/>
      <c r="I194" s="87"/>
      <c r="J194" s="87"/>
      <c r="K194" s="87"/>
      <c r="Q194" s="886"/>
      <c r="R194" s="886"/>
      <c r="T194" s="880"/>
    </row>
    <row r="195" spans="1:20">
      <c r="A195">
        <v>5</v>
      </c>
      <c r="B195" s="3" t="s">
        <v>55</v>
      </c>
      <c r="C195" s="5" t="s">
        <v>382</v>
      </c>
      <c r="D195" s="87"/>
      <c r="E195" s="87"/>
      <c r="F195" s="87"/>
      <c r="G195" s="87"/>
      <c r="H195" s="87"/>
      <c r="I195" s="87"/>
      <c r="J195" s="87"/>
      <c r="K195" s="87"/>
      <c r="Q195" s="886"/>
      <c r="R195" s="886"/>
      <c r="T195" s="880"/>
    </row>
    <row r="196" spans="1:20">
      <c r="A196">
        <v>6</v>
      </c>
      <c r="B196" s="11" t="s">
        <v>367</v>
      </c>
      <c r="C196" s="5" t="s">
        <v>383</v>
      </c>
      <c r="D196" s="87"/>
      <c r="E196" s="87"/>
      <c r="F196" s="87"/>
      <c r="G196" s="87"/>
      <c r="H196" s="87"/>
      <c r="I196" s="87"/>
      <c r="J196" s="87"/>
      <c r="K196" s="87"/>
      <c r="Q196" s="886"/>
      <c r="R196" s="886"/>
      <c r="T196" s="880"/>
    </row>
    <row r="197" spans="1:20">
      <c r="A197">
        <v>7</v>
      </c>
      <c r="B197" s="11" t="s">
        <v>400</v>
      </c>
      <c r="C197" s="3" t="s">
        <v>384</v>
      </c>
      <c r="D197" s="87"/>
      <c r="E197" s="87"/>
      <c r="F197" s="87"/>
      <c r="G197" s="87"/>
      <c r="H197" s="87"/>
      <c r="I197" s="87"/>
      <c r="J197" s="87"/>
      <c r="K197" s="87"/>
      <c r="Q197" s="886"/>
      <c r="R197" s="886"/>
      <c r="T197" s="880"/>
    </row>
    <row r="198" spans="1:20">
      <c r="A198">
        <v>8</v>
      </c>
      <c r="B198" s="11" t="s">
        <v>376</v>
      </c>
      <c r="C198" s="3" t="s">
        <v>385</v>
      </c>
      <c r="D198" s="87"/>
      <c r="E198" s="87"/>
      <c r="F198" s="87"/>
      <c r="G198" s="87"/>
      <c r="H198" s="87"/>
      <c r="I198" s="87"/>
      <c r="J198" s="87"/>
      <c r="K198" s="87"/>
      <c r="Q198" s="886"/>
      <c r="R198" s="886"/>
      <c r="T198" s="880"/>
    </row>
    <row r="199" spans="1:20">
      <c r="A199">
        <v>9</v>
      </c>
      <c r="B199" s="11" t="s">
        <v>377</v>
      </c>
      <c r="C199" s="87"/>
      <c r="D199" s="87"/>
      <c r="E199" s="87"/>
      <c r="F199" s="87"/>
      <c r="G199" s="87"/>
      <c r="H199" s="87"/>
      <c r="I199" s="87"/>
      <c r="J199" s="87"/>
      <c r="K199" s="87"/>
      <c r="Q199" s="886"/>
      <c r="R199" s="886"/>
      <c r="T199" s="880"/>
    </row>
    <row r="200" spans="1:20">
      <c r="A200">
        <v>10</v>
      </c>
      <c r="B200" s="11" t="s">
        <v>378</v>
      </c>
      <c r="C200" s="87"/>
      <c r="D200" s="87"/>
      <c r="E200" s="87"/>
      <c r="F200" s="87"/>
      <c r="G200" s="87"/>
      <c r="H200" s="87"/>
      <c r="I200" s="87"/>
      <c r="J200" s="87"/>
      <c r="K200" s="87"/>
      <c r="Q200" s="886"/>
      <c r="R200" s="886"/>
      <c r="T200" s="880"/>
    </row>
    <row r="201" spans="1:20">
      <c r="A201">
        <v>11</v>
      </c>
      <c r="B201" s="11" t="s">
        <v>379</v>
      </c>
      <c r="C201" s="87"/>
      <c r="D201" s="87"/>
      <c r="E201" s="87"/>
      <c r="F201" s="87"/>
      <c r="G201" s="87"/>
      <c r="H201" s="87"/>
      <c r="I201" s="87"/>
      <c r="J201" s="87"/>
      <c r="K201" s="87"/>
      <c r="Q201" s="886"/>
      <c r="R201" s="886"/>
      <c r="T201" s="880"/>
    </row>
    <row r="202" spans="1:20">
      <c r="A202">
        <v>12</v>
      </c>
      <c r="C202" s="87"/>
      <c r="D202" s="87"/>
      <c r="E202" s="87"/>
      <c r="F202" s="87"/>
      <c r="G202" s="87"/>
      <c r="H202" s="87"/>
      <c r="I202" s="87"/>
      <c r="J202" s="87"/>
      <c r="K202" s="87"/>
      <c r="Q202" s="886"/>
      <c r="R202" s="886"/>
      <c r="T202" s="880"/>
    </row>
    <row r="203" spans="1:20">
      <c r="A203">
        <v>13</v>
      </c>
      <c r="B203" s="769" t="s">
        <v>407</v>
      </c>
      <c r="C203" s="769"/>
      <c r="D203" s="769"/>
      <c r="E203" s="769"/>
      <c r="F203" s="769"/>
      <c r="G203" s="87"/>
      <c r="H203" s="87"/>
      <c r="I203" s="87"/>
      <c r="J203" s="87"/>
      <c r="K203" s="87"/>
      <c r="Q203" s="886"/>
      <c r="R203" s="886"/>
      <c r="T203" s="880"/>
    </row>
    <row r="204" spans="1:20">
      <c r="A204">
        <v>14</v>
      </c>
      <c r="B204" s="144" t="s">
        <v>37</v>
      </c>
      <c r="C204">
        <v>2</v>
      </c>
      <c r="D204" s="87"/>
      <c r="E204" s="87" t="s">
        <v>2</v>
      </c>
      <c r="F204">
        <v>0</v>
      </c>
      <c r="G204" s="87"/>
      <c r="H204" s="87"/>
      <c r="I204" s="87"/>
      <c r="J204" s="87"/>
      <c r="K204" s="87"/>
      <c r="Q204" s="886"/>
      <c r="R204" s="886"/>
      <c r="T204" s="880"/>
    </row>
    <row r="205" spans="1:20">
      <c r="A205">
        <v>15</v>
      </c>
      <c r="B205" s="144" t="s">
        <v>65</v>
      </c>
      <c r="C205">
        <v>1</v>
      </c>
      <c r="D205" s="87"/>
      <c r="E205" s="87" t="s">
        <v>935</v>
      </c>
      <c r="F205">
        <v>1</v>
      </c>
      <c r="G205" s="87"/>
      <c r="H205" s="87"/>
      <c r="I205" s="87"/>
      <c r="J205" s="87"/>
      <c r="K205" s="87"/>
      <c r="Q205" s="886"/>
      <c r="R205" s="886"/>
      <c r="T205" s="880"/>
    </row>
    <row r="206" spans="1:20">
      <c r="C206" s="87"/>
      <c r="D206" s="87"/>
      <c r="E206" s="87" t="s">
        <v>514</v>
      </c>
      <c r="F206">
        <v>0</v>
      </c>
      <c r="G206" s="87"/>
      <c r="H206" s="87"/>
      <c r="I206" s="87"/>
      <c r="J206" s="87"/>
      <c r="K206" s="87"/>
      <c r="Q206" s="886"/>
      <c r="R206" s="886"/>
      <c r="T206" s="880"/>
    </row>
    <row r="207" spans="1:20">
      <c r="B207" s="144" t="s">
        <v>927</v>
      </c>
      <c r="C207" s="145"/>
      <c r="D207" s="87"/>
      <c r="E207" s="144" t="s">
        <v>956</v>
      </c>
      <c r="F207" s="87"/>
      <c r="G207" s="87"/>
      <c r="H207" s="87"/>
      <c r="I207" s="87"/>
      <c r="J207" s="87"/>
      <c r="K207" s="87"/>
      <c r="Q207" s="886"/>
      <c r="R207" s="886"/>
      <c r="T207" s="880"/>
    </row>
    <row r="208" spans="1:20">
      <c r="B208" s="48" t="s">
        <v>928</v>
      </c>
      <c r="C208" s="48">
        <v>1</v>
      </c>
      <c r="D208" s="87"/>
      <c r="E208" s="87" t="s">
        <v>957</v>
      </c>
      <c r="F208">
        <v>1</v>
      </c>
      <c r="G208" s="87"/>
      <c r="H208" s="87"/>
      <c r="I208" s="87"/>
      <c r="J208" s="87"/>
      <c r="K208" s="87"/>
      <c r="Q208" s="886"/>
      <c r="R208" s="886"/>
      <c r="T208" s="880"/>
    </row>
    <row r="209" spans="2:20">
      <c r="B209" s="48" t="s">
        <v>929</v>
      </c>
      <c r="C209" s="48">
        <v>2</v>
      </c>
      <c r="D209" s="87"/>
      <c r="E209" s="87" t="s">
        <v>958</v>
      </c>
      <c r="F209">
        <v>2</v>
      </c>
      <c r="G209" s="87"/>
      <c r="H209" s="87"/>
      <c r="I209" s="87"/>
      <c r="J209" s="87"/>
      <c r="K209" s="87"/>
      <c r="Q209" s="886"/>
      <c r="R209" s="886"/>
      <c r="T209" s="880"/>
    </row>
    <row r="210" spans="2:20">
      <c r="B210" s="48" t="s">
        <v>930</v>
      </c>
      <c r="C210" s="48">
        <v>3</v>
      </c>
      <c r="D210" s="87"/>
      <c r="E210" s="87" t="s">
        <v>959</v>
      </c>
      <c r="F210">
        <v>0</v>
      </c>
      <c r="G210" s="87"/>
      <c r="H210" s="87"/>
      <c r="I210" s="87"/>
      <c r="J210" s="87"/>
      <c r="K210" s="87"/>
      <c r="Q210" s="886"/>
      <c r="R210" s="886"/>
      <c r="T210" s="880"/>
    </row>
    <row r="211" spans="2:20">
      <c r="B211" s="48"/>
      <c r="C211" s="48"/>
      <c r="D211" s="87"/>
      <c r="E211" s="87"/>
      <c r="F211" s="87"/>
      <c r="G211" s="87"/>
      <c r="H211" s="87"/>
      <c r="I211" s="87"/>
      <c r="J211" s="87"/>
      <c r="K211" s="87"/>
      <c r="Q211" s="886"/>
      <c r="R211" s="886"/>
      <c r="T211" s="880"/>
    </row>
    <row r="212" spans="2:20">
      <c r="C212" s="87"/>
      <c r="D212" s="87"/>
      <c r="E212" s="87"/>
      <c r="F212" s="87"/>
      <c r="G212" s="87"/>
      <c r="H212" s="87"/>
      <c r="I212" s="87"/>
      <c r="J212" s="87"/>
      <c r="K212" s="87"/>
      <c r="Q212" s="886"/>
      <c r="R212" s="886"/>
      <c r="T212" s="880"/>
    </row>
    <row r="213" spans="2:20">
      <c r="C213" s="87"/>
      <c r="D213" s="87"/>
      <c r="E213" s="87"/>
      <c r="F213" s="87"/>
      <c r="G213" s="87"/>
      <c r="H213" s="87"/>
      <c r="I213" s="87"/>
      <c r="J213" s="87"/>
      <c r="K213" s="87"/>
      <c r="Q213" s="886"/>
      <c r="R213" s="886"/>
      <c r="T213" s="880"/>
    </row>
    <row r="214" spans="2:20">
      <c r="B214" s="146" t="s">
        <v>408</v>
      </c>
      <c r="C214" s="147"/>
      <c r="D214" s="87"/>
      <c r="E214" s="87"/>
      <c r="F214" s="87"/>
      <c r="G214" s="87"/>
      <c r="H214" s="87"/>
      <c r="I214" s="87"/>
      <c r="J214" s="87"/>
      <c r="K214" s="87"/>
      <c r="Q214" s="886"/>
      <c r="R214" s="886"/>
      <c r="T214" s="880"/>
    </row>
    <row r="215" spans="2:20">
      <c r="B215" s="144" t="s">
        <v>37</v>
      </c>
      <c r="C215">
        <v>0.8</v>
      </c>
      <c r="D215" s="87"/>
      <c r="E215" s="87"/>
      <c r="F215" s="87"/>
      <c r="G215" s="87"/>
      <c r="H215" s="87"/>
      <c r="I215" s="87"/>
      <c r="J215" s="87"/>
      <c r="K215" s="87"/>
      <c r="Q215" s="886"/>
      <c r="R215" s="886"/>
      <c r="T215" s="880"/>
    </row>
    <row r="216" spans="2:20">
      <c r="B216" s="144" t="s">
        <v>65</v>
      </c>
      <c r="C216">
        <v>1</v>
      </c>
      <c r="D216" s="87"/>
      <c r="E216" s="87"/>
      <c r="F216" s="87"/>
      <c r="G216" s="87"/>
      <c r="H216" s="87"/>
      <c r="I216" s="87"/>
      <c r="J216" s="87"/>
      <c r="K216" s="87"/>
      <c r="Q216" s="886"/>
      <c r="R216" s="886"/>
      <c r="T216" s="880"/>
    </row>
    <row r="217" spans="2:20">
      <c r="B217" s="144" t="s">
        <v>409</v>
      </c>
      <c r="C217">
        <v>0</v>
      </c>
      <c r="D217" s="87"/>
      <c r="E217" s="87"/>
      <c r="F217" s="87"/>
      <c r="G217" s="87"/>
      <c r="H217" s="87"/>
      <c r="I217" s="87"/>
      <c r="J217" s="87"/>
      <c r="K217" s="87"/>
      <c r="Q217" s="886"/>
      <c r="R217" s="886"/>
      <c r="T217" s="880"/>
    </row>
    <row r="218" spans="2:20">
      <c r="B218" t="s">
        <v>42</v>
      </c>
      <c r="C218" s="87"/>
      <c r="D218" s="87"/>
      <c r="E218" s="87"/>
      <c r="F218" s="87"/>
      <c r="G218" s="87"/>
      <c r="H218" s="87"/>
      <c r="I218" s="87"/>
      <c r="J218" s="87"/>
      <c r="K218" s="87"/>
      <c r="Q218" s="886"/>
      <c r="R218" s="886"/>
      <c r="T218" s="880"/>
    </row>
    <row r="219" spans="2:20">
      <c r="B219" t="s">
        <v>35</v>
      </c>
      <c r="C219">
        <v>1</v>
      </c>
      <c r="D219" s="87"/>
      <c r="E219" s="87"/>
      <c r="F219" s="87"/>
      <c r="G219" s="87"/>
      <c r="H219" s="87"/>
      <c r="I219" s="87"/>
      <c r="J219" s="87"/>
      <c r="K219" s="87"/>
      <c r="Q219" s="886"/>
      <c r="R219" s="886"/>
      <c r="T219" s="880"/>
    </row>
    <row r="220" spans="2:20">
      <c r="B220" t="s">
        <v>12</v>
      </c>
      <c r="C220">
        <v>0</v>
      </c>
      <c r="D220" s="87"/>
      <c r="E220" s="87"/>
      <c r="F220" s="87"/>
      <c r="G220" s="87"/>
      <c r="H220" s="87"/>
      <c r="I220" s="87"/>
      <c r="J220" s="87"/>
      <c r="K220" s="87"/>
      <c r="Q220" s="886"/>
      <c r="R220" s="886"/>
      <c r="T220" s="880"/>
    </row>
    <row r="221" spans="2:20">
      <c r="B221" s="769" t="s">
        <v>407</v>
      </c>
      <c r="C221" s="769"/>
      <c r="D221" s="769"/>
      <c r="E221" s="769"/>
      <c r="F221" s="769"/>
      <c r="G221" s="87"/>
      <c r="H221" s="87"/>
      <c r="I221" s="87"/>
      <c r="J221" s="87"/>
      <c r="K221" s="87"/>
      <c r="Q221" s="886"/>
      <c r="R221" s="886"/>
      <c r="T221" s="880"/>
    </row>
    <row r="222" spans="2:20">
      <c r="B222" t="s">
        <v>35</v>
      </c>
      <c r="C222" s="87" t="s">
        <v>37</v>
      </c>
      <c r="D222" s="87"/>
      <c r="E222" s="87"/>
      <c r="F222" s="87"/>
      <c r="G222" s="87"/>
      <c r="H222" s="87"/>
      <c r="I222" s="87"/>
      <c r="J222" s="87"/>
      <c r="K222" s="87"/>
      <c r="Q222" s="886"/>
      <c r="R222" s="886"/>
      <c r="T222" s="880"/>
    </row>
    <row r="223" spans="2:20">
      <c r="B223" t="s">
        <v>12</v>
      </c>
      <c r="C223" s="87" t="s">
        <v>65</v>
      </c>
      <c r="D223" s="87"/>
      <c r="E223" s="87"/>
      <c r="F223" s="87"/>
      <c r="G223" s="87"/>
      <c r="H223" s="87"/>
      <c r="I223" s="87"/>
      <c r="J223" s="87"/>
      <c r="K223" s="87"/>
      <c r="Q223" s="886"/>
      <c r="R223" s="886"/>
      <c r="T223" s="880"/>
    </row>
    <row r="224" spans="2:20">
      <c r="C224" s="87"/>
      <c r="D224" s="87"/>
      <c r="E224" s="87"/>
      <c r="F224" s="87"/>
      <c r="G224" s="87"/>
      <c r="H224" s="87"/>
      <c r="I224" s="87"/>
      <c r="J224" s="87"/>
      <c r="K224" s="87"/>
      <c r="Q224" s="886"/>
      <c r="R224" s="886"/>
      <c r="T224" s="880"/>
    </row>
    <row r="225" spans="2:20">
      <c r="B225" s="87"/>
      <c r="C225" s="87"/>
      <c r="D225" s="87"/>
      <c r="E225" s="87"/>
      <c r="F225" s="87"/>
      <c r="G225" s="87"/>
      <c r="H225" s="87"/>
      <c r="I225" s="87"/>
      <c r="J225" s="87"/>
      <c r="K225" s="87"/>
      <c r="Q225" s="886"/>
      <c r="R225" s="886"/>
      <c r="T225" s="880"/>
    </row>
    <row r="226" spans="2:20" ht="15.75">
      <c r="B226" s="304" t="s">
        <v>29</v>
      </c>
      <c r="C226" s="252">
        <v>3484</v>
      </c>
      <c r="D226" s="582">
        <v>1</v>
      </c>
      <c r="E226" s="87"/>
      <c r="F226" s="87"/>
      <c r="G226" s="87"/>
      <c r="H226" s="87"/>
      <c r="I226" s="87"/>
      <c r="J226" s="87"/>
      <c r="K226" s="87"/>
      <c r="Q226" s="886"/>
      <c r="R226" s="886"/>
      <c r="T226" s="880"/>
    </row>
    <row r="227" spans="2:20" ht="15.75">
      <c r="B227" s="304" t="s">
        <v>412</v>
      </c>
      <c r="C227" s="252">
        <v>3484</v>
      </c>
      <c r="D227" s="582">
        <v>1</v>
      </c>
      <c r="E227" s="87"/>
      <c r="F227" s="87"/>
      <c r="G227" s="87"/>
      <c r="H227" s="87"/>
      <c r="I227" s="87"/>
      <c r="J227" s="87"/>
      <c r="K227" s="87"/>
      <c r="Q227" s="886"/>
      <c r="R227" s="886"/>
      <c r="T227" s="880"/>
    </row>
    <row r="228" spans="2:20" ht="15.75">
      <c r="B228" s="305" t="s">
        <v>413</v>
      </c>
      <c r="C228" s="252">
        <v>2400</v>
      </c>
      <c r="D228" s="582">
        <v>1</v>
      </c>
      <c r="E228" s="87"/>
      <c r="F228" s="87"/>
      <c r="G228" s="87"/>
      <c r="H228" s="87"/>
      <c r="I228" s="87"/>
      <c r="J228" s="87"/>
      <c r="K228" s="87"/>
      <c r="Q228" s="886"/>
      <c r="R228" s="886"/>
      <c r="T228" s="880"/>
    </row>
    <row r="229" spans="2:20" ht="15.75">
      <c r="B229" s="305" t="s">
        <v>514</v>
      </c>
      <c r="C229" s="252">
        <v>0</v>
      </c>
      <c r="D229" s="582">
        <v>0</v>
      </c>
      <c r="E229" s="87"/>
      <c r="F229" s="87"/>
      <c r="G229" s="87"/>
      <c r="H229" s="87"/>
      <c r="I229" s="87"/>
      <c r="J229" s="87"/>
      <c r="K229" s="87"/>
      <c r="Q229" s="886"/>
      <c r="R229" s="886"/>
      <c r="T229" s="880"/>
    </row>
    <row r="230" spans="2:20">
      <c r="B230" s="470" t="s">
        <v>918</v>
      </c>
      <c r="C230" s="443">
        <v>1</v>
      </c>
      <c r="D230" s="87"/>
      <c r="E230" s="87"/>
      <c r="F230" s="87"/>
      <c r="G230" s="87"/>
      <c r="H230" s="87"/>
      <c r="I230" s="87"/>
      <c r="J230" s="87"/>
      <c r="K230" s="87"/>
      <c r="Q230" s="886"/>
      <c r="R230" s="886"/>
      <c r="T230" s="880"/>
    </row>
    <row r="231" spans="2:20">
      <c r="B231" s="470" t="s">
        <v>414</v>
      </c>
      <c r="C231" s="443">
        <v>0</v>
      </c>
      <c r="D231" s="87"/>
      <c r="E231" s="87"/>
      <c r="F231" s="87"/>
      <c r="G231" s="87"/>
      <c r="H231" s="87"/>
      <c r="I231" s="87"/>
      <c r="J231" s="87"/>
      <c r="K231" s="87"/>
      <c r="Q231" s="886"/>
      <c r="R231" s="886"/>
      <c r="T231" s="880"/>
    </row>
    <row r="232" spans="2:20">
      <c r="B232" s="470" t="s">
        <v>415</v>
      </c>
      <c r="C232" s="443">
        <v>0</v>
      </c>
      <c r="D232" s="87"/>
      <c r="E232" s="87"/>
      <c r="F232" s="866" t="s">
        <v>921</v>
      </c>
      <c r="G232" s="472">
        <v>1</v>
      </c>
      <c r="H232" s="87"/>
      <c r="I232" s="87"/>
      <c r="J232" s="87"/>
      <c r="K232" s="87"/>
      <c r="Q232" s="886"/>
      <c r="R232" s="886"/>
      <c r="T232" s="880"/>
    </row>
    <row r="233" spans="2:20">
      <c r="B233" s="470" t="s">
        <v>853</v>
      </c>
      <c r="C233" s="443">
        <v>0</v>
      </c>
      <c r="D233" s="87"/>
      <c r="E233" s="87"/>
      <c r="F233" s="866" t="s">
        <v>881</v>
      </c>
      <c r="G233" s="472">
        <v>2</v>
      </c>
      <c r="H233" s="87"/>
      <c r="I233" s="87"/>
      <c r="J233" s="87"/>
      <c r="K233" s="87"/>
      <c r="Q233" s="886"/>
      <c r="R233" s="886"/>
      <c r="T233" s="880"/>
    </row>
    <row r="234" spans="2:20">
      <c r="B234" s="470" t="s">
        <v>851</v>
      </c>
      <c r="C234" s="443">
        <v>0</v>
      </c>
      <c r="D234" s="87"/>
      <c r="E234" s="87"/>
      <c r="F234" s="866" t="s">
        <v>922</v>
      </c>
      <c r="G234" s="472">
        <v>10</v>
      </c>
      <c r="H234" s="87"/>
      <c r="I234" s="87"/>
      <c r="J234" s="87"/>
      <c r="K234" s="87"/>
      <c r="Q234" s="886"/>
      <c r="R234" s="886"/>
      <c r="T234" s="880"/>
    </row>
    <row r="235" spans="2:20">
      <c r="B235" s="470" t="s">
        <v>852</v>
      </c>
      <c r="C235" s="443">
        <v>0</v>
      </c>
      <c r="D235" s="87"/>
      <c r="E235" s="87"/>
      <c r="F235" s="866" t="s">
        <v>1403</v>
      </c>
      <c r="G235" s="472">
        <v>3</v>
      </c>
      <c r="H235" s="87"/>
      <c r="I235" s="87"/>
      <c r="J235" s="87"/>
      <c r="K235" s="87"/>
      <c r="Q235" s="886"/>
      <c r="R235" s="886"/>
      <c r="T235" s="880"/>
    </row>
    <row r="236" spans="2:20">
      <c r="B236" s="470" t="s">
        <v>919</v>
      </c>
      <c r="C236" s="443">
        <v>0</v>
      </c>
      <c r="D236" s="87"/>
      <c r="E236" s="87"/>
      <c r="F236" s="866" t="s">
        <v>1399</v>
      </c>
      <c r="G236" s="472">
        <v>4</v>
      </c>
      <c r="H236" s="87"/>
      <c r="I236" s="87"/>
      <c r="J236" s="87"/>
      <c r="K236" s="87"/>
      <c r="Q236" s="886"/>
      <c r="R236" s="886"/>
      <c r="T236" s="880"/>
    </row>
    <row r="237" spans="2:20">
      <c r="B237" s="470" t="s">
        <v>2143</v>
      </c>
      <c r="C237" s="443">
        <v>0</v>
      </c>
      <c r="D237" s="87"/>
      <c r="E237" s="87"/>
      <c r="F237" s="867" t="s">
        <v>1582</v>
      </c>
      <c r="G237" s="863">
        <v>5</v>
      </c>
      <c r="H237" s="87"/>
      <c r="I237" s="87"/>
      <c r="J237" s="87"/>
      <c r="K237" s="87"/>
      <c r="Q237" s="886"/>
      <c r="R237" s="886"/>
      <c r="T237" s="880"/>
    </row>
    <row r="238" spans="2:20">
      <c r="B238" s="470" t="s">
        <v>920</v>
      </c>
      <c r="C238" s="443">
        <v>0</v>
      </c>
      <c r="D238" s="87"/>
      <c r="E238" s="87"/>
      <c r="F238" s="868" t="s">
        <v>1575</v>
      </c>
      <c r="G238" s="865">
        <v>8</v>
      </c>
      <c r="H238" s="87"/>
      <c r="I238" s="87"/>
      <c r="J238" s="87"/>
      <c r="K238" s="87"/>
      <c r="Q238" s="886"/>
      <c r="R238" s="886"/>
      <c r="T238" s="880"/>
    </row>
    <row r="239" spans="2:20">
      <c r="B239" s="470" t="s">
        <v>1394</v>
      </c>
      <c r="C239" s="443">
        <v>0</v>
      </c>
      <c r="D239" s="87"/>
      <c r="E239" s="87"/>
      <c r="F239" s="868" t="s">
        <v>1576</v>
      </c>
      <c r="G239" s="865">
        <v>9</v>
      </c>
      <c r="H239" s="87"/>
      <c r="I239" s="87"/>
      <c r="J239" s="87"/>
      <c r="K239" s="87"/>
      <c r="Q239" s="886"/>
      <c r="R239" s="886"/>
      <c r="T239" s="880"/>
    </row>
    <row r="240" spans="2:20">
      <c r="E240" s="87"/>
      <c r="F240" s="869" t="s">
        <v>1401</v>
      </c>
      <c r="G240" s="864">
        <v>6</v>
      </c>
      <c r="H240" s="87"/>
      <c r="I240" s="87"/>
      <c r="J240" s="87"/>
      <c r="K240" s="87"/>
      <c r="Q240" s="886"/>
      <c r="R240" s="886"/>
      <c r="T240" s="880"/>
    </row>
    <row r="241" spans="1:20">
      <c r="F241" s="866" t="s">
        <v>992</v>
      </c>
      <c r="G241" s="472">
        <v>7</v>
      </c>
      <c r="I241" s="87"/>
      <c r="J241" s="87"/>
      <c r="K241" s="87"/>
      <c r="Q241" s="886"/>
      <c r="R241" s="886"/>
      <c r="T241" s="880"/>
    </row>
    <row r="242" spans="1:20">
      <c r="F242" s="866" t="s">
        <v>1404</v>
      </c>
      <c r="G242" s="472">
        <v>0</v>
      </c>
    </row>
    <row r="243" spans="1:20">
      <c r="A243" s="440">
        <v>1</v>
      </c>
      <c r="B243" s="3" t="s">
        <v>418</v>
      </c>
      <c r="C243" s="444" t="s">
        <v>504</v>
      </c>
      <c r="D243">
        <v>1</v>
      </c>
    </row>
    <row r="244" spans="1:20">
      <c r="A244" s="440">
        <v>2</v>
      </c>
      <c r="B244" s="3" t="s">
        <v>428</v>
      </c>
      <c r="C244" s="444" t="s">
        <v>503</v>
      </c>
      <c r="D244">
        <v>2</v>
      </c>
    </row>
    <row r="245" spans="1:20">
      <c r="A245" s="440">
        <v>3</v>
      </c>
      <c r="B245" s="3" t="s">
        <v>429</v>
      </c>
      <c r="C245" s="444" t="s">
        <v>517</v>
      </c>
      <c r="D245">
        <v>3</v>
      </c>
    </row>
    <row r="246" spans="1:20">
      <c r="A246" s="440">
        <v>4</v>
      </c>
      <c r="B246" s="3"/>
      <c r="C246" s="444" t="s">
        <v>518</v>
      </c>
      <c r="D246">
        <v>4</v>
      </c>
    </row>
    <row r="247" spans="1:20">
      <c r="A247" s="440">
        <v>5</v>
      </c>
      <c r="B247" s="3"/>
      <c r="C247" s="317" t="s">
        <v>519</v>
      </c>
      <c r="D247">
        <v>5</v>
      </c>
    </row>
    <row r="248" spans="1:20">
      <c r="A248" s="440">
        <v>6</v>
      </c>
      <c r="B248" s="3" t="s">
        <v>416</v>
      </c>
      <c r="C248" s="317" t="s">
        <v>496</v>
      </c>
      <c r="D248">
        <v>6</v>
      </c>
    </row>
    <row r="249" spans="1:20">
      <c r="A249" s="440">
        <v>7</v>
      </c>
      <c r="B249" s="3" t="s">
        <v>417</v>
      </c>
      <c r="C249" s="317" t="s">
        <v>497</v>
      </c>
      <c r="D249">
        <v>7</v>
      </c>
    </row>
    <row r="250" spans="1:20">
      <c r="A250" s="440">
        <v>8</v>
      </c>
      <c r="B250" s="3" t="s">
        <v>10</v>
      </c>
      <c r="C250" s="317" t="s">
        <v>505</v>
      </c>
      <c r="D250">
        <v>8</v>
      </c>
    </row>
    <row r="251" spans="1:20">
      <c r="A251" s="440">
        <v>9</v>
      </c>
      <c r="B251" s="3" t="s">
        <v>510</v>
      </c>
      <c r="C251" s="317" t="s">
        <v>511</v>
      </c>
      <c r="D251">
        <v>9</v>
      </c>
    </row>
    <row r="252" spans="1:20">
      <c r="A252" s="440">
        <v>10</v>
      </c>
      <c r="B252" s="3" t="s">
        <v>513</v>
      </c>
      <c r="C252" s="317" t="s">
        <v>512</v>
      </c>
      <c r="D252">
        <v>10</v>
      </c>
    </row>
    <row r="253" spans="1:20">
      <c r="A253" s="440">
        <v>11</v>
      </c>
      <c r="B253" s="3" t="s">
        <v>419</v>
      </c>
      <c r="C253" s="317" t="s">
        <v>507</v>
      </c>
      <c r="D253">
        <v>11</v>
      </c>
    </row>
    <row r="254" spans="1:20">
      <c r="A254" s="440">
        <v>12</v>
      </c>
      <c r="B254" s="3" t="s">
        <v>420</v>
      </c>
      <c r="C254" s="317" t="s">
        <v>498</v>
      </c>
      <c r="D254">
        <v>12</v>
      </c>
    </row>
    <row r="255" spans="1:20">
      <c r="A255" s="440">
        <v>13</v>
      </c>
      <c r="B255" s="3" t="s">
        <v>421</v>
      </c>
      <c r="C255" s="317" t="s">
        <v>520</v>
      </c>
      <c r="D255">
        <v>13</v>
      </c>
    </row>
    <row r="256" spans="1:20">
      <c r="A256" s="440">
        <v>14</v>
      </c>
      <c r="B256" s="3" t="s">
        <v>422</v>
      </c>
      <c r="C256" s="316" t="s">
        <v>499</v>
      </c>
      <c r="D256">
        <v>14</v>
      </c>
    </row>
    <row r="257" spans="1:4">
      <c r="A257" s="440">
        <v>15</v>
      </c>
      <c r="B257" s="3" t="s">
        <v>423</v>
      </c>
      <c r="C257" s="316" t="s">
        <v>500</v>
      </c>
      <c r="D257">
        <v>15</v>
      </c>
    </row>
    <row r="258" spans="1:4">
      <c r="A258" s="440">
        <v>16</v>
      </c>
      <c r="B258" s="3"/>
      <c r="C258" s="317" t="s">
        <v>521</v>
      </c>
      <c r="D258">
        <v>16</v>
      </c>
    </row>
    <row r="259" spans="1:4">
      <c r="A259" s="440">
        <v>17</v>
      </c>
      <c r="B259" s="3" t="s">
        <v>427</v>
      </c>
      <c r="C259" s="317" t="s">
        <v>502</v>
      </c>
      <c r="D259">
        <v>17</v>
      </c>
    </row>
    <row r="260" spans="1:4">
      <c r="A260" s="440">
        <v>18</v>
      </c>
      <c r="B260" s="3" t="s">
        <v>506</v>
      </c>
      <c r="C260" s="4" t="s">
        <v>522</v>
      </c>
      <c r="D260">
        <v>18</v>
      </c>
    </row>
    <row r="261" spans="1:4">
      <c r="A261" s="440">
        <v>19</v>
      </c>
      <c r="B261" s="3" t="s">
        <v>508</v>
      </c>
      <c r="C261" s="4" t="s">
        <v>509</v>
      </c>
      <c r="D261">
        <v>19</v>
      </c>
    </row>
    <row r="262" spans="1:4">
      <c r="A262" s="440">
        <v>20</v>
      </c>
      <c r="B262" s="3"/>
      <c r="C262" s="4" t="s">
        <v>523</v>
      </c>
      <c r="D262">
        <v>20</v>
      </c>
    </row>
    <row r="263" spans="1:4">
      <c r="A263" s="440">
        <v>21</v>
      </c>
      <c r="B263" s="3"/>
      <c r="C263" s="4" t="s">
        <v>524</v>
      </c>
      <c r="D263">
        <v>21</v>
      </c>
    </row>
    <row r="264" spans="1:4">
      <c r="A264" s="440">
        <v>22</v>
      </c>
      <c r="B264" s="3"/>
      <c r="C264" s="4" t="s">
        <v>525</v>
      </c>
      <c r="D264">
        <v>22</v>
      </c>
    </row>
    <row r="265" spans="1:4">
      <c r="A265" s="440">
        <v>23</v>
      </c>
      <c r="B265" s="3"/>
      <c r="C265" s="4" t="s">
        <v>526</v>
      </c>
      <c r="D265">
        <v>23</v>
      </c>
    </row>
    <row r="266" spans="1:4">
      <c r="A266" s="440">
        <v>24</v>
      </c>
      <c r="B266" s="3" t="s">
        <v>424</v>
      </c>
      <c r="C266" s="4" t="s">
        <v>527</v>
      </c>
      <c r="D266">
        <v>24</v>
      </c>
    </row>
    <row r="267" spans="1:4">
      <c r="A267" s="440">
        <v>25</v>
      </c>
      <c r="B267" s="3"/>
      <c r="C267" s="4" t="s">
        <v>528</v>
      </c>
      <c r="D267">
        <v>25</v>
      </c>
    </row>
    <row r="268" spans="1:4">
      <c r="A268" s="440">
        <v>26</v>
      </c>
      <c r="B268" s="3"/>
      <c r="C268" s="4" t="s">
        <v>529</v>
      </c>
      <c r="D268">
        <v>26</v>
      </c>
    </row>
    <row r="269" spans="1:4">
      <c r="A269" s="440">
        <v>27</v>
      </c>
      <c r="B269" s="3" t="s">
        <v>425</v>
      </c>
      <c r="C269" s="4" t="s">
        <v>501</v>
      </c>
      <c r="D269">
        <v>27</v>
      </c>
    </row>
    <row r="270" spans="1:4">
      <c r="A270" s="440">
        <v>28</v>
      </c>
      <c r="B270" s="3" t="s">
        <v>426</v>
      </c>
      <c r="C270" s="4" t="s">
        <v>530</v>
      </c>
      <c r="D270">
        <v>28</v>
      </c>
    </row>
    <row r="271" spans="1:4">
      <c r="A271" s="440">
        <v>29</v>
      </c>
      <c r="B271" s="3"/>
      <c r="C271" s="441" t="s">
        <v>884</v>
      </c>
      <c r="D271">
        <v>29</v>
      </c>
    </row>
    <row r="272" spans="1:4">
      <c r="A272" s="440">
        <v>30</v>
      </c>
      <c r="B272" s="3"/>
      <c r="C272" s="441" t="s">
        <v>531</v>
      </c>
      <c r="D272">
        <v>0</v>
      </c>
    </row>
    <row r="273" spans="1:20" ht="18.75">
      <c r="A273" s="583"/>
      <c r="B273" s="583"/>
      <c r="C273" s="583"/>
      <c r="D273" s="583"/>
      <c r="E273" s="583"/>
      <c r="F273" s="583"/>
      <c r="G273" s="583"/>
      <c r="H273" s="583"/>
      <c r="I273" s="583"/>
      <c r="J273" s="583"/>
    </row>
    <row r="274" spans="1:20" ht="26.25">
      <c r="A274" s="1372" t="s">
        <v>1373</v>
      </c>
      <c r="B274" s="1373"/>
      <c r="C274" s="1373"/>
      <c r="D274" s="1373"/>
      <c r="E274" s="1373"/>
      <c r="F274" s="1373"/>
      <c r="G274" s="1373"/>
      <c r="H274" s="1373"/>
      <c r="I274" s="1373"/>
      <c r="J274" s="1373"/>
      <c r="K274" s="1373"/>
      <c r="L274" s="1373"/>
      <c r="M274" s="1374"/>
    </row>
    <row r="275" spans="1:20" ht="26.25">
      <c r="A275" s="612"/>
      <c r="B275" s="612"/>
      <c r="C275" s="612"/>
      <c r="D275" s="612"/>
      <c r="E275" s="612"/>
      <c r="F275" s="612"/>
      <c r="G275" s="612"/>
      <c r="H275" s="612"/>
      <c r="I275" s="612"/>
      <c r="J275" s="612"/>
      <c r="K275" s="612"/>
      <c r="L275" s="612"/>
      <c r="M275" s="612"/>
    </row>
    <row r="276" spans="1:20">
      <c r="B276" s="588" t="s">
        <v>3</v>
      </c>
      <c r="C276" s="87"/>
      <c r="D276" s="87"/>
      <c r="E276" s="87"/>
      <c r="F276" s="87"/>
      <c r="G276" s="87"/>
      <c r="H276" s="87"/>
      <c r="I276" s="87"/>
      <c r="J276" s="87"/>
      <c r="K276" s="87"/>
      <c r="Q276" s="886"/>
      <c r="R276" s="886"/>
      <c r="T276" s="880"/>
    </row>
    <row r="277" spans="1:20">
      <c r="B277" s="3" t="s">
        <v>4</v>
      </c>
      <c r="C277" s="87"/>
      <c r="D277" s="87"/>
      <c r="E277" s="87"/>
      <c r="F277" s="87"/>
      <c r="G277" s="87"/>
      <c r="H277" s="87"/>
      <c r="I277" s="87"/>
      <c r="J277" s="87"/>
      <c r="K277" s="87"/>
      <c r="Q277" s="886"/>
      <c r="R277" s="886"/>
      <c r="T277" s="880"/>
    </row>
    <row r="278" spans="1:20">
      <c r="B278" s="3" t="s">
        <v>231</v>
      </c>
      <c r="C278" s="87"/>
      <c r="D278" s="87"/>
      <c r="E278" s="87"/>
      <c r="F278" s="87"/>
      <c r="G278" s="87"/>
      <c r="H278" s="87"/>
      <c r="I278" s="87"/>
      <c r="J278" s="87"/>
      <c r="K278" s="87"/>
      <c r="Q278" s="886"/>
      <c r="R278" s="886"/>
      <c r="T278" s="880"/>
    </row>
    <row r="279" spans="1:20">
      <c r="B279" s="3" t="s">
        <v>174</v>
      </c>
      <c r="C279" s="87"/>
      <c r="D279" s="87"/>
      <c r="E279" s="87"/>
      <c r="F279" s="87"/>
      <c r="G279" s="87"/>
      <c r="H279" s="87"/>
      <c r="I279" s="87"/>
      <c r="J279" s="87"/>
      <c r="K279" s="87"/>
      <c r="Q279" s="886"/>
      <c r="R279" s="886"/>
      <c r="T279" s="880"/>
    </row>
    <row r="280" spans="1:20">
      <c r="B280" s="3" t="s">
        <v>234</v>
      </c>
      <c r="C280" s="87"/>
      <c r="D280" s="87"/>
      <c r="E280" s="87"/>
      <c r="F280" s="87"/>
      <c r="G280" s="87"/>
      <c r="H280" s="87"/>
      <c r="I280" s="87"/>
      <c r="J280" s="87"/>
      <c r="K280" s="87"/>
      <c r="Q280" s="886"/>
      <c r="R280" s="886"/>
      <c r="T280" s="880"/>
    </row>
    <row r="281" spans="1:20">
      <c r="B281" s="3" t="s">
        <v>232</v>
      </c>
      <c r="C281" s="87"/>
      <c r="D281" s="87"/>
      <c r="E281" s="87"/>
      <c r="F281" s="87"/>
      <c r="G281" s="87"/>
      <c r="H281" s="87"/>
      <c r="I281" s="87"/>
      <c r="J281" s="87"/>
      <c r="K281" s="87"/>
      <c r="Q281" s="886"/>
      <c r="R281" s="886"/>
      <c r="T281" s="880"/>
    </row>
    <row r="282" spans="1:20">
      <c r="B282" s="3" t="s">
        <v>236</v>
      </c>
      <c r="C282" s="87"/>
      <c r="D282" s="87"/>
      <c r="E282" s="87"/>
      <c r="F282" s="87"/>
      <c r="G282" s="87"/>
      <c r="H282" s="87"/>
      <c r="I282" s="87"/>
      <c r="J282" s="87"/>
      <c r="K282" s="87"/>
      <c r="Q282" s="886"/>
      <c r="R282" s="886"/>
      <c r="T282" s="880"/>
    </row>
    <row r="283" spans="1:20">
      <c r="B283" s="3" t="s">
        <v>411</v>
      </c>
      <c r="C283" s="87"/>
      <c r="D283" s="87"/>
      <c r="E283" s="87"/>
      <c r="F283" s="87"/>
      <c r="G283" s="87"/>
      <c r="H283" s="87"/>
      <c r="I283" s="87"/>
      <c r="J283" s="87"/>
      <c r="K283" s="87"/>
      <c r="Q283" s="886"/>
      <c r="R283" s="886"/>
      <c r="T283" s="880"/>
    </row>
    <row r="284" spans="1:20">
      <c r="B284" s="3" t="s">
        <v>233</v>
      </c>
      <c r="C284" s="87"/>
      <c r="D284" s="87"/>
      <c r="E284" s="87"/>
      <c r="F284" s="87"/>
      <c r="G284" s="87"/>
      <c r="H284" s="87"/>
      <c r="I284" s="87"/>
      <c r="J284" s="87"/>
      <c r="K284" s="87"/>
      <c r="Q284" s="886"/>
      <c r="R284" s="886"/>
      <c r="T284" s="880"/>
    </row>
    <row r="285" spans="1:20">
      <c r="B285" s="640" t="s">
        <v>1390</v>
      </c>
      <c r="C285" s="87"/>
      <c r="D285" s="87"/>
      <c r="E285" s="87"/>
      <c r="F285" s="87"/>
      <c r="G285" s="87"/>
      <c r="H285" s="87"/>
      <c r="I285" s="87"/>
      <c r="J285" s="87"/>
      <c r="K285" s="87"/>
      <c r="Q285" s="886"/>
      <c r="R285" s="886"/>
      <c r="T285" s="880"/>
    </row>
    <row r="286" spans="1:20">
      <c r="B286" s="168" t="s">
        <v>5</v>
      </c>
      <c r="C286" s="169"/>
      <c r="D286" s="169"/>
      <c r="E286" s="169"/>
      <c r="F286" s="169"/>
      <c r="G286" s="169"/>
      <c r="H286" s="169"/>
      <c r="I286" s="170"/>
      <c r="J286" s="87"/>
      <c r="K286" s="87"/>
      <c r="Q286" s="886"/>
      <c r="R286" s="886"/>
      <c r="T286" s="880"/>
    </row>
    <row r="287" spans="1:20">
      <c r="C287" s="5" t="s">
        <v>4</v>
      </c>
      <c r="D287" s="5" t="s">
        <v>231</v>
      </c>
      <c r="E287" s="3" t="s">
        <v>174</v>
      </c>
      <c r="F287" s="3" t="s">
        <v>234</v>
      </c>
      <c r="G287" s="3" t="s">
        <v>232</v>
      </c>
      <c r="H287" s="3" t="s">
        <v>236</v>
      </c>
      <c r="I287" s="3" t="s">
        <v>2191</v>
      </c>
      <c r="J287" s="3" t="s">
        <v>233</v>
      </c>
      <c r="K287" s="80" t="s">
        <v>1390</v>
      </c>
      <c r="Q287" s="886"/>
      <c r="R287" s="886"/>
      <c r="T287" s="880"/>
    </row>
    <row r="288" spans="1:20" ht="45">
      <c r="B288" s="1351"/>
      <c r="C288" s="161" t="s">
        <v>6</v>
      </c>
      <c r="D288" s="161" t="s">
        <v>410</v>
      </c>
      <c r="E288" s="161" t="s">
        <v>888</v>
      </c>
      <c r="F288" s="80" t="s">
        <v>2181</v>
      </c>
      <c r="G288" s="575" t="s">
        <v>982</v>
      </c>
      <c r="H288" s="80" t="s">
        <v>2187</v>
      </c>
      <c r="I288" s="80" t="s">
        <v>2192</v>
      </c>
      <c r="J288" s="80" t="s">
        <v>2176</v>
      </c>
      <c r="K288" s="3" t="s">
        <v>2164</v>
      </c>
      <c r="Q288" s="886"/>
      <c r="R288" s="886"/>
      <c r="T288" s="880"/>
    </row>
    <row r="289" spans="1:27" ht="30">
      <c r="B289" s="1351"/>
      <c r="C289" s="161" t="s">
        <v>248</v>
      </c>
      <c r="D289" s="164" t="s">
        <v>275</v>
      </c>
      <c r="E289" s="161" t="s">
        <v>889</v>
      </c>
      <c r="F289" s="80" t="s">
        <v>2182</v>
      </c>
      <c r="G289" s="575" t="s">
        <v>983</v>
      </c>
      <c r="H289" s="80" t="s">
        <v>2188</v>
      </c>
      <c r="I289" s="80" t="s">
        <v>2193</v>
      </c>
      <c r="J289" s="80" t="s">
        <v>2177</v>
      </c>
      <c r="K289" s="80" t="s">
        <v>2165</v>
      </c>
      <c r="Q289" s="886"/>
      <c r="R289" s="886"/>
      <c r="T289" s="880"/>
    </row>
    <row r="290" spans="1:27" ht="38.25">
      <c r="B290" s="1351"/>
      <c r="C290" s="161" t="s">
        <v>253</v>
      </c>
      <c r="D290" s="164" t="s">
        <v>276</v>
      </c>
      <c r="E290" s="161" t="s">
        <v>890</v>
      </c>
      <c r="F290" s="80" t="s">
        <v>2183</v>
      </c>
      <c r="G290" s="575" t="s">
        <v>984</v>
      </c>
      <c r="H290" s="80" t="s">
        <v>2168</v>
      </c>
      <c r="I290" s="80" t="s">
        <v>2194</v>
      </c>
      <c r="J290" s="80" t="s">
        <v>2178</v>
      </c>
      <c r="K290" s="80" t="s">
        <v>2166</v>
      </c>
      <c r="Q290" s="886"/>
      <c r="R290" s="886"/>
      <c r="T290" s="880"/>
    </row>
    <row r="291" spans="1:27" ht="30">
      <c r="B291" s="1351"/>
      <c r="C291" s="161" t="s">
        <v>258</v>
      </c>
      <c r="D291" s="164" t="s">
        <v>277</v>
      </c>
      <c r="E291" s="161" t="s">
        <v>891</v>
      </c>
      <c r="F291" s="80" t="s">
        <v>2184</v>
      </c>
      <c r="G291" s="575" t="s">
        <v>985</v>
      </c>
      <c r="H291" s="80" t="s">
        <v>2172</v>
      </c>
      <c r="I291" s="80"/>
      <c r="J291" s="80" t="s">
        <v>2179</v>
      </c>
      <c r="K291" s="80" t="s">
        <v>2167</v>
      </c>
      <c r="Q291" s="886"/>
      <c r="R291" s="886"/>
      <c r="T291" s="880"/>
    </row>
    <row r="292" spans="1:27" ht="38.25">
      <c r="B292" s="1351"/>
      <c r="C292" s="161" t="s">
        <v>264</v>
      </c>
      <c r="D292" s="164" t="s">
        <v>278</v>
      </c>
      <c r="E292" s="161" t="s">
        <v>1392</v>
      </c>
      <c r="F292" s="80" t="s">
        <v>2185</v>
      </c>
      <c r="G292" s="80"/>
      <c r="H292" s="80" t="s">
        <v>2189</v>
      </c>
      <c r="I292" s="80" t="s">
        <v>2195</v>
      </c>
      <c r="J292" s="80" t="s">
        <v>2180</v>
      </c>
      <c r="K292" s="80" t="s">
        <v>2168</v>
      </c>
      <c r="Q292" s="886"/>
      <c r="R292" s="886"/>
      <c r="T292" s="880"/>
    </row>
    <row r="293" spans="1:27" ht="51">
      <c r="B293" s="1351"/>
      <c r="C293" s="161" t="s">
        <v>265</v>
      </c>
      <c r="D293" s="164" t="s">
        <v>279</v>
      </c>
      <c r="E293" s="161" t="s">
        <v>2197</v>
      </c>
      <c r="F293" s="80" t="s">
        <v>2186</v>
      </c>
      <c r="G293" s="80"/>
      <c r="H293" s="80" t="s">
        <v>2190</v>
      </c>
      <c r="I293" s="80"/>
      <c r="J293" s="80"/>
      <c r="K293" s="80" t="s">
        <v>2169</v>
      </c>
      <c r="Q293" s="886"/>
      <c r="R293" s="886"/>
      <c r="T293" s="880"/>
    </row>
    <row r="294" spans="1:27" ht="25.5">
      <c r="B294" s="1351"/>
      <c r="C294" s="161" t="s">
        <v>266</v>
      </c>
      <c r="D294" s="164" t="s">
        <v>280</v>
      </c>
      <c r="E294" s="161" t="s">
        <v>2198</v>
      </c>
      <c r="F294" s="80"/>
      <c r="G294" s="80"/>
      <c r="H294" s="80"/>
      <c r="I294" s="80"/>
      <c r="J294" s="80"/>
      <c r="K294" s="80" t="s">
        <v>2170</v>
      </c>
      <c r="Q294" s="886"/>
      <c r="R294" s="886"/>
      <c r="T294" s="880"/>
    </row>
    <row r="295" spans="1:27">
      <c r="B295" s="1351"/>
      <c r="C295" s="161" t="s">
        <v>267</v>
      </c>
      <c r="D295" s="80" t="s">
        <v>2196</v>
      </c>
      <c r="E295" s="161"/>
      <c r="F295" s="80"/>
      <c r="G295" s="80"/>
      <c r="H295" s="80"/>
      <c r="I295" s="80"/>
      <c r="J295" s="80"/>
      <c r="K295" s="80" t="s">
        <v>2171</v>
      </c>
      <c r="L295" s="87"/>
      <c r="M295" s="87"/>
      <c r="P295" s="886"/>
      <c r="Q295" s="886"/>
      <c r="R295" s="886"/>
      <c r="X295" s="886"/>
      <c r="Y295" s="886"/>
      <c r="AA295" s="880"/>
    </row>
    <row r="296" spans="1:27">
      <c r="B296" s="1351"/>
      <c r="C296" s="161" t="s">
        <v>268</v>
      </c>
      <c r="D296" s="80"/>
      <c r="E296" s="161"/>
      <c r="F296" s="80"/>
      <c r="G296" s="80"/>
      <c r="H296" s="80"/>
      <c r="I296" s="80"/>
      <c r="J296" s="80"/>
      <c r="K296" s="80" t="s">
        <v>2172</v>
      </c>
      <c r="L296" s="87"/>
      <c r="M296" s="87"/>
      <c r="N296" s="87"/>
      <c r="O296" s="87"/>
      <c r="P296" s="886"/>
      <c r="Q296" s="886"/>
      <c r="R296" s="886"/>
      <c r="X296" s="886"/>
      <c r="Y296" s="886"/>
      <c r="AA296" s="880"/>
    </row>
    <row r="297" spans="1:27">
      <c r="B297" s="1351"/>
      <c r="C297" s="161" t="s">
        <v>269</v>
      </c>
      <c r="D297" s="80"/>
      <c r="E297" s="161"/>
      <c r="F297" s="80"/>
      <c r="G297" s="80"/>
      <c r="H297" s="80"/>
      <c r="I297" s="80"/>
      <c r="J297" s="80"/>
      <c r="K297" s="80" t="s">
        <v>2173</v>
      </c>
      <c r="L297" s="87"/>
      <c r="M297" s="87"/>
      <c r="N297" s="87"/>
      <c r="O297" s="87"/>
      <c r="U297" s="886"/>
      <c r="V297" s="886"/>
      <c r="X297" s="880"/>
    </row>
    <row r="298" spans="1:27" ht="25.5">
      <c r="B298" s="1351"/>
      <c r="C298" s="161" t="s">
        <v>270</v>
      </c>
      <c r="D298" s="80"/>
      <c r="E298" s="161"/>
      <c r="F298" s="80"/>
      <c r="G298" s="80"/>
      <c r="H298" s="80"/>
      <c r="I298" s="80"/>
      <c r="J298" s="80"/>
      <c r="K298" s="80" t="s">
        <v>2174</v>
      </c>
      <c r="L298" s="87"/>
      <c r="M298" s="87"/>
      <c r="N298" s="87"/>
      <c r="O298" s="87"/>
      <c r="S298" s="886"/>
      <c r="T298" s="886"/>
      <c r="V298" s="880"/>
    </row>
    <row r="299" spans="1:27">
      <c r="B299" s="1351"/>
      <c r="C299" s="161" t="s">
        <v>271</v>
      </c>
      <c r="D299" s="80"/>
      <c r="E299" s="161"/>
      <c r="F299" s="80"/>
      <c r="G299" s="80"/>
      <c r="H299" s="80"/>
      <c r="I299" s="80"/>
      <c r="J299" s="80"/>
      <c r="K299" s="80" t="s">
        <v>2175</v>
      </c>
      <c r="L299" s="87"/>
      <c r="R299" s="886"/>
      <c r="S299" s="886"/>
      <c r="U299" s="880"/>
    </row>
    <row r="300" spans="1:27">
      <c r="B300" s="1351"/>
      <c r="C300" s="161" t="s">
        <v>272</v>
      </c>
      <c r="D300" s="80"/>
      <c r="E300" s="161"/>
      <c r="F300" s="80"/>
      <c r="G300" s="80"/>
      <c r="H300" s="80"/>
      <c r="I300" s="80"/>
      <c r="J300" s="80"/>
      <c r="K300" s="80" t="s">
        <v>2199</v>
      </c>
      <c r="Q300" s="886"/>
      <c r="R300" s="886"/>
      <c r="T300" s="880"/>
    </row>
    <row r="301" spans="1:27" ht="25.5">
      <c r="B301" s="1351"/>
      <c r="C301" s="161" t="s">
        <v>273</v>
      </c>
      <c r="D301" s="80"/>
      <c r="E301" s="161"/>
      <c r="F301" s="80"/>
      <c r="G301" s="80"/>
      <c r="H301" s="80"/>
      <c r="I301" s="80"/>
      <c r="J301" s="80"/>
      <c r="K301" s="80"/>
      <c r="Q301" s="886"/>
      <c r="R301" s="886"/>
      <c r="T301" s="880"/>
    </row>
    <row r="302" spans="1:27">
      <c r="B302" s="1351"/>
      <c r="C302" s="161" t="s">
        <v>274</v>
      </c>
      <c r="D302" s="80"/>
      <c r="E302" s="161"/>
      <c r="F302" s="80"/>
      <c r="G302" s="80"/>
      <c r="H302" s="80"/>
      <c r="I302" s="80"/>
      <c r="J302" s="80"/>
      <c r="K302" s="80"/>
      <c r="Q302" s="886"/>
      <c r="R302" s="886"/>
      <c r="T302" s="880"/>
    </row>
    <row r="303" spans="1:27">
      <c r="C303" s="87"/>
      <c r="D303" s="87"/>
      <c r="E303" s="87"/>
      <c r="F303" s="87"/>
      <c r="G303" s="87"/>
      <c r="H303" s="87"/>
      <c r="I303" s="87"/>
      <c r="J303" s="87"/>
      <c r="K303" s="87"/>
      <c r="Q303" s="886"/>
      <c r="R303" s="886"/>
      <c r="T303" s="880"/>
    </row>
    <row r="304" spans="1:27" ht="18.75">
      <c r="A304" s="583"/>
      <c r="B304" s="583"/>
      <c r="C304" s="583"/>
      <c r="D304" s="583"/>
      <c r="E304" s="583"/>
      <c r="F304" s="583"/>
      <c r="G304" s="583"/>
      <c r="H304" s="583"/>
      <c r="I304" s="583"/>
      <c r="J304" s="583"/>
    </row>
    <row r="305" spans="1:27" ht="18.75">
      <c r="A305" s="583"/>
      <c r="B305" s="583"/>
      <c r="C305" s="583"/>
      <c r="D305" s="583"/>
      <c r="E305" s="583"/>
      <c r="F305" s="583"/>
      <c r="G305" s="583"/>
      <c r="H305" s="583"/>
      <c r="I305" s="583"/>
      <c r="J305" s="583"/>
    </row>
    <row r="306" spans="1:27">
      <c r="B306" s="161" t="s">
        <v>6</v>
      </c>
      <c r="C306">
        <v>1</v>
      </c>
      <c r="E306" s="87"/>
      <c r="F306" s="87"/>
      <c r="G306" s="87"/>
      <c r="H306" s="87"/>
      <c r="I306" s="87"/>
      <c r="J306" s="87"/>
      <c r="K306" s="87"/>
      <c r="Q306" s="886"/>
      <c r="R306" s="886"/>
      <c r="T306" s="880"/>
    </row>
    <row r="307" spans="1:27">
      <c r="B307" s="161" t="s">
        <v>248</v>
      </c>
      <c r="C307">
        <v>0</v>
      </c>
      <c r="E307" s="87"/>
      <c r="F307" s="87"/>
      <c r="G307" s="87"/>
      <c r="H307" s="87"/>
      <c r="I307" s="87"/>
      <c r="J307" s="87"/>
      <c r="K307" s="87"/>
      <c r="Q307" s="886"/>
      <c r="R307" s="886"/>
      <c r="T307" s="880"/>
    </row>
    <row r="308" spans="1:27">
      <c r="B308" s="161" t="s">
        <v>253</v>
      </c>
      <c r="C308">
        <v>0</v>
      </c>
      <c r="E308" s="87"/>
      <c r="F308" s="87"/>
      <c r="G308" s="87"/>
      <c r="H308" s="87"/>
      <c r="I308" s="87"/>
      <c r="J308" s="87"/>
      <c r="K308" s="87"/>
      <c r="Q308" s="886"/>
      <c r="R308" s="886"/>
      <c r="T308" s="880"/>
    </row>
    <row r="309" spans="1:27">
      <c r="B309" s="161" t="s">
        <v>258</v>
      </c>
      <c r="C309">
        <v>0</v>
      </c>
      <c r="E309" s="87"/>
      <c r="F309" s="87"/>
      <c r="G309" s="87"/>
      <c r="H309" s="87"/>
      <c r="I309" s="87"/>
      <c r="J309" s="87"/>
      <c r="K309" s="87"/>
      <c r="Q309" s="886"/>
      <c r="R309" s="886"/>
      <c r="T309" s="880"/>
    </row>
    <row r="310" spans="1:27">
      <c r="B310" s="161" t="s">
        <v>264</v>
      </c>
      <c r="C310">
        <v>0</v>
      </c>
      <c r="E310" s="87"/>
      <c r="F310" s="87"/>
      <c r="G310" s="87"/>
      <c r="H310" s="87"/>
      <c r="I310" s="87"/>
      <c r="J310" s="87"/>
      <c r="K310" s="87"/>
      <c r="Q310" s="886"/>
      <c r="R310" s="886"/>
      <c r="T310" s="880"/>
    </row>
    <row r="311" spans="1:27">
      <c r="B311" s="161" t="s">
        <v>265</v>
      </c>
      <c r="C311">
        <v>0</v>
      </c>
      <c r="E311" s="87"/>
      <c r="F311" s="87"/>
      <c r="G311" s="87"/>
      <c r="H311" s="87"/>
      <c r="I311" s="87"/>
      <c r="J311" s="87"/>
      <c r="K311" s="87"/>
      <c r="Q311" s="886"/>
      <c r="R311" s="886"/>
      <c r="T311" s="880"/>
    </row>
    <row r="312" spans="1:27">
      <c r="B312" s="161" t="s">
        <v>266</v>
      </c>
      <c r="C312">
        <v>0</v>
      </c>
      <c r="E312" s="87"/>
      <c r="F312" s="87"/>
      <c r="G312" s="87"/>
      <c r="H312" s="87"/>
      <c r="I312" s="87"/>
      <c r="J312" s="87"/>
      <c r="K312" s="87"/>
      <c r="Q312" s="886"/>
      <c r="R312" s="886"/>
      <c r="T312" s="880"/>
    </row>
    <row r="313" spans="1:27">
      <c r="B313" s="161" t="s">
        <v>267</v>
      </c>
      <c r="C313">
        <v>0</v>
      </c>
      <c r="D313" s="87"/>
      <c r="E313" s="87"/>
      <c r="F313" s="87"/>
      <c r="G313" s="87"/>
      <c r="H313" s="87"/>
      <c r="I313" s="87"/>
      <c r="J313" s="87"/>
      <c r="K313" s="87"/>
      <c r="L313" s="87"/>
      <c r="M313" s="87"/>
      <c r="P313" s="886"/>
      <c r="Q313" s="886"/>
      <c r="R313" s="886"/>
      <c r="X313" s="886"/>
      <c r="Y313" s="886"/>
      <c r="AA313" s="880"/>
    </row>
    <row r="314" spans="1:27">
      <c r="B314" s="161" t="s">
        <v>268</v>
      </c>
      <c r="C314">
        <v>0</v>
      </c>
      <c r="D314" s="87"/>
      <c r="E314" s="87"/>
      <c r="F314" s="87"/>
      <c r="G314" s="87"/>
      <c r="H314" s="87"/>
      <c r="I314" s="87"/>
      <c r="J314" s="87"/>
      <c r="K314" s="87"/>
      <c r="L314" s="87"/>
      <c r="M314" s="87"/>
      <c r="N314" s="87"/>
      <c r="O314" s="87"/>
      <c r="P314" s="886"/>
      <c r="Q314" s="886"/>
      <c r="R314" s="886"/>
      <c r="X314" s="886"/>
      <c r="Y314" s="886"/>
      <c r="AA314" s="880"/>
    </row>
    <row r="315" spans="1:27">
      <c r="B315" s="161" t="s">
        <v>269</v>
      </c>
      <c r="C315">
        <v>0</v>
      </c>
      <c r="D315" s="87"/>
      <c r="E315" s="87"/>
      <c r="F315" s="87"/>
      <c r="G315" s="87"/>
      <c r="H315" s="87"/>
      <c r="I315" s="87"/>
      <c r="J315" s="87"/>
      <c r="K315" s="87"/>
      <c r="L315" s="87"/>
      <c r="M315" s="87"/>
      <c r="N315" s="87"/>
      <c r="O315" s="87"/>
      <c r="U315" s="886"/>
      <c r="V315" s="886"/>
      <c r="X315" s="880"/>
    </row>
    <row r="316" spans="1:27">
      <c r="B316" s="161" t="s">
        <v>270</v>
      </c>
      <c r="C316">
        <v>0</v>
      </c>
      <c r="D316" s="87"/>
      <c r="E316" s="87"/>
      <c r="F316" s="87"/>
      <c r="G316" s="87"/>
      <c r="H316" s="87"/>
      <c r="I316" s="87"/>
      <c r="J316" s="87"/>
      <c r="K316" s="87"/>
      <c r="L316" s="87"/>
      <c r="M316" s="87"/>
      <c r="N316" s="87"/>
      <c r="O316" s="87"/>
      <c r="S316" s="886"/>
      <c r="T316" s="886"/>
      <c r="V316" s="880"/>
    </row>
    <row r="317" spans="1:27">
      <c r="B317" s="161" t="s">
        <v>271</v>
      </c>
      <c r="C317">
        <v>0</v>
      </c>
      <c r="D317" s="87"/>
      <c r="E317" s="87"/>
      <c r="F317" s="87"/>
      <c r="G317" s="87"/>
      <c r="H317" s="87"/>
      <c r="I317" s="87"/>
      <c r="J317" s="87"/>
      <c r="K317" s="87"/>
      <c r="L317" s="87"/>
      <c r="R317" s="886"/>
      <c r="S317" s="886"/>
      <c r="U317" s="880"/>
    </row>
    <row r="318" spans="1:27">
      <c r="B318" s="161" t="s">
        <v>272</v>
      </c>
      <c r="C318">
        <v>0</v>
      </c>
      <c r="D318" s="87"/>
      <c r="E318" s="87"/>
      <c r="F318" s="87"/>
      <c r="G318" s="87"/>
      <c r="H318" s="87"/>
      <c r="I318" s="87"/>
      <c r="J318" s="87"/>
      <c r="K318" s="87"/>
      <c r="Q318" s="886"/>
      <c r="R318" s="886"/>
      <c r="T318" s="880"/>
    </row>
    <row r="319" spans="1:27">
      <c r="B319" s="161" t="s">
        <v>273</v>
      </c>
      <c r="C319">
        <v>0</v>
      </c>
      <c r="D319" s="87"/>
      <c r="E319" s="87"/>
      <c r="F319" s="87"/>
      <c r="G319" s="87"/>
      <c r="H319" s="87"/>
      <c r="I319" s="87"/>
      <c r="J319" s="87"/>
      <c r="K319" s="87"/>
      <c r="Q319" s="886"/>
      <c r="R319" s="886"/>
      <c r="T319" s="880"/>
    </row>
    <row r="320" spans="1:27">
      <c r="B320" s="161" t="s">
        <v>274</v>
      </c>
      <c r="C320">
        <v>0</v>
      </c>
      <c r="D320" s="87"/>
      <c r="E320" s="87"/>
      <c r="F320" s="87"/>
      <c r="G320" s="87"/>
      <c r="H320" s="87"/>
      <c r="I320" s="87"/>
      <c r="J320" s="87"/>
      <c r="K320" s="87"/>
      <c r="Q320" s="886"/>
      <c r="R320" s="886"/>
      <c r="T320" s="880"/>
    </row>
    <row r="321" spans="2:20">
      <c r="B321" s="163" t="s">
        <v>410</v>
      </c>
      <c r="C321">
        <v>0</v>
      </c>
      <c r="D321" s="87"/>
      <c r="E321" s="87"/>
      <c r="F321" s="87"/>
      <c r="G321" s="87"/>
      <c r="H321" s="87"/>
      <c r="I321" s="87"/>
      <c r="J321" s="87"/>
      <c r="K321" s="87"/>
      <c r="Q321" s="886"/>
      <c r="R321" s="886"/>
      <c r="T321" s="880"/>
    </row>
    <row r="322" spans="2:20">
      <c r="B322" s="164" t="s">
        <v>275</v>
      </c>
      <c r="C322">
        <v>0</v>
      </c>
      <c r="D322" s="87"/>
      <c r="E322" s="87"/>
      <c r="F322" s="87"/>
      <c r="G322" s="87"/>
      <c r="H322" s="87"/>
      <c r="I322" s="87"/>
      <c r="J322" s="87"/>
      <c r="K322" s="87"/>
      <c r="Q322" s="886"/>
      <c r="R322" s="886"/>
      <c r="T322" s="880"/>
    </row>
    <row r="323" spans="2:20">
      <c r="B323" s="164" t="s">
        <v>276</v>
      </c>
      <c r="C323">
        <v>0</v>
      </c>
      <c r="D323" s="87"/>
      <c r="E323" s="87"/>
      <c r="F323" s="87"/>
      <c r="G323" s="87"/>
      <c r="H323" s="87"/>
      <c r="I323" s="87"/>
      <c r="J323" s="87"/>
      <c r="K323" s="87"/>
      <c r="Q323" s="886"/>
      <c r="R323" s="886"/>
      <c r="T323" s="880"/>
    </row>
    <row r="324" spans="2:20" ht="26.25">
      <c r="B324" s="164" t="s">
        <v>277</v>
      </c>
      <c r="C324">
        <v>0</v>
      </c>
      <c r="D324" s="87"/>
      <c r="E324" s="87"/>
      <c r="F324" s="87"/>
      <c r="G324" s="87"/>
      <c r="H324" s="87"/>
      <c r="I324" s="87"/>
      <c r="J324" s="87"/>
      <c r="K324" s="87"/>
      <c r="Q324" s="886"/>
      <c r="R324" s="886"/>
      <c r="T324" s="880"/>
    </row>
    <row r="325" spans="2:20">
      <c r="B325" s="164" t="s">
        <v>278</v>
      </c>
      <c r="C325">
        <v>0</v>
      </c>
      <c r="D325" s="87"/>
      <c r="E325" s="87"/>
      <c r="F325" s="87"/>
      <c r="G325" s="87"/>
      <c r="H325" s="87"/>
      <c r="I325" s="87"/>
      <c r="J325" s="87"/>
      <c r="K325" s="87"/>
      <c r="Q325" s="886"/>
      <c r="R325" s="886"/>
      <c r="T325" s="880"/>
    </row>
    <row r="326" spans="2:20">
      <c r="B326" s="164" t="s">
        <v>279</v>
      </c>
      <c r="C326">
        <v>0</v>
      </c>
      <c r="D326" s="87"/>
      <c r="E326" s="87"/>
      <c r="F326" s="87"/>
      <c r="G326" s="87"/>
      <c r="H326" s="87"/>
      <c r="I326" s="87"/>
      <c r="J326" s="87"/>
      <c r="K326" s="87"/>
      <c r="Q326" s="886"/>
      <c r="R326" s="886"/>
      <c r="T326" s="880"/>
    </row>
    <row r="327" spans="2:20">
      <c r="B327" s="164" t="s">
        <v>280</v>
      </c>
      <c r="C327">
        <v>0</v>
      </c>
      <c r="D327" s="87"/>
      <c r="E327" s="87"/>
      <c r="F327" s="87"/>
      <c r="G327" s="87"/>
      <c r="H327" s="87"/>
      <c r="I327" s="87"/>
      <c r="J327" s="87"/>
      <c r="K327" s="87"/>
      <c r="Q327" s="886"/>
      <c r="R327" s="886"/>
      <c r="T327" s="880"/>
    </row>
    <row r="328" spans="2:20">
      <c r="B328" s="163" t="s">
        <v>888</v>
      </c>
      <c r="C328">
        <v>0</v>
      </c>
      <c r="D328" s="87"/>
      <c r="E328" s="87"/>
      <c r="F328" s="87"/>
      <c r="G328" s="87"/>
      <c r="H328" s="87"/>
      <c r="I328" s="87"/>
      <c r="J328" s="87"/>
      <c r="K328" s="87"/>
      <c r="Q328" s="886"/>
      <c r="R328" s="886"/>
      <c r="T328" s="880"/>
    </row>
    <row r="329" spans="2:20">
      <c r="B329" s="163" t="s">
        <v>889</v>
      </c>
      <c r="C329">
        <v>0</v>
      </c>
      <c r="D329" s="87"/>
      <c r="E329" s="87"/>
      <c r="F329" s="87"/>
      <c r="G329" s="87"/>
      <c r="H329" s="87"/>
      <c r="I329" s="87"/>
      <c r="J329" s="87"/>
      <c r="K329" s="87"/>
      <c r="Q329" s="886"/>
      <c r="R329" s="886"/>
      <c r="T329" s="880"/>
    </row>
    <row r="330" spans="2:20">
      <c r="B330" s="163" t="s">
        <v>890</v>
      </c>
      <c r="C330">
        <v>0</v>
      </c>
      <c r="D330" s="87"/>
      <c r="E330" s="87"/>
      <c r="F330" s="87"/>
      <c r="G330" s="87"/>
      <c r="H330" s="87"/>
      <c r="I330" s="87"/>
      <c r="J330" s="87"/>
      <c r="K330" s="87"/>
      <c r="Q330" s="886"/>
      <c r="R330" s="886"/>
      <c r="T330" s="880"/>
    </row>
    <row r="331" spans="2:20">
      <c r="B331" s="163" t="s">
        <v>891</v>
      </c>
      <c r="C331">
        <v>0</v>
      </c>
      <c r="D331" s="87"/>
      <c r="E331" s="87"/>
      <c r="F331" s="87"/>
      <c r="G331" s="87"/>
      <c r="H331" s="87"/>
      <c r="I331" s="87"/>
      <c r="J331" s="87"/>
      <c r="K331" s="87"/>
      <c r="Q331" s="886"/>
      <c r="R331" s="886"/>
      <c r="T331" s="880"/>
    </row>
    <row r="332" spans="2:20">
      <c r="B332" s="163" t="s">
        <v>1392</v>
      </c>
      <c r="C332">
        <v>0</v>
      </c>
      <c r="D332" s="87"/>
      <c r="E332" s="87"/>
      <c r="F332" s="87"/>
      <c r="G332" s="87"/>
      <c r="H332" s="87"/>
      <c r="I332" s="87"/>
      <c r="J332" s="87"/>
      <c r="K332" s="87"/>
      <c r="Q332" s="886"/>
      <c r="R332" s="886"/>
      <c r="T332" s="880"/>
    </row>
    <row r="333" spans="2:20" ht="30">
      <c r="B333" s="575" t="s">
        <v>982</v>
      </c>
      <c r="C333">
        <v>0</v>
      </c>
      <c r="D333" s="87"/>
      <c r="E333" s="87"/>
      <c r="F333" s="87"/>
      <c r="G333" s="87"/>
      <c r="H333" s="87"/>
      <c r="I333" s="87"/>
      <c r="J333" s="87"/>
      <c r="K333" s="87"/>
      <c r="Q333" s="886"/>
      <c r="R333" s="886"/>
      <c r="T333" s="880"/>
    </row>
    <row r="334" spans="2:20">
      <c r="B334" s="575" t="s">
        <v>983</v>
      </c>
      <c r="C334">
        <v>0</v>
      </c>
      <c r="D334" s="87"/>
      <c r="E334" s="87"/>
      <c r="F334" s="87"/>
      <c r="G334" s="87"/>
      <c r="H334" s="87"/>
      <c r="I334" s="87"/>
      <c r="J334" s="87"/>
      <c r="K334" s="87"/>
      <c r="Q334" s="886"/>
      <c r="R334" s="886"/>
      <c r="T334" s="880"/>
    </row>
    <row r="335" spans="2:20">
      <c r="B335" s="575" t="s">
        <v>984</v>
      </c>
      <c r="C335">
        <v>0</v>
      </c>
      <c r="D335" s="87"/>
      <c r="E335" s="87"/>
      <c r="F335" s="87"/>
      <c r="G335" s="87"/>
      <c r="H335" s="87"/>
      <c r="I335" s="87"/>
      <c r="J335" s="87"/>
      <c r="K335" s="87"/>
      <c r="Q335" s="886"/>
      <c r="R335" s="886"/>
      <c r="T335" s="880"/>
    </row>
    <row r="336" spans="2:20">
      <c r="B336" s="575" t="s">
        <v>985</v>
      </c>
      <c r="C336">
        <v>0</v>
      </c>
      <c r="D336" s="87"/>
      <c r="E336" s="87"/>
      <c r="F336" s="87"/>
      <c r="G336" s="87"/>
      <c r="H336" s="87"/>
      <c r="I336" s="87"/>
      <c r="J336" s="87"/>
      <c r="K336" s="87"/>
      <c r="Q336" s="886"/>
      <c r="R336" s="886"/>
      <c r="T336" s="880"/>
    </row>
    <row r="337" spans="1:34">
      <c r="B337" s="586"/>
      <c r="D337" s="87"/>
      <c r="E337" s="87"/>
      <c r="F337" s="87"/>
      <c r="G337" s="87"/>
      <c r="H337" s="87"/>
      <c r="I337" s="87"/>
      <c r="J337" s="87"/>
      <c r="K337" s="87"/>
      <c r="Q337" s="886"/>
      <c r="R337" s="886"/>
      <c r="T337" s="880"/>
    </row>
    <row r="338" spans="1:34">
      <c r="B338" s="586"/>
      <c r="D338" s="87"/>
      <c r="E338" s="87"/>
      <c r="F338" s="87"/>
      <c r="G338" s="87"/>
      <c r="H338" s="87"/>
      <c r="I338" s="87"/>
      <c r="J338" s="87"/>
      <c r="K338" s="87"/>
      <c r="Q338" s="886"/>
      <c r="R338" s="886"/>
      <c r="T338" s="880"/>
    </row>
    <row r="339" spans="1:34">
      <c r="B339" s="586"/>
      <c r="D339" s="87"/>
      <c r="E339" s="87"/>
      <c r="F339" s="87"/>
      <c r="G339" s="87"/>
      <c r="H339" s="87"/>
      <c r="I339" s="87"/>
      <c r="J339" s="87"/>
      <c r="K339" s="87"/>
      <c r="Q339" s="886"/>
      <c r="R339" s="886"/>
      <c r="T339" s="880"/>
    </row>
    <row r="340" spans="1:34">
      <c r="B340" s="586"/>
      <c r="D340" s="87"/>
      <c r="E340" s="87"/>
      <c r="F340" s="87"/>
      <c r="G340" s="87"/>
      <c r="H340" s="87"/>
      <c r="I340" s="87"/>
      <c r="J340" s="87"/>
      <c r="K340" s="87"/>
      <c r="Q340" s="886"/>
      <c r="R340" s="886"/>
      <c r="T340" s="880"/>
    </row>
    <row r="341" spans="1:34">
      <c r="B341" s="586"/>
      <c r="D341" s="87"/>
      <c r="E341" s="87"/>
      <c r="F341" s="87"/>
      <c r="G341" s="87"/>
      <c r="H341" s="87"/>
      <c r="I341" s="87"/>
      <c r="J341" s="87"/>
      <c r="K341" s="87"/>
      <c r="Q341" s="886"/>
      <c r="R341" s="886"/>
      <c r="T341" s="880"/>
    </row>
    <row r="342" spans="1:34">
      <c r="B342" s="586"/>
      <c r="D342" s="87"/>
      <c r="E342" s="87"/>
      <c r="F342" s="87"/>
      <c r="G342" s="87"/>
      <c r="H342" s="87"/>
      <c r="I342" s="87"/>
      <c r="J342" s="87"/>
      <c r="K342" s="87"/>
      <c r="Q342" s="886"/>
      <c r="R342" s="886"/>
      <c r="T342" s="880"/>
    </row>
    <row r="343" spans="1:34">
      <c r="B343" s="586"/>
      <c r="D343" s="87"/>
      <c r="E343" s="87"/>
      <c r="F343" s="87"/>
      <c r="G343" s="87"/>
      <c r="H343" s="87"/>
      <c r="I343" s="87"/>
      <c r="J343" s="87"/>
      <c r="K343" s="87"/>
      <c r="Q343" s="886"/>
      <c r="R343" s="886"/>
      <c r="T343" s="880"/>
    </row>
    <row r="345" spans="1:34" ht="23.25">
      <c r="A345" s="653" t="s">
        <v>996</v>
      </c>
      <c r="B345" s="653"/>
      <c r="C345" s="653"/>
      <c r="D345" s="653"/>
      <c r="E345" s="653"/>
      <c r="F345" s="653" t="s">
        <v>1586</v>
      </c>
      <c r="G345" s="653"/>
      <c r="H345" s="653"/>
      <c r="I345" s="653"/>
      <c r="J345" s="653"/>
      <c r="K345" s="653"/>
      <c r="L345" s="653"/>
      <c r="M345" s="653"/>
    </row>
    <row r="346" spans="1:34">
      <c r="B346" t="s">
        <v>1124</v>
      </c>
    </row>
    <row r="347" spans="1:34" ht="42.75" thickBot="1">
      <c r="B347" t="s">
        <v>1360</v>
      </c>
      <c r="F347" s="934" t="s">
        <v>1587</v>
      </c>
      <c r="G347" s="934" t="s">
        <v>1588</v>
      </c>
      <c r="H347" s="934" t="s">
        <v>1589</v>
      </c>
      <c r="I347" s="934" t="s">
        <v>1590</v>
      </c>
      <c r="J347" s="934" t="s">
        <v>1648</v>
      </c>
      <c r="K347" s="934" t="s">
        <v>1681</v>
      </c>
      <c r="L347" s="935" t="s">
        <v>1660</v>
      </c>
      <c r="M347" s="935" t="s">
        <v>1661</v>
      </c>
      <c r="N347" s="935" t="s">
        <v>1662</v>
      </c>
      <c r="O347" s="935" t="s">
        <v>1663</v>
      </c>
      <c r="P347" s="1365" t="s">
        <v>1664</v>
      </c>
      <c r="Q347" s="1365"/>
      <c r="R347" s="1365"/>
      <c r="S347" s="1365" t="s">
        <v>1665</v>
      </c>
      <c r="T347" s="1365"/>
      <c r="U347"/>
      <c r="V347"/>
      <c r="W347"/>
      <c r="X347" s="1055" t="s">
        <v>2089</v>
      </c>
      <c r="Y347"/>
      <c r="Z347"/>
      <c r="AA347"/>
      <c r="AB347"/>
      <c r="AC347" s="1055" t="s">
        <v>2125</v>
      </c>
      <c r="AD347"/>
      <c r="AE347"/>
      <c r="AF347"/>
    </row>
    <row r="348" spans="1:34" ht="45.75" thickBot="1">
      <c r="B348" t="s">
        <v>1329</v>
      </c>
      <c r="F348" s="905" t="s">
        <v>1594</v>
      </c>
      <c r="G348" s="905" t="s">
        <v>1608</v>
      </c>
      <c r="H348" s="905" t="s">
        <v>1595</v>
      </c>
      <c r="I348" s="906" t="s">
        <v>1609</v>
      </c>
      <c r="J348" s="11"/>
      <c r="K348" s="11"/>
      <c r="L348" s="11"/>
      <c r="M348" s="926"/>
      <c r="N348" s="926"/>
      <c r="O348" s="926"/>
      <c r="P348" s="926"/>
      <c r="Q348" s="926"/>
      <c r="R348" s="926"/>
      <c r="S348" s="926"/>
      <c r="T348" s="926"/>
      <c r="U348"/>
      <c r="V348"/>
      <c r="W348"/>
      <c r="X348" s="1048" t="s">
        <v>1587</v>
      </c>
      <c r="Y348" s="1048" t="s">
        <v>2090</v>
      </c>
      <c r="Z348" s="1048" t="s">
        <v>2091</v>
      </c>
      <c r="AA348" s="1048" t="s">
        <v>2092</v>
      </c>
      <c r="AB348"/>
      <c r="AC348" s="1056"/>
      <c r="AD348" s="1366" t="s">
        <v>2126</v>
      </c>
      <c r="AE348" s="1367"/>
      <c r="AF348" s="1368"/>
      <c r="AG348" s="1057" t="s">
        <v>2127</v>
      </c>
      <c r="AH348" s="1057" t="s">
        <v>2128</v>
      </c>
    </row>
    <row r="349" spans="1:34" ht="31.5" thickTop="1" thickBot="1">
      <c r="B349" t="s">
        <v>1095</v>
      </c>
      <c r="F349" s="905" t="s">
        <v>1594</v>
      </c>
      <c r="G349" s="905" t="s">
        <v>1596</v>
      </c>
      <c r="H349" s="905" t="s">
        <v>1597</v>
      </c>
      <c r="I349" s="906" t="s">
        <v>1607</v>
      </c>
      <c r="J349" s="11"/>
      <c r="K349" s="11"/>
      <c r="L349" s="11"/>
      <c r="M349" s="926"/>
      <c r="N349" s="926"/>
      <c r="O349" s="926"/>
      <c r="P349" s="926"/>
      <c r="Q349" s="926"/>
      <c r="R349" s="926"/>
      <c r="S349" s="926"/>
      <c r="T349" s="926"/>
      <c r="U349"/>
      <c r="V349"/>
      <c r="W349"/>
      <c r="X349" s="1049" t="s">
        <v>2093</v>
      </c>
      <c r="Y349" s="1049" t="s">
        <v>2094</v>
      </c>
      <c r="Z349" s="1049" t="s">
        <v>2095</v>
      </c>
      <c r="AA349" s="1050" t="s">
        <v>2096</v>
      </c>
      <c r="AB349"/>
      <c r="AC349" s="1058" t="s">
        <v>1587</v>
      </c>
      <c r="AD349" s="1058" t="s">
        <v>2090</v>
      </c>
      <c r="AE349" s="1058" t="s">
        <v>2091</v>
      </c>
      <c r="AF349" s="1058" t="s">
        <v>2092</v>
      </c>
      <c r="AG349" s="1059"/>
      <c r="AH349" s="1059"/>
    </row>
    <row r="350" spans="1:34" ht="30.75" thickBot="1">
      <c r="B350" t="s">
        <v>1260</v>
      </c>
      <c r="F350" s="905" t="s">
        <v>1594</v>
      </c>
      <c r="G350" s="905" t="s">
        <v>1598</v>
      </c>
      <c r="H350" s="905" t="s">
        <v>1599</v>
      </c>
      <c r="I350" s="906" t="s">
        <v>1606</v>
      </c>
      <c r="J350" s="11"/>
      <c r="K350" s="11"/>
      <c r="L350" s="11"/>
      <c r="M350" s="926"/>
      <c r="N350" s="926"/>
      <c r="O350" s="926"/>
      <c r="P350" s="926"/>
      <c r="Q350" s="926"/>
      <c r="R350" s="926"/>
      <c r="S350" s="926"/>
      <c r="T350" s="926"/>
      <c r="U350"/>
      <c r="V350"/>
      <c r="W350"/>
      <c r="X350" s="1051" t="s">
        <v>2097</v>
      </c>
      <c r="Y350" s="1051" t="s">
        <v>2098</v>
      </c>
      <c r="Z350" s="1051" t="s">
        <v>2099</v>
      </c>
      <c r="AA350" s="1052" t="s">
        <v>2100</v>
      </c>
      <c r="AB350"/>
      <c r="AC350" s="1060" t="s">
        <v>2093</v>
      </c>
      <c r="AD350" s="1060" t="s">
        <v>2129</v>
      </c>
      <c r="AE350" s="1060" t="s">
        <v>2130</v>
      </c>
      <c r="AF350" s="1061" t="s">
        <v>2130</v>
      </c>
      <c r="AG350" s="1062"/>
      <c r="AH350" s="1061" t="s">
        <v>2131</v>
      </c>
    </row>
    <row r="351" spans="1:34" ht="30.75" thickBot="1">
      <c r="B351" t="s">
        <v>1222</v>
      </c>
      <c r="F351" s="905" t="s">
        <v>1594</v>
      </c>
      <c r="G351" s="905" t="s">
        <v>1600</v>
      </c>
      <c r="H351" s="905" t="s">
        <v>1600</v>
      </c>
      <c r="I351" s="906" t="s">
        <v>1605</v>
      </c>
      <c r="J351" s="11"/>
      <c r="K351" s="11"/>
      <c r="L351" s="11"/>
      <c r="M351" s="926"/>
      <c r="N351" s="926"/>
      <c r="O351" s="926"/>
      <c r="P351" s="926"/>
      <c r="Q351" s="926"/>
      <c r="R351" s="926"/>
      <c r="S351" s="926"/>
      <c r="T351" s="926"/>
      <c r="U351"/>
      <c r="V351"/>
      <c r="W351"/>
      <c r="X351" s="1053" t="s">
        <v>1601</v>
      </c>
      <c r="Y351" s="1053" t="s">
        <v>2101</v>
      </c>
      <c r="Z351" s="1053" t="s">
        <v>2102</v>
      </c>
      <c r="AA351" s="1054" t="s">
        <v>2103</v>
      </c>
      <c r="AB351"/>
      <c r="AC351" s="1063" t="s">
        <v>2097</v>
      </c>
      <c r="AD351" s="1063" t="s">
        <v>2132</v>
      </c>
      <c r="AE351" s="1063" t="s">
        <v>2133</v>
      </c>
      <c r="AF351" s="1064" t="s">
        <v>2134</v>
      </c>
      <c r="AG351" s="1065"/>
      <c r="AH351" s="1065"/>
    </row>
    <row r="352" spans="1:34" ht="30.75" thickBot="1">
      <c r="B352" t="s">
        <v>1231</v>
      </c>
      <c r="F352" s="905" t="s">
        <v>1594</v>
      </c>
      <c r="G352" s="905" t="s">
        <v>1602</v>
      </c>
      <c r="H352" s="905" t="s">
        <v>1613</v>
      </c>
      <c r="I352" s="907" t="s">
        <v>1614</v>
      </c>
      <c r="J352" s="11"/>
      <c r="K352" s="11"/>
      <c r="L352" s="11"/>
      <c r="M352" s="926"/>
      <c r="N352" s="926"/>
      <c r="O352" s="926"/>
      <c r="P352" s="926"/>
      <c r="Q352" s="926"/>
      <c r="R352" s="926"/>
      <c r="S352" s="926"/>
      <c r="T352" s="926"/>
      <c r="U352"/>
      <c r="V352"/>
      <c r="W352"/>
      <c r="X352" s="1051" t="s">
        <v>2104</v>
      </c>
      <c r="Y352" s="1051" t="s">
        <v>2105</v>
      </c>
      <c r="Z352" s="1051" t="s">
        <v>2106</v>
      </c>
      <c r="AA352" s="1052" t="s">
        <v>2107</v>
      </c>
      <c r="AB352"/>
      <c r="AC352" s="1060" t="s">
        <v>1601</v>
      </c>
      <c r="AD352" s="1060" t="s">
        <v>2135</v>
      </c>
      <c r="AE352" s="1060" t="s">
        <v>2136</v>
      </c>
      <c r="AF352" s="1061" t="s">
        <v>2137</v>
      </c>
      <c r="AG352" s="1062"/>
      <c r="AH352" s="1061" t="s">
        <v>2138</v>
      </c>
    </row>
    <row r="353" spans="2:34" ht="45.75" thickBot="1">
      <c r="B353" t="s">
        <v>1356</v>
      </c>
      <c r="F353" s="908" t="s">
        <v>1601</v>
      </c>
      <c r="G353" s="908" t="s">
        <v>1602</v>
      </c>
      <c r="H353" s="908" t="s">
        <v>1603</v>
      </c>
      <c r="I353" s="909" t="s">
        <v>1604</v>
      </c>
      <c r="J353" s="928"/>
      <c r="K353" s="928"/>
      <c r="L353" s="928"/>
      <c r="M353" s="929"/>
      <c r="N353" s="929"/>
      <c r="O353" s="929"/>
      <c r="P353" s="929"/>
      <c r="Q353" s="929"/>
      <c r="R353" s="929"/>
      <c r="S353" s="929"/>
      <c r="T353" s="908" t="s">
        <v>1622</v>
      </c>
      <c r="U353"/>
      <c r="V353"/>
      <c r="W353"/>
      <c r="X353" s="1053" t="s">
        <v>1616</v>
      </c>
      <c r="Y353" s="1053" t="s">
        <v>2108</v>
      </c>
      <c r="Z353" s="1053" t="s">
        <v>2109</v>
      </c>
      <c r="AA353" s="1054" t="s">
        <v>2107</v>
      </c>
      <c r="AB353"/>
      <c r="AC353" s="1063" t="s">
        <v>2104</v>
      </c>
      <c r="AD353" s="1063" t="s">
        <v>2129</v>
      </c>
      <c r="AE353" s="1063" t="s">
        <v>2130</v>
      </c>
      <c r="AF353" s="1064" t="s">
        <v>2130</v>
      </c>
      <c r="AG353" s="1065"/>
      <c r="AH353" s="1064" t="s">
        <v>2139</v>
      </c>
    </row>
    <row r="354" spans="2:34" ht="45.75" thickBot="1">
      <c r="B354" t="s">
        <v>1228</v>
      </c>
      <c r="F354" s="908" t="s">
        <v>1601</v>
      </c>
      <c r="G354" s="908" t="s">
        <v>1602</v>
      </c>
      <c r="H354" s="908" t="s">
        <v>1612</v>
      </c>
      <c r="I354" s="909" t="s">
        <v>1611</v>
      </c>
      <c r="J354" s="928"/>
      <c r="K354" s="928"/>
      <c r="L354" s="928"/>
      <c r="M354" s="929"/>
      <c r="N354" s="929"/>
      <c r="O354" s="929"/>
      <c r="P354" s="929"/>
      <c r="Q354" s="929"/>
      <c r="R354" s="929"/>
      <c r="S354" s="929"/>
      <c r="T354" s="908" t="s">
        <v>1622</v>
      </c>
      <c r="U354"/>
      <c r="V354"/>
      <c r="W354"/>
      <c r="X354" s="1051" t="s">
        <v>1591</v>
      </c>
      <c r="Y354" s="1051" t="s">
        <v>2110</v>
      </c>
      <c r="Z354" s="1051" t="s">
        <v>2111</v>
      </c>
      <c r="AA354" s="1052" t="s">
        <v>2112</v>
      </c>
      <c r="AB354"/>
      <c r="AC354" s="1060" t="s">
        <v>1616</v>
      </c>
      <c r="AD354" s="1060" t="s">
        <v>2129</v>
      </c>
      <c r="AE354" s="1060" t="s">
        <v>2130</v>
      </c>
      <c r="AF354" s="1061" t="s">
        <v>2130</v>
      </c>
      <c r="AG354" s="1062"/>
      <c r="AH354" s="1062"/>
    </row>
    <row r="355" spans="2:34" ht="45.75" thickBot="1">
      <c r="B355" t="s">
        <v>1107</v>
      </c>
      <c r="F355" s="908" t="s">
        <v>1601</v>
      </c>
      <c r="G355" s="908" t="s">
        <v>1621</v>
      </c>
      <c r="H355" s="908" t="s">
        <v>1620</v>
      </c>
      <c r="I355" s="909" t="s">
        <v>1619</v>
      </c>
      <c r="J355" s="928"/>
      <c r="K355" s="928"/>
      <c r="L355" s="928"/>
      <c r="M355" s="929"/>
      <c r="N355" s="929"/>
      <c r="O355" s="929"/>
      <c r="P355" s="929"/>
      <c r="Q355" s="929"/>
      <c r="R355" s="929"/>
      <c r="S355" s="929"/>
      <c r="T355" s="908" t="s">
        <v>1622</v>
      </c>
      <c r="U355"/>
      <c r="V355"/>
      <c r="W355"/>
      <c r="X355" s="1053" t="s">
        <v>1594</v>
      </c>
      <c r="Y355" s="1053" t="s">
        <v>2101</v>
      </c>
      <c r="Z355" s="1053" t="s">
        <v>2108</v>
      </c>
      <c r="AA355" s="1054" t="s">
        <v>2113</v>
      </c>
      <c r="AB355"/>
      <c r="AC355" s="1063" t="s">
        <v>1591</v>
      </c>
      <c r="AD355" s="1063" t="s">
        <v>2129</v>
      </c>
      <c r="AE355" s="1063" t="s">
        <v>2130</v>
      </c>
      <c r="AF355" s="1064" t="s">
        <v>2130</v>
      </c>
      <c r="AG355" s="1065"/>
      <c r="AH355" s="1065"/>
    </row>
    <row r="356" spans="2:34" ht="45.75" thickBot="1">
      <c r="B356" t="s">
        <v>1050</v>
      </c>
      <c r="F356" s="910" t="s">
        <v>1591</v>
      </c>
      <c r="G356" s="910" t="s">
        <v>1592</v>
      </c>
      <c r="H356" s="910" t="s">
        <v>1593</v>
      </c>
      <c r="I356" s="911" t="s">
        <v>1610</v>
      </c>
      <c r="J356" s="927"/>
      <c r="K356" s="927"/>
      <c r="L356" s="927"/>
      <c r="M356" s="912"/>
      <c r="N356" s="912"/>
      <c r="O356" s="912"/>
      <c r="P356" s="912"/>
      <c r="Q356" s="912"/>
      <c r="R356" s="912"/>
      <c r="S356" s="912"/>
      <c r="T356" s="912"/>
      <c r="U356"/>
      <c r="V356"/>
      <c r="W356"/>
      <c r="X356" s="1051" t="s">
        <v>1618</v>
      </c>
      <c r="Y356" s="1051" t="s">
        <v>2114</v>
      </c>
      <c r="Z356" s="1051" t="s">
        <v>2111</v>
      </c>
      <c r="AA356" s="1052" t="s">
        <v>2102</v>
      </c>
      <c r="AB356"/>
      <c r="AC356" s="1060" t="s">
        <v>1594</v>
      </c>
      <c r="AD356" s="1060" t="s">
        <v>2140</v>
      </c>
      <c r="AE356" s="1060" t="s">
        <v>2141</v>
      </c>
      <c r="AF356" s="1061" t="s">
        <v>2142</v>
      </c>
      <c r="AG356" s="1062"/>
      <c r="AH356" s="1062"/>
    </row>
    <row r="357" spans="2:34" ht="75.75" thickBot="1">
      <c r="B357" t="s">
        <v>1252</v>
      </c>
      <c r="F357" s="905" t="s">
        <v>1624</v>
      </c>
      <c r="G357" s="905" t="s">
        <v>1623</v>
      </c>
      <c r="H357" s="905" t="s">
        <v>1627</v>
      </c>
      <c r="I357" s="925" t="s">
        <v>1626</v>
      </c>
      <c r="J357" s="11"/>
      <c r="K357" s="926" t="s">
        <v>1625</v>
      </c>
      <c r="L357" s="11"/>
      <c r="M357" s="926"/>
      <c r="N357" s="926"/>
      <c r="O357" s="926"/>
      <c r="P357" s="926"/>
      <c r="Q357" s="926"/>
      <c r="R357" s="926"/>
      <c r="S357" s="926"/>
      <c r="T357" s="926"/>
      <c r="U357"/>
      <c r="V357"/>
      <c r="W357"/>
      <c r="X357" s="1053" t="s">
        <v>2115</v>
      </c>
      <c r="Y357" s="1053" t="s">
        <v>2116</v>
      </c>
      <c r="Z357" s="1053" t="s">
        <v>2117</v>
      </c>
      <c r="AA357" s="1054" t="s">
        <v>2101</v>
      </c>
      <c r="AB357"/>
      <c r="AC357" s="1063" t="s">
        <v>1618</v>
      </c>
      <c r="AD357" s="1063" t="s">
        <v>2129</v>
      </c>
      <c r="AE357" s="1063" t="s">
        <v>2130</v>
      </c>
      <c r="AF357" s="1064" t="s">
        <v>2130</v>
      </c>
      <c r="AG357" s="1065"/>
      <c r="AH357" s="1065"/>
    </row>
    <row r="358" spans="2:34" ht="75.75" thickBot="1">
      <c r="B358" t="s">
        <v>1055</v>
      </c>
      <c r="F358" s="917" t="s">
        <v>1628</v>
      </c>
      <c r="G358" s="917" t="s">
        <v>1654</v>
      </c>
      <c r="H358" s="920" t="s">
        <v>1676</v>
      </c>
      <c r="I358" s="921" t="s">
        <v>1678</v>
      </c>
      <c r="J358" s="921" t="s">
        <v>1644</v>
      </c>
      <c r="K358" s="920" t="s">
        <v>1649</v>
      </c>
      <c r="L358" s="922" t="s">
        <v>1666</v>
      </c>
      <c r="M358" s="920">
        <v>1970</v>
      </c>
      <c r="N358" s="920"/>
      <c r="O358" s="920"/>
      <c r="P358" s="920" t="s">
        <v>1633</v>
      </c>
      <c r="Q358" s="920" t="s">
        <v>1638</v>
      </c>
      <c r="R358" s="920"/>
      <c r="S358" s="923" t="s">
        <v>1667</v>
      </c>
      <c r="T358" s="917" t="s">
        <v>1628</v>
      </c>
      <c r="U358"/>
      <c r="V358"/>
      <c r="W358"/>
      <c r="X358" s="1051" t="s">
        <v>2118</v>
      </c>
      <c r="Y358" s="1051" t="s">
        <v>2114</v>
      </c>
      <c r="Z358" s="1051" t="s">
        <v>2119</v>
      </c>
      <c r="AA358" s="1052" t="s">
        <v>2120</v>
      </c>
      <c r="AB358"/>
      <c r="AC358" s="1060" t="s">
        <v>2115</v>
      </c>
      <c r="AD358" s="1060" t="s">
        <v>2129</v>
      </c>
      <c r="AE358" s="1060" t="s">
        <v>2130</v>
      </c>
      <c r="AF358" s="1061" t="s">
        <v>2130</v>
      </c>
      <c r="AG358" s="1062"/>
      <c r="AH358" s="1062"/>
    </row>
    <row r="359" spans="2:34" ht="77.25" thickBot="1">
      <c r="B359" t="s">
        <v>1125</v>
      </c>
      <c r="F359" s="917" t="s">
        <v>1629</v>
      </c>
      <c r="G359" s="917" t="s">
        <v>1655</v>
      </c>
      <c r="H359" s="920" t="s">
        <v>1677</v>
      </c>
      <c r="I359" s="921" t="s">
        <v>1679</v>
      </c>
      <c r="J359" s="920"/>
      <c r="K359" s="921"/>
      <c r="L359" s="924" t="s">
        <v>1668</v>
      </c>
      <c r="M359" s="921"/>
      <c r="N359" s="921"/>
      <c r="O359" s="920"/>
      <c r="P359" s="920" t="s">
        <v>1634</v>
      </c>
      <c r="Q359" s="920" t="s">
        <v>1639</v>
      </c>
      <c r="R359" s="920"/>
      <c r="S359" s="923" t="s">
        <v>1667</v>
      </c>
      <c r="T359" s="917" t="s">
        <v>1629</v>
      </c>
      <c r="U359"/>
      <c r="V359"/>
      <c r="W359"/>
      <c r="X359" s="1053" t="s">
        <v>2121</v>
      </c>
      <c r="Y359" s="1053" t="s">
        <v>2122</v>
      </c>
      <c r="Z359" s="1053" t="s">
        <v>2123</v>
      </c>
      <c r="AA359" s="1054" t="s">
        <v>2124</v>
      </c>
      <c r="AB359"/>
      <c r="AC359" s="1063" t="s">
        <v>2118</v>
      </c>
      <c r="AD359" s="1063" t="s">
        <v>2129</v>
      </c>
      <c r="AE359" s="1063" t="s">
        <v>2130</v>
      </c>
      <c r="AF359" s="1064" t="s">
        <v>2130</v>
      </c>
      <c r="AG359" s="1065"/>
      <c r="AH359" s="1065"/>
    </row>
    <row r="360" spans="2:34" ht="115.5" thickBot="1">
      <c r="B360" t="s">
        <v>1304</v>
      </c>
      <c r="F360" s="917" t="s">
        <v>1630</v>
      </c>
      <c r="G360" s="918" t="s">
        <v>1656</v>
      </c>
      <c r="H360" s="920" t="s">
        <v>1635</v>
      </c>
      <c r="I360" s="921" t="s">
        <v>1643</v>
      </c>
      <c r="J360" s="921" t="s">
        <v>1645</v>
      </c>
      <c r="K360" s="920" t="s">
        <v>1650</v>
      </c>
      <c r="L360" s="920" t="s">
        <v>1669</v>
      </c>
      <c r="M360" s="920">
        <v>1985</v>
      </c>
      <c r="N360" s="920"/>
      <c r="O360" s="920"/>
      <c r="P360" s="920" t="s">
        <v>1635</v>
      </c>
      <c r="Q360" s="920"/>
      <c r="R360" s="920"/>
      <c r="S360" s="923" t="s">
        <v>1667</v>
      </c>
      <c r="T360" s="917" t="s">
        <v>1630</v>
      </c>
      <c r="U360"/>
      <c r="V360"/>
      <c r="W360"/>
      <c r="X360"/>
      <c r="Y360"/>
      <c r="Z360"/>
      <c r="AA360"/>
      <c r="AB360"/>
      <c r="AC360" s="1060" t="s">
        <v>2121</v>
      </c>
      <c r="AD360" s="1060" t="s">
        <v>2129</v>
      </c>
      <c r="AE360" s="1060" t="s">
        <v>2130</v>
      </c>
      <c r="AF360" s="1061" t="s">
        <v>2130</v>
      </c>
      <c r="AG360" s="1062"/>
      <c r="AH360" s="1062"/>
    </row>
    <row r="361" spans="2:34" ht="180">
      <c r="B361" t="s">
        <v>1064</v>
      </c>
      <c r="F361" s="915" t="s">
        <v>1631</v>
      </c>
      <c r="G361" s="915" t="s">
        <v>1657</v>
      </c>
      <c r="H361" s="913" t="s">
        <v>1674</v>
      </c>
      <c r="I361" s="930" t="s">
        <v>1675</v>
      </c>
      <c r="J361" s="913"/>
      <c r="K361" s="913" t="s">
        <v>1651</v>
      </c>
      <c r="L361" s="913" t="s">
        <v>1670</v>
      </c>
      <c r="M361" s="931"/>
      <c r="N361" s="931"/>
      <c r="O361" s="913"/>
      <c r="P361" s="913" t="s">
        <v>1636</v>
      </c>
      <c r="Q361" s="913" t="s">
        <v>1640</v>
      </c>
      <c r="R361" s="913"/>
      <c r="S361" s="932" t="s">
        <v>1667</v>
      </c>
      <c r="T361" s="915" t="s">
        <v>1631</v>
      </c>
      <c r="U361"/>
      <c r="V361"/>
      <c r="W361"/>
      <c r="X361"/>
      <c r="Y361"/>
      <c r="Z361"/>
      <c r="AA361"/>
      <c r="AB361"/>
      <c r="AC361"/>
      <c r="AD361"/>
      <c r="AE361"/>
      <c r="AF361"/>
    </row>
    <row r="362" spans="2:34" ht="180">
      <c r="B362" t="s">
        <v>1341</v>
      </c>
      <c r="F362" s="915" t="s">
        <v>1682</v>
      </c>
      <c r="G362" s="915" t="s">
        <v>1658</v>
      </c>
      <c r="H362" s="933" t="s">
        <v>1683</v>
      </c>
      <c r="I362" s="933" t="s">
        <v>1683</v>
      </c>
      <c r="J362" s="931" t="s">
        <v>1646</v>
      </c>
      <c r="K362" s="913" t="s">
        <v>1652</v>
      </c>
      <c r="L362" s="913" t="s">
        <v>1684</v>
      </c>
      <c r="M362" s="913"/>
      <c r="N362" s="913" t="s">
        <v>1671</v>
      </c>
      <c r="O362" s="913"/>
      <c r="P362" s="916" t="s">
        <v>1685</v>
      </c>
      <c r="Q362" s="914" t="s">
        <v>1686</v>
      </c>
      <c r="R362" s="915" t="s">
        <v>1687</v>
      </c>
      <c r="S362" s="913"/>
      <c r="T362" s="915" t="s">
        <v>1682</v>
      </c>
      <c r="U362"/>
      <c r="V362"/>
      <c r="W362"/>
      <c r="X362"/>
      <c r="Y362"/>
      <c r="Z362"/>
      <c r="AA362"/>
      <c r="AB362"/>
      <c r="AC362"/>
      <c r="AD362"/>
      <c r="AE362"/>
      <c r="AF362"/>
    </row>
    <row r="363" spans="2:34" ht="229.5">
      <c r="B363" t="s">
        <v>1111</v>
      </c>
      <c r="F363" s="917" t="s">
        <v>1632</v>
      </c>
      <c r="G363" s="919" t="s">
        <v>1659</v>
      </c>
      <c r="H363" s="920" t="s">
        <v>1637</v>
      </c>
      <c r="I363" s="920" t="s">
        <v>1680</v>
      </c>
      <c r="J363" s="921" t="s">
        <v>1647</v>
      </c>
      <c r="K363" s="920" t="s">
        <v>1653</v>
      </c>
      <c r="L363" s="919" t="s">
        <v>1672</v>
      </c>
      <c r="M363" s="920"/>
      <c r="N363" s="920"/>
      <c r="O363" s="920"/>
      <c r="P363" s="920" t="s">
        <v>1637</v>
      </c>
      <c r="Q363" s="920" t="s">
        <v>1641</v>
      </c>
      <c r="R363" s="920" t="s">
        <v>1642</v>
      </c>
      <c r="S363" s="923" t="s">
        <v>1673</v>
      </c>
      <c r="T363" s="917" t="s">
        <v>1632</v>
      </c>
      <c r="U363"/>
      <c r="V363"/>
      <c r="W363"/>
      <c r="X363"/>
      <c r="Y363"/>
      <c r="Z363"/>
      <c r="AA363"/>
      <c r="AB363"/>
      <c r="AC363"/>
      <c r="AD363"/>
      <c r="AE363"/>
      <c r="AF363"/>
    </row>
    <row r="364" spans="2:34" ht="30">
      <c r="B364" t="s">
        <v>1159</v>
      </c>
      <c r="F364" s="917" t="s">
        <v>1624</v>
      </c>
      <c r="G364" s="917" t="s">
        <v>2209</v>
      </c>
      <c r="H364" s="917" t="s">
        <v>2211</v>
      </c>
      <c r="I364" s="1136" t="s">
        <v>2210</v>
      </c>
      <c r="J364" s="917"/>
      <c r="K364" s="917"/>
      <c r="L364" s="917"/>
      <c r="M364" s="917"/>
      <c r="N364" s="917"/>
      <c r="O364" s="917"/>
      <c r="P364" s="917"/>
      <c r="Q364" s="917"/>
      <c r="R364" s="917"/>
      <c r="S364" s="917"/>
      <c r="T364" s="917"/>
      <c r="V364"/>
      <c r="W364"/>
      <c r="X364"/>
      <c r="Y364"/>
      <c r="Z364"/>
      <c r="AA364"/>
      <c r="AB364"/>
      <c r="AC364"/>
      <c r="AD364"/>
      <c r="AE364"/>
      <c r="AF364"/>
    </row>
    <row r="365" spans="2:34">
      <c r="B365" t="s">
        <v>1167</v>
      </c>
      <c r="F365" s="917" t="s">
        <v>2245</v>
      </c>
      <c r="G365" s="917"/>
      <c r="H365" s="917"/>
      <c r="I365" s="917"/>
      <c r="J365" s="917"/>
      <c r="K365" s="917"/>
      <c r="L365" s="917"/>
      <c r="M365" s="917"/>
      <c r="N365" s="917"/>
      <c r="O365" s="917"/>
      <c r="P365" s="917"/>
      <c r="Q365" s="917"/>
      <c r="R365" s="917"/>
      <c r="S365" s="917"/>
      <c r="T365" s="917"/>
      <c r="V365"/>
      <c r="W365"/>
      <c r="X365"/>
      <c r="Y365"/>
      <c r="Z365"/>
      <c r="AA365"/>
      <c r="AB365"/>
      <c r="AC365"/>
      <c r="AD365"/>
      <c r="AE365"/>
      <c r="AF365"/>
    </row>
    <row r="366" spans="2:34" ht="45">
      <c r="B366" t="s">
        <v>1355</v>
      </c>
      <c r="F366" s="917" t="s">
        <v>2353</v>
      </c>
      <c r="G366" s="1136" t="s">
        <v>2354</v>
      </c>
      <c r="H366" s="917"/>
      <c r="I366" s="917"/>
      <c r="J366" s="917"/>
      <c r="K366" s="917"/>
      <c r="L366" s="917"/>
      <c r="M366" s="917"/>
      <c r="N366" s="917"/>
      <c r="O366" s="917"/>
      <c r="P366" s="917"/>
      <c r="Q366" s="917"/>
      <c r="R366" s="917"/>
      <c r="S366" s="917"/>
      <c r="T366" s="917"/>
      <c r="V366"/>
      <c r="W366"/>
      <c r="X366"/>
      <c r="Y366"/>
      <c r="Z366"/>
      <c r="AA366"/>
      <c r="AB366"/>
      <c r="AC366"/>
      <c r="AD366"/>
      <c r="AE366"/>
      <c r="AF366"/>
    </row>
    <row r="367" spans="2:34" ht="45">
      <c r="B367" t="s">
        <v>1131</v>
      </c>
      <c r="F367" s="917" t="s">
        <v>2356</v>
      </c>
      <c r="G367" s="1136" t="s">
        <v>2355</v>
      </c>
      <c r="H367" s="917"/>
      <c r="I367" s="917"/>
      <c r="J367" s="917"/>
      <c r="K367" s="917"/>
      <c r="L367" s="917"/>
      <c r="M367" s="917"/>
      <c r="N367" s="917"/>
      <c r="O367" s="917"/>
      <c r="P367" s="917"/>
      <c r="Q367" s="917"/>
      <c r="R367" s="917"/>
      <c r="S367" s="917"/>
      <c r="T367" s="917"/>
      <c r="V367"/>
      <c r="W367"/>
      <c r="X367"/>
      <c r="Y367"/>
      <c r="Z367"/>
      <c r="AA367"/>
      <c r="AB367"/>
      <c r="AC367"/>
      <c r="AD367"/>
      <c r="AE367"/>
      <c r="AF367"/>
    </row>
    <row r="368" spans="2:34" ht="90">
      <c r="B368" t="s">
        <v>1091</v>
      </c>
      <c r="F368" s="917" t="s">
        <v>2093</v>
      </c>
      <c r="G368" s="43" t="s">
        <v>2357</v>
      </c>
      <c r="H368" s="43"/>
      <c r="I368" s="43"/>
      <c r="N368" s="459"/>
      <c r="O368" s="459"/>
      <c r="V368"/>
      <c r="W368"/>
      <c r="X368"/>
      <c r="Y368"/>
      <c r="Z368"/>
      <c r="AA368"/>
      <c r="AB368"/>
      <c r="AC368"/>
      <c r="AD368"/>
      <c r="AE368"/>
      <c r="AF368"/>
    </row>
    <row r="369" spans="2:32" ht="90">
      <c r="B369" t="s">
        <v>1340</v>
      </c>
      <c r="F369" s="917" t="s">
        <v>2358</v>
      </c>
      <c r="G369" s="43" t="s">
        <v>2359</v>
      </c>
      <c r="H369" s="43" t="s">
        <v>2360</v>
      </c>
      <c r="I369" s="43"/>
      <c r="N369" s="459"/>
      <c r="O369" s="459"/>
      <c r="V369"/>
      <c r="W369"/>
      <c r="X369"/>
      <c r="Y369"/>
      <c r="Z369"/>
      <c r="AA369"/>
      <c r="AB369"/>
      <c r="AC369"/>
      <c r="AD369"/>
      <c r="AE369"/>
      <c r="AF369"/>
    </row>
    <row r="370" spans="2:32">
      <c r="B370" t="s">
        <v>1176</v>
      </c>
      <c r="F370" s="917" t="s">
        <v>2121</v>
      </c>
      <c r="G370" s="43"/>
      <c r="H370" s="43"/>
      <c r="I370" s="43"/>
      <c r="N370" s="459"/>
      <c r="O370" s="459"/>
      <c r="V370"/>
      <c r="W370"/>
      <c r="X370"/>
      <c r="Y370"/>
      <c r="Z370"/>
      <c r="AA370"/>
      <c r="AB370"/>
      <c r="AC370"/>
      <c r="AD370"/>
      <c r="AE370"/>
      <c r="AF370"/>
    </row>
    <row r="371" spans="2:32" ht="90">
      <c r="B371" t="s">
        <v>1097</v>
      </c>
      <c r="F371" s="917" t="s">
        <v>2361</v>
      </c>
      <c r="G371" s="43" t="s">
        <v>2362</v>
      </c>
      <c r="H371" s="43"/>
      <c r="I371" s="43"/>
      <c r="N371" s="459"/>
      <c r="O371" s="459"/>
      <c r="V371"/>
      <c r="W371"/>
      <c r="X371"/>
      <c r="Y371"/>
      <c r="Z371"/>
      <c r="AA371"/>
      <c r="AB371"/>
      <c r="AC371"/>
      <c r="AD371"/>
      <c r="AE371"/>
      <c r="AF371"/>
    </row>
    <row r="372" spans="2:32" ht="30">
      <c r="B372" t="s">
        <v>1230</v>
      </c>
      <c r="F372" s="917" t="s">
        <v>2363</v>
      </c>
      <c r="G372" s="1250" t="s">
        <v>2364</v>
      </c>
      <c r="H372" s="43" t="s">
        <v>2365</v>
      </c>
      <c r="I372" s="43" t="s">
        <v>2366</v>
      </c>
      <c r="N372" s="459"/>
      <c r="O372" s="459"/>
      <c r="V372"/>
      <c r="W372"/>
      <c r="X372"/>
      <c r="Y372"/>
      <c r="Z372"/>
      <c r="AA372"/>
      <c r="AB372"/>
      <c r="AC372"/>
      <c r="AD372"/>
      <c r="AE372"/>
      <c r="AF372"/>
    </row>
    <row r="373" spans="2:32">
      <c r="B373" t="s">
        <v>1004</v>
      </c>
      <c r="N373" s="459"/>
      <c r="O373" s="459"/>
      <c r="V373"/>
      <c r="W373"/>
      <c r="X373"/>
      <c r="Y373"/>
      <c r="Z373"/>
      <c r="AA373"/>
      <c r="AB373"/>
      <c r="AC373"/>
      <c r="AD373"/>
      <c r="AE373"/>
      <c r="AF373"/>
    </row>
    <row r="374" spans="2:32">
      <c r="B374" t="s">
        <v>1191</v>
      </c>
      <c r="N374" s="459"/>
      <c r="O374" s="459"/>
      <c r="V374"/>
      <c r="W374"/>
      <c r="X374"/>
      <c r="Y374"/>
      <c r="Z374"/>
      <c r="AA374"/>
      <c r="AB374"/>
      <c r="AC374"/>
      <c r="AD374"/>
      <c r="AE374"/>
      <c r="AF374"/>
    </row>
    <row r="375" spans="2:32">
      <c r="B375" t="s">
        <v>1263</v>
      </c>
      <c r="N375" s="459"/>
      <c r="O375" s="459"/>
      <c r="V375"/>
      <c r="W375"/>
      <c r="X375"/>
      <c r="Y375"/>
      <c r="Z375"/>
      <c r="AA375"/>
      <c r="AB375"/>
      <c r="AC375"/>
      <c r="AD375"/>
      <c r="AE375"/>
      <c r="AF375"/>
    </row>
    <row r="376" spans="2:32">
      <c r="B376" t="s">
        <v>1022</v>
      </c>
      <c r="N376" s="459"/>
      <c r="O376" s="459"/>
      <c r="V376"/>
      <c r="W376"/>
      <c r="X376"/>
      <c r="Y376"/>
      <c r="Z376"/>
      <c r="AA376"/>
      <c r="AB376"/>
      <c r="AC376"/>
      <c r="AD376"/>
      <c r="AE376"/>
      <c r="AF376"/>
    </row>
    <row r="377" spans="2:32">
      <c r="B377" t="s">
        <v>1150</v>
      </c>
      <c r="N377" s="459"/>
      <c r="O377" s="459"/>
      <c r="V377"/>
      <c r="W377"/>
      <c r="X377"/>
      <c r="Y377"/>
      <c r="Z377"/>
      <c r="AA377"/>
      <c r="AB377"/>
      <c r="AC377"/>
      <c r="AD377"/>
      <c r="AE377"/>
      <c r="AF377"/>
    </row>
    <row r="378" spans="2:32">
      <c r="B378" t="s">
        <v>1021</v>
      </c>
      <c r="N378" s="459"/>
      <c r="O378" s="459"/>
      <c r="V378"/>
      <c r="W378"/>
      <c r="X378"/>
      <c r="Y378"/>
      <c r="Z378"/>
      <c r="AA378"/>
      <c r="AB378"/>
      <c r="AC378"/>
      <c r="AD378"/>
      <c r="AE378"/>
      <c r="AF378"/>
    </row>
    <row r="379" spans="2:32">
      <c r="B379" t="s">
        <v>1001</v>
      </c>
      <c r="N379" s="459"/>
      <c r="O379" s="459"/>
      <c r="V379"/>
      <c r="W379"/>
      <c r="X379"/>
      <c r="Y379"/>
      <c r="Z379"/>
      <c r="AA379"/>
      <c r="AB379"/>
      <c r="AC379"/>
      <c r="AD379"/>
      <c r="AE379"/>
      <c r="AF379"/>
    </row>
    <row r="380" spans="2:32">
      <c r="B380" t="s">
        <v>1083</v>
      </c>
      <c r="N380" s="459"/>
      <c r="O380" s="459"/>
      <c r="V380"/>
      <c r="W380"/>
      <c r="X380"/>
      <c r="Y380"/>
      <c r="Z380"/>
      <c r="AA380"/>
      <c r="AB380"/>
      <c r="AC380"/>
      <c r="AD380"/>
      <c r="AE380"/>
      <c r="AF380"/>
    </row>
    <row r="381" spans="2:32">
      <c r="B381" t="s">
        <v>1000</v>
      </c>
      <c r="N381" s="459"/>
      <c r="O381" s="459"/>
      <c r="V381"/>
      <c r="W381"/>
      <c r="X381"/>
      <c r="Y381"/>
      <c r="Z381"/>
      <c r="AA381"/>
      <c r="AB381"/>
      <c r="AC381"/>
      <c r="AD381"/>
      <c r="AE381"/>
      <c r="AF381"/>
    </row>
    <row r="382" spans="2:32">
      <c r="B382" t="s">
        <v>1052</v>
      </c>
      <c r="N382" s="459"/>
      <c r="O382" s="459"/>
      <c r="V382"/>
      <c r="W382"/>
      <c r="X382"/>
      <c r="Y382"/>
      <c r="Z382"/>
      <c r="AA382"/>
      <c r="AB382"/>
      <c r="AC382"/>
      <c r="AD382"/>
      <c r="AE382"/>
      <c r="AF382"/>
    </row>
    <row r="383" spans="2:32">
      <c r="B383" t="s">
        <v>1170</v>
      </c>
      <c r="N383" s="459"/>
      <c r="O383" s="459"/>
      <c r="V383"/>
      <c r="W383"/>
      <c r="X383"/>
      <c r="Y383"/>
      <c r="Z383"/>
      <c r="AA383"/>
      <c r="AB383"/>
      <c r="AC383"/>
      <c r="AD383"/>
      <c r="AE383"/>
      <c r="AF383"/>
    </row>
    <row r="384" spans="2:32">
      <c r="B384" t="s">
        <v>1134</v>
      </c>
      <c r="N384" s="459"/>
      <c r="O384" s="459"/>
      <c r="V384"/>
      <c r="W384"/>
      <c r="X384"/>
      <c r="Y384"/>
      <c r="Z384"/>
      <c r="AA384"/>
      <c r="AB384"/>
      <c r="AC384"/>
      <c r="AD384"/>
      <c r="AE384"/>
      <c r="AF384"/>
    </row>
    <row r="385" spans="2:32">
      <c r="B385" t="s">
        <v>1115</v>
      </c>
      <c r="N385" s="459"/>
      <c r="O385" s="459"/>
      <c r="V385"/>
      <c r="W385"/>
      <c r="X385"/>
      <c r="Y385"/>
      <c r="Z385"/>
      <c r="AA385"/>
      <c r="AB385"/>
      <c r="AC385"/>
      <c r="AD385"/>
      <c r="AE385"/>
      <c r="AF385"/>
    </row>
    <row r="386" spans="2:32">
      <c r="B386" t="s">
        <v>1276</v>
      </c>
      <c r="N386" s="459"/>
      <c r="O386" s="459"/>
      <c r="V386"/>
      <c r="W386"/>
      <c r="X386"/>
      <c r="Y386"/>
      <c r="Z386"/>
      <c r="AA386"/>
      <c r="AB386"/>
      <c r="AC386"/>
      <c r="AD386"/>
      <c r="AE386"/>
      <c r="AF386"/>
    </row>
    <row r="387" spans="2:32">
      <c r="B387" t="s">
        <v>1020</v>
      </c>
      <c r="N387" s="459"/>
      <c r="O387" s="459"/>
      <c r="V387"/>
      <c r="W387"/>
      <c r="X387"/>
      <c r="Y387"/>
      <c r="Z387"/>
      <c r="AA387"/>
      <c r="AB387"/>
      <c r="AC387"/>
      <c r="AD387"/>
      <c r="AE387"/>
      <c r="AF387"/>
    </row>
    <row r="388" spans="2:32">
      <c r="B388" t="s">
        <v>1057</v>
      </c>
      <c r="N388" s="459"/>
      <c r="O388" s="459"/>
      <c r="V388"/>
      <c r="W388"/>
      <c r="X388"/>
      <c r="Y388"/>
      <c r="Z388"/>
      <c r="AA388"/>
      <c r="AB388"/>
      <c r="AC388"/>
      <c r="AD388"/>
      <c r="AE388"/>
      <c r="AF388"/>
    </row>
    <row r="389" spans="2:32">
      <c r="B389" t="s">
        <v>1039</v>
      </c>
      <c r="N389" s="459"/>
      <c r="O389" s="459"/>
      <c r="V389"/>
      <c r="W389"/>
      <c r="X389"/>
      <c r="Y389"/>
      <c r="Z389"/>
      <c r="AA389"/>
      <c r="AB389"/>
      <c r="AC389"/>
      <c r="AD389"/>
      <c r="AE389"/>
      <c r="AF389"/>
    </row>
    <row r="390" spans="2:32">
      <c r="B390" t="s">
        <v>1081</v>
      </c>
      <c r="N390" s="459"/>
      <c r="O390" s="459"/>
      <c r="V390"/>
      <c r="W390"/>
      <c r="X390"/>
      <c r="Y390"/>
      <c r="Z390"/>
      <c r="AA390"/>
      <c r="AB390"/>
      <c r="AC390"/>
      <c r="AD390"/>
      <c r="AE390"/>
      <c r="AF390"/>
    </row>
    <row r="391" spans="2:32">
      <c r="B391" t="s">
        <v>1215</v>
      </c>
      <c r="N391" s="459"/>
      <c r="O391" s="459"/>
      <c r="V391"/>
      <c r="W391"/>
      <c r="X391"/>
      <c r="Y391"/>
      <c r="Z391"/>
      <c r="AA391"/>
      <c r="AB391"/>
      <c r="AC391"/>
      <c r="AD391"/>
      <c r="AE391"/>
      <c r="AF391"/>
    </row>
    <row r="392" spans="2:32">
      <c r="B392" t="s">
        <v>1046</v>
      </c>
      <c r="O392" s="459"/>
      <c r="X392"/>
      <c r="Y392"/>
      <c r="Z392"/>
      <c r="AA392"/>
      <c r="AB392"/>
      <c r="AC392"/>
      <c r="AD392"/>
      <c r="AE392"/>
      <c r="AF392"/>
    </row>
    <row r="393" spans="2:32">
      <c r="B393" t="s">
        <v>1128</v>
      </c>
      <c r="O393" s="459"/>
      <c r="X393"/>
      <c r="Y393"/>
      <c r="Z393"/>
      <c r="AA393"/>
      <c r="AB393"/>
      <c r="AC393"/>
      <c r="AD393"/>
      <c r="AE393"/>
      <c r="AF393"/>
    </row>
    <row r="394" spans="2:32">
      <c r="B394" t="s">
        <v>1051</v>
      </c>
      <c r="O394" s="459"/>
      <c r="X394"/>
      <c r="Y394"/>
      <c r="Z394"/>
      <c r="AA394"/>
      <c r="AB394"/>
      <c r="AC394"/>
      <c r="AD394"/>
      <c r="AE394"/>
      <c r="AF394"/>
    </row>
    <row r="395" spans="2:32">
      <c r="B395" t="s">
        <v>1318</v>
      </c>
      <c r="O395" s="459"/>
      <c r="X395"/>
      <c r="Y395"/>
      <c r="Z395"/>
      <c r="AA395"/>
      <c r="AB395"/>
      <c r="AC395"/>
      <c r="AD395"/>
      <c r="AE395"/>
      <c r="AF395"/>
    </row>
    <row r="396" spans="2:32">
      <c r="B396" t="s">
        <v>1068</v>
      </c>
      <c r="O396" s="459"/>
      <c r="X396"/>
      <c r="Y396"/>
      <c r="Z396"/>
      <c r="AA396"/>
      <c r="AB396"/>
      <c r="AC396"/>
      <c r="AD396"/>
      <c r="AE396"/>
      <c r="AF396"/>
    </row>
    <row r="397" spans="2:32">
      <c r="B397" t="s">
        <v>1151</v>
      </c>
      <c r="O397" s="459"/>
      <c r="X397"/>
      <c r="Y397"/>
      <c r="Z397"/>
      <c r="AA397"/>
      <c r="AB397"/>
      <c r="AC397"/>
      <c r="AD397"/>
      <c r="AE397"/>
      <c r="AF397"/>
    </row>
    <row r="398" spans="2:32">
      <c r="B398" t="s">
        <v>1157</v>
      </c>
      <c r="O398" s="459"/>
      <c r="X398"/>
      <c r="Y398"/>
      <c r="Z398"/>
      <c r="AA398"/>
      <c r="AB398"/>
      <c r="AC398"/>
      <c r="AD398"/>
      <c r="AE398"/>
      <c r="AF398"/>
    </row>
    <row r="399" spans="2:32">
      <c r="B399" t="s">
        <v>1334</v>
      </c>
      <c r="O399" s="459"/>
      <c r="X399"/>
      <c r="Y399"/>
      <c r="Z399"/>
      <c r="AA399"/>
      <c r="AB399"/>
      <c r="AC399"/>
      <c r="AD399"/>
      <c r="AE399"/>
      <c r="AF399"/>
    </row>
    <row r="400" spans="2:32">
      <c r="B400" t="s">
        <v>1209</v>
      </c>
      <c r="O400" s="459"/>
      <c r="X400"/>
      <c r="Y400"/>
      <c r="Z400"/>
      <c r="AA400"/>
      <c r="AB400"/>
      <c r="AC400"/>
      <c r="AD400"/>
      <c r="AE400"/>
      <c r="AF400"/>
    </row>
    <row r="401" spans="2:32">
      <c r="B401" t="s">
        <v>1129</v>
      </c>
      <c r="O401" s="459"/>
      <c r="X401"/>
      <c r="Y401"/>
      <c r="Z401"/>
      <c r="AA401"/>
      <c r="AB401"/>
      <c r="AC401"/>
      <c r="AD401"/>
      <c r="AE401"/>
      <c r="AF401"/>
    </row>
    <row r="402" spans="2:32">
      <c r="B402" t="s">
        <v>1306</v>
      </c>
      <c r="O402" s="459"/>
      <c r="X402"/>
      <c r="Y402"/>
      <c r="Z402"/>
      <c r="AA402"/>
      <c r="AB402"/>
      <c r="AC402"/>
      <c r="AD402"/>
      <c r="AE402"/>
      <c r="AF402"/>
    </row>
    <row r="403" spans="2:32">
      <c r="B403" t="s">
        <v>1211</v>
      </c>
      <c r="O403" s="459"/>
      <c r="X403"/>
      <c r="Y403"/>
      <c r="Z403"/>
      <c r="AA403"/>
      <c r="AB403"/>
      <c r="AC403"/>
      <c r="AD403"/>
      <c r="AE403"/>
      <c r="AF403"/>
    </row>
    <row r="404" spans="2:32">
      <c r="B404" t="s">
        <v>1342</v>
      </c>
      <c r="O404" s="459"/>
      <c r="X404"/>
      <c r="Y404"/>
      <c r="Z404"/>
      <c r="AA404"/>
      <c r="AB404"/>
      <c r="AC404"/>
      <c r="AD404"/>
      <c r="AE404"/>
      <c r="AF404"/>
    </row>
    <row r="405" spans="2:32">
      <c r="B405" t="s">
        <v>1337</v>
      </c>
      <c r="O405" s="459"/>
      <c r="X405"/>
      <c r="Y405"/>
      <c r="Z405"/>
      <c r="AA405"/>
      <c r="AB405"/>
      <c r="AC405"/>
      <c r="AD405"/>
      <c r="AE405"/>
      <c r="AF405"/>
    </row>
    <row r="406" spans="2:32">
      <c r="B406" t="s">
        <v>1220</v>
      </c>
      <c r="O406" s="459"/>
      <c r="X406"/>
      <c r="Y406"/>
      <c r="Z406"/>
      <c r="AA406"/>
      <c r="AB406"/>
      <c r="AC406"/>
      <c r="AD406"/>
      <c r="AE406"/>
      <c r="AF406"/>
    </row>
    <row r="407" spans="2:32">
      <c r="B407" t="s">
        <v>1100</v>
      </c>
      <c r="O407" s="459"/>
      <c r="X407"/>
      <c r="Y407"/>
      <c r="Z407"/>
      <c r="AA407"/>
      <c r="AB407"/>
      <c r="AC407"/>
      <c r="AD407"/>
      <c r="AE407"/>
      <c r="AF407"/>
    </row>
    <row r="408" spans="2:32">
      <c r="B408" t="s">
        <v>1271</v>
      </c>
      <c r="O408" s="459"/>
      <c r="X408"/>
      <c r="Y408"/>
      <c r="Z408"/>
      <c r="AA408"/>
      <c r="AB408"/>
      <c r="AC408"/>
      <c r="AD408"/>
      <c r="AE408"/>
      <c r="AF408"/>
    </row>
    <row r="409" spans="2:32">
      <c r="B409" t="s">
        <v>1073</v>
      </c>
      <c r="O409" s="459"/>
      <c r="X409"/>
      <c r="Y409"/>
      <c r="Z409"/>
      <c r="AA409"/>
      <c r="AB409"/>
      <c r="AC409"/>
      <c r="AD409"/>
      <c r="AE409"/>
      <c r="AF409"/>
    </row>
    <row r="410" spans="2:32">
      <c r="B410" t="s">
        <v>1214</v>
      </c>
      <c r="O410" s="459"/>
      <c r="X410"/>
      <c r="Y410"/>
      <c r="Z410"/>
      <c r="AA410"/>
      <c r="AB410"/>
      <c r="AC410"/>
      <c r="AD410"/>
      <c r="AE410"/>
      <c r="AF410"/>
    </row>
    <row r="411" spans="2:32">
      <c r="B411" t="s">
        <v>1047</v>
      </c>
      <c r="O411" s="459"/>
      <c r="X411"/>
      <c r="Y411"/>
      <c r="Z411"/>
      <c r="AA411"/>
      <c r="AB411"/>
      <c r="AC411"/>
      <c r="AD411"/>
      <c r="AE411"/>
      <c r="AF411"/>
    </row>
    <row r="412" spans="2:32">
      <c r="B412" t="s">
        <v>1013</v>
      </c>
      <c r="O412" s="459"/>
      <c r="X412"/>
      <c r="Y412"/>
      <c r="Z412"/>
      <c r="AA412"/>
      <c r="AB412"/>
      <c r="AC412"/>
      <c r="AD412"/>
      <c r="AE412"/>
      <c r="AF412"/>
    </row>
    <row r="413" spans="2:32">
      <c r="B413" t="s">
        <v>1037</v>
      </c>
      <c r="O413" s="459"/>
      <c r="X413"/>
      <c r="Y413"/>
      <c r="Z413"/>
      <c r="AA413"/>
      <c r="AB413"/>
      <c r="AC413"/>
      <c r="AD413"/>
      <c r="AE413"/>
      <c r="AF413"/>
    </row>
    <row r="414" spans="2:32">
      <c r="B414" t="s">
        <v>1205</v>
      </c>
      <c r="O414" s="459"/>
      <c r="X414"/>
      <c r="Y414"/>
      <c r="Z414"/>
      <c r="AA414"/>
      <c r="AB414"/>
      <c r="AC414"/>
      <c r="AD414"/>
      <c r="AE414"/>
      <c r="AF414"/>
    </row>
    <row r="415" spans="2:32">
      <c r="B415" t="s">
        <v>1216</v>
      </c>
      <c r="O415" s="459"/>
      <c r="X415"/>
      <c r="Y415"/>
      <c r="Z415"/>
      <c r="AA415"/>
      <c r="AB415"/>
      <c r="AC415"/>
      <c r="AD415"/>
      <c r="AE415"/>
      <c r="AF415"/>
    </row>
    <row r="416" spans="2:32">
      <c r="B416" t="s">
        <v>1218</v>
      </c>
      <c r="O416" s="459"/>
      <c r="X416"/>
      <c r="Y416"/>
      <c r="Z416"/>
      <c r="AA416"/>
      <c r="AB416"/>
      <c r="AC416"/>
      <c r="AD416"/>
      <c r="AE416"/>
      <c r="AF416"/>
    </row>
    <row r="417" spans="2:32">
      <c r="B417" t="s">
        <v>1241</v>
      </c>
      <c r="O417" s="459"/>
      <c r="X417"/>
      <c r="Y417"/>
      <c r="Z417"/>
      <c r="AA417"/>
      <c r="AB417"/>
      <c r="AC417"/>
      <c r="AD417"/>
      <c r="AE417"/>
      <c r="AF417"/>
    </row>
    <row r="418" spans="2:32">
      <c r="B418" t="s">
        <v>1011</v>
      </c>
      <c r="O418" s="459"/>
      <c r="X418"/>
      <c r="Y418"/>
      <c r="Z418"/>
      <c r="AA418"/>
      <c r="AB418"/>
      <c r="AC418"/>
      <c r="AD418"/>
      <c r="AE418"/>
      <c r="AF418"/>
    </row>
    <row r="419" spans="2:32">
      <c r="B419" t="s">
        <v>1108</v>
      </c>
      <c r="O419" s="459"/>
      <c r="X419"/>
      <c r="Y419"/>
      <c r="Z419"/>
      <c r="AA419"/>
      <c r="AB419"/>
      <c r="AC419"/>
      <c r="AD419"/>
      <c r="AE419"/>
      <c r="AF419"/>
    </row>
    <row r="420" spans="2:32">
      <c r="B420" t="s">
        <v>1262</v>
      </c>
      <c r="O420" s="459"/>
      <c r="X420"/>
      <c r="Y420"/>
      <c r="Z420"/>
      <c r="AA420"/>
      <c r="AB420"/>
      <c r="AC420"/>
      <c r="AD420"/>
      <c r="AE420"/>
      <c r="AF420"/>
    </row>
    <row r="421" spans="2:32">
      <c r="B421" t="s">
        <v>1293</v>
      </c>
      <c r="O421" s="459"/>
      <c r="X421"/>
      <c r="Y421"/>
      <c r="Z421"/>
      <c r="AA421"/>
      <c r="AB421"/>
      <c r="AC421"/>
      <c r="AD421"/>
      <c r="AE421"/>
      <c r="AF421"/>
    </row>
    <row r="422" spans="2:32">
      <c r="B422" t="s">
        <v>1042</v>
      </c>
      <c r="O422" s="459"/>
      <c r="X422"/>
      <c r="Y422"/>
      <c r="Z422"/>
      <c r="AA422"/>
      <c r="AB422"/>
      <c r="AC422"/>
      <c r="AD422"/>
      <c r="AE422"/>
      <c r="AF422"/>
    </row>
    <row r="423" spans="2:32">
      <c r="B423" t="s">
        <v>1116</v>
      </c>
      <c r="O423" s="459"/>
      <c r="X423"/>
      <c r="Y423"/>
      <c r="Z423"/>
      <c r="AA423"/>
      <c r="AB423"/>
      <c r="AC423"/>
      <c r="AD423"/>
      <c r="AE423"/>
      <c r="AF423"/>
    </row>
    <row r="424" spans="2:32">
      <c r="B424" t="s">
        <v>1109</v>
      </c>
      <c r="O424" s="459"/>
      <c r="X424"/>
      <c r="Y424"/>
      <c r="Z424"/>
      <c r="AA424"/>
      <c r="AB424"/>
      <c r="AC424"/>
      <c r="AD424"/>
      <c r="AE424"/>
      <c r="AF424"/>
    </row>
    <row r="425" spans="2:32">
      <c r="B425" t="s">
        <v>1002</v>
      </c>
      <c r="O425" s="459"/>
      <c r="X425"/>
      <c r="Y425"/>
      <c r="Z425"/>
      <c r="AA425"/>
      <c r="AB425"/>
      <c r="AC425"/>
      <c r="AD425"/>
      <c r="AE425"/>
      <c r="AF425"/>
    </row>
    <row r="426" spans="2:32">
      <c r="B426" t="s">
        <v>1014</v>
      </c>
      <c r="O426" s="459"/>
      <c r="X426"/>
      <c r="Y426"/>
      <c r="Z426"/>
      <c r="AA426"/>
      <c r="AB426"/>
      <c r="AC426"/>
      <c r="AD426"/>
      <c r="AE426"/>
      <c r="AF426"/>
    </row>
    <row r="427" spans="2:32">
      <c r="B427" t="s">
        <v>1142</v>
      </c>
      <c r="O427" s="459"/>
      <c r="X427"/>
      <c r="Y427"/>
      <c r="Z427"/>
      <c r="AA427"/>
      <c r="AB427"/>
      <c r="AC427"/>
      <c r="AD427"/>
      <c r="AE427"/>
      <c r="AF427"/>
    </row>
    <row r="428" spans="2:32">
      <c r="B428" t="s">
        <v>1114</v>
      </c>
      <c r="O428" s="459"/>
      <c r="X428"/>
      <c r="Y428"/>
      <c r="Z428"/>
      <c r="AA428"/>
      <c r="AB428"/>
      <c r="AC428"/>
      <c r="AD428"/>
      <c r="AE428"/>
      <c r="AF428"/>
    </row>
    <row r="429" spans="2:32">
      <c r="B429" t="s">
        <v>1018</v>
      </c>
      <c r="O429" s="459"/>
      <c r="X429"/>
      <c r="Y429"/>
      <c r="Z429"/>
      <c r="AA429"/>
      <c r="AB429"/>
      <c r="AC429"/>
      <c r="AD429"/>
      <c r="AE429"/>
      <c r="AF429"/>
    </row>
    <row r="430" spans="2:32">
      <c r="B430" t="s">
        <v>1348</v>
      </c>
      <c r="O430" s="459"/>
      <c r="X430"/>
      <c r="Y430"/>
      <c r="Z430"/>
      <c r="AA430"/>
      <c r="AB430"/>
      <c r="AC430"/>
      <c r="AD430"/>
      <c r="AE430"/>
      <c r="AF430"/>
    </row>
    <row r="431" spans="2:32">
      <c r="B431" t="s">
        <v>1043</v>
      </c>
      <c r="O431" s="459"/>
      <c r="X431"/>
      <c r="Y431"/>
      <c r="Z431"/>
      <c r="AA431"/>
      <c r="AB431"/>
      <c r="AC431"/>
      <c r="AD431"/>
      <c r="AE431"/>
      <c r="AF431"/>
    </row>
    <row r="432" spans="2:32">
      <c r="B432" t="s">
        <v>1090</v>
      </c>
      <c r="O432" s="459"/>
      <c r="X432"/>
      <c r="Y432"/>
      <c r="Z432"/>
      <c r="AA432"/>
      <c r="AB432"/>
      <c r="AC432"/>
      <c r="AD432"/>
      <c r="AE432"/>
      <c r="AF432"/>
    </row>
    <row r="433" spans="2:32">
      <c r="B433" t="s">
        <v>1085</v>
      </c>
      <c r="O433" s="459"/>
      <c r="X433"/>
      <c r="Y433"/>
      <c r="Z433"/>
      <c r="AA433"/>
      <c r="AB433"/>
      <c r="AC433"/>
      <c r="AD433"/>
      <c r="AE433"/>
      <c r="AF433"/>
    </row>
    <row r="434" spans="2:32">
      <c r="B434" t="s">
        <v>1291</v>
      </c>
      <c r="O434" s="459"/>
      <c r="X434"/>
      <c r="Y434"/>
      <c r="Z434"/>
      <c r="AA434"/>
      <c r="AB434"/>
      <c r="AC434"/>
      <c r="AD434"/>
      <c r="AE434"/>
      <c r="AF434"/>
    </row>
    <row r="435" spans="2:32">
      <c r="B435" t="s">
        <v>1104</v>
      </c>
      <c r="O435" s="459"/>
      <c r="X435"/>
      <c r="Y435"/>
      <c r="Z435"/>
      <c r="AA435"/>
      <c r="AB435"/>
      <c r="AC435"/>
      <c r="AD435"/>
      <c r="AE435"/>
      <c r="AF435"/>
    </row>
    <row r="436" spans="2:32">
      <c r="B436" t="s">
        <v>1313</v>
      </c>
      <c r="O436" s="459"/>
      <c r="X436"/>
      <c r="Y436"/>
      <c r="Z436"/>
      <c r="AA436"/>
      <c r="AB436"/>
      <c r="AC436"/>
      <c r="AD436"/>
      <c r="AE436"/>
      <c r="AF436"/>
    </row>
    <row r="437" spans="2:32">
      <c r="B437" t="s">
        <v>1098</v>
      </c>
      <c r="O437" s="459"/>
      <c r="X437"/>
      <c r="Y437"/>
      <c r="Z437"/>
      <c r="AA437"/>
      <c r="AB437"/>
      <c r="AC437"/>
      <c r="AD437"/>
      <c r="AE437"/>
      <c r="AF437"/>
    </row>
    <row r="438" spans="2:32">
      <c r="B438" t="s">
        <v>1077</v>
      </c>
      <c r="O438" s="459"/>
      <c r="X438"/>
      <c r="Y438"/>
      <c r="Z438"/>
      <c r="AA438"/>
      <c r="AB438"/>
      <c r="AC438"/>
      <c r="AD438"/>
      <c r="AE438"/>
      <c r="AF438"/>
    </row>
    <row r="439" spans="2:32">
      <c r="B439" t="s">
        <v>1136</v>
      </c>
      <c r="O439" s="459"/>
      <c r="X439"/>
      <c r="Y439"/>
      <c r="Z439"/>
      <c r="AA439"/>
      <c r="AB439"/>
      <c r="AC439"/>
      <c r="AD439"/>
      <c r="AE439"/>
      <c r="AF439"/>
    </row>
    <row r="440" spans="2:32">
      <c r="B440" t="s">
        <v>1201</v>
      </c>
      <c r="O440" s="459"/>
      <c r="X440"/>
      <c r="Y440"/>
      <c r="Z440"/>
      <c r="AA440"/>
      <c r="AB440"/>
      <c r="AC440"/>
      <c r="AD440"/>
      <c r="AE440"/>
      <c r="AF440"/>
    </row>
    <row r="441" spans="2:32">
      <c r="B441" t="s">
        <v>1118</v>
      </c>
      <c r="O441" s="459"/>
      <c r="X441"/>
      <c r="Y441"/>
      <c r="Z441"/>
      <c r="AA441"/>
      <c r="AB441"/>
      <c r="AC441"/>
      <c r="AD441"/>
      <c r="AE441"/>
      <c r="AF441"/>
    </row>
    <row r="442" spans="2:32">
      <c r="B442" t="s">
        <v>1275</v>
      </c>
      <c r="O442" s="459"/>
      <c r="X442"/>
      <c r="Y442"/>
      <c r="Z442"/>
      <c r="AA442"/>
      <c r="AB442"/>
      <c r="AC442"/>
      <c r="AD442"/>
      <c r="AE442"/>
      <c r="AF442"/>
    </row>
    <row r="443" spans="2:32">
      <c r="B443" t="s">
        <v>1178</v>
      </c>
      <c r="O443" s="459"/>
      <c r="X443"/>
      <c r="Y443"/>
      <c r="Z443"/>
      <c r="AA443"/>
      <c r="AB443"/>
      <c r="AC443"/>
      <c r="AD443"/>
      <c r="AE443"/>
      <c r="AF443"/>
    </row>
    <row r="444" spans="2:32">
      <c r="B444" t="s">
        <v>1289</v>
      </c>
      <c r="O444" s="459"/>
      <c r="X444"/>
      <c r="Y444"/>
      <c r="Z444"/>
      <c r="AA444"/>
      <c r="AB444"/>
      <c r="AC444"/>
      <c r="AD444"/>
      <c r="AE444"/>
      <c r="AF444"/>
    </row>
    <row r="445" spans="2:32">
      <c r="B445" t="s">
        <v>1033</v>
      </c>
      <c r="O445" s="459"/>
      <c r="X445"/>
      <c r="Y445"/>
      <c r="Z445"/>
      <c r="AA445"/>
      <c r="AB445"/>
      <c r="AC445"/>
      <c r="AD445"/>
      <c r="AE445"/>
      <c r="AF445"/>
    </row>
    <row r="446" spans="2:32">
      <c r="B446" t="s">
        <v>1074</v>
      </c>
      <c r="O446" s="459"/>
      <c r="X446"/>
      <c r="Y446"/>
      <c r="Z446"/>
      <c r="AA446"/>
      <c r="AB446"/>
      <c r="AC446"/>
      <c r="AD446"/>
      <c r="AE446"/>
      <c r="AF446"/>
    </row>
    <row r="447" spans="2:32">
      <c r="B447" t="s">
        <v>1227</v>
      </c>
      <c r="O447" s="459"/>
      <c r="X447"/>
      <c r="Y447"/>
      <c r="Z447"/>
      <c r="AA447"/>
      <c r="AB447"/>
      <c r="AC447"/>
      <c r="AD447"/>
      <c r="AE447"/>
      <c r="AF447"/>
    </row>
    <row r="448" spans="2:32">
      <c r="B448" t="s">
        <v>1133</v>
      </c>
      <c r="O448" s="459"/>
      <c r="X448"/>
      <c r="Y448"/>
      <c r="Z448"/>
      <c r="AA448"/>
      <c r="AB448"/>
      <c r="AC448"/>
      <c r="AD448"/>
      <c r="AE448"/>
      <c r="AF448"/>
    </row>
    <row r="449" spans="2:32">
      <c r="B449" t="s">
        <v>1099</v>
      </c>
      <c r="O449" s="459"/>
      <c r="X449"/>
      <c r="Y449"/>
      <c r="Z449"/>
      <c r="AA449"/>
      <c r="AB449"/>
      <c r="AC449"/>
      <c r="AD449"/>
      <c r="AE449"/>
      <c r="AF449"/>
    </row>
    <row r="450" spans="2:32">
      <c r="B450" t="s">
        <v>1135</v>
      </c>
      <c r="O450" s="459"/>
      <c r="X450"/>
      <c r="Y450"/>
      <c r="Z450"/>
      <c r="AA450"/>
      <c r="AB450"/>
      <c r="AC450"/>
      <c r="AD450"/>
      <c r="AE450"/>
      <c r="AF450"/>
    </row>
    <row r="451" spans="2:32">
      <c r="B451" t="s">
        <v>1041</v>
      </c>
      <c r="O451" s="459"/>
      <c r="X451"/>
      <c r="Y451"/>
      <c r="Z451"/>
      <c r="AA451"/>
      <c r="AB451"/>
      <c r="AC451"/>
      <c r="AD451"/>
      <c r="AE451"/>
      <c r="AF451"/>
    </row>
    <row r="452" spans="2:32">
      <c r="B452" t="s">
        <v>1173</v>
      </c>
      <c r="O452" s="459"/>
      <c r="X452"/>
      <c r="Y452"/>
      <c r="Z452"/>
      <c r="AA452"/>
      <c r="AB452"/>
      <c r="AC452"/>
      <c r="AD452"/>
      <c r="AE452"/>
      <c r="AF452"/>
    </row>
    <row r="453" spans="2:32">
      <c r="B453" t="s">
        <v>1253</v>
      </c>
      <c r="O453" s="459"/>
      <c r="X453"/>
      <c r="Y453"/>
      <c r="Z453"/>
      <c r="AA453"/>
      <c r="AB453"/>
      <c r="AC453"/>
      <c r="AD453"/>
      <c r="AE453"/>
      <c r="AF453"/>
    </row>
    <row r="454" spans="2:32">
      <c r="B454" t="s">
        <v>1273</v>
      </c>
      <c r="O454" s="459"/>
      <c r="X454"/>
      <c r="Y454"/>
      <c r="Z454"/>
      <c r="AA454"/>
      <c r="AB454"/>
      <c r="AC454"/>
      <c r="AD454"/>
      <c r="AE454"/>
      <c r="AF454"/>
    </row>
    <row r="455" spans="2:32">
      <c r="B455" t="s">
        <v>1212</v>
      </c>
      <c r="O455" s="459"/>
      <c r="X455"/>
      <c r="Y455"/>
      <c r="Z455"/>
      <c r="AA455"/>
      <c r="AB455"/>
      <c r="AC455"/>
      <c r="AD455"/>
      <c r="AE455"/>
      <c r="AF455"/>
    </row>
    <row r="456" spans="2:32">
      <c r="B456" t="s">
        <v>1186</v>
      </c>
      <c r="O456" s="459"/>
      <c r="X456"/>
      <c r="Y456"/>
      <c r="Z456"/>
      <c r="AA456"/>
      <c r="AB456"/>
      <c r="AC456"/>
      <c r="AD456"/>
      <c r="AE456"/>
      <c r="AF456"/>
    </row>
    <row r="457" spans="2:32">
      <c r="B457" t="s">
        <v>1060</v>
      </c>
      <c r="O457" s="459"/>
      <c r="X457"/>
      <c r="Y457"/>
      <c r="Z457"/>
      <c r="AA457"/>
      <c r="AB457"/>
      <c r="AC457"/>
      <c r="AD457"/>
      <c r="AE457"/>
      <c r="AF457"/>
    </row>
    <row r="458" spans="2:32">
      <c r="B458" t="s">
        <v>1143</v>
      </c>
      <c r="O458" s="459"/>
      <c r="X458"/>
      <c r="Y458"/>
      <c r="Z458"/>
      <c r="AA458"/>
      <c r="AB458"/>
      <c r="AC458"/>
      <c r="AD458"/>
      <c r="AE458"/>
      <c r="AF458"/>
    </row>
    <row r="459" spans="2:32">
      <c r="B459" t="s">
        <v>1181</v>
      </c>
      <c r="O459" s="459"/>
      <c r="X459"/>
      <c r="Y459"/>
      <c r="Z459"/>
      <c r="AA459"/>
      <c r="AB459"/>
      <c r="AC459"/>
      <c r="AD459"/>
      <c r="AE459"/>
      <c r="AF459"/>
    </row>
    <row r="460" spans="2:32">
      <c r="B460" t="s">
        <v>1160</v>
      </c>
      <c r="O460" s="459"/>
      <c r="X460"/>
      <c r="Y460"/>
      <c r="Z460"/>
      <c r="AA460"/>
      <c r="AB460"/>
      <c r="AC460"/>
      <c r="AD460"/>
      <c r="AE460"/>
      <c r="AF460"/>
    </row>
    <row r="461" spans="2:32">
      <c r="B461" t="s">
        <v>1127</v>
      </c>
      <c r="O461" s="459"/>
      <c r="X461"/>
      <c r="Y461"/>
      <c r="Z461"/>
      <c r="AA461"/>
      <c r="AB461"/>
      <c r="AC461"/>
      <c r="AD461"/>
      <c r="AE461"/>
      <c r="AF461"/>
    </row>
    <row r="462" spans="2:32">
      <c r="B462" t="s">
        <v>1138</v>
      </c>
      <c r="O462" s="459"/>
      <c r="X462"/>
      <c r="Y462"/>
      <c r="Z462"/>
      <c r="AA462"/>
      <c r="AB462"/>
      <c r="AC462"/>
      <c r="AD462"/>
      <c r="AE462"/>
      <c r="AF462"/>
    </row>
    <row r="463" spans="2:32">
      <c r="B463" t="s">
        <v>1229</v>
      </c>
      <c r="O463" s="459"/>
      <c r="X463"/>
      <c r="Y463"/>
      <c r="Z463"/>
      <c r="AA463"/>
      <c r="AB463"/>
      <c r="AC463"/>
      <c r="AD463"/>
      <c r="AE463"/>
      <c r="AF463"/>
    </row>
    <row r="464" spans="2:32">
      <c r="B464" t="s">
        <v>1312</v>
      </c>
      <c r="O464" s="459"/>
      <c r="X464"/>
      <c r="Y464"/>
      <c r="Z464"/>
      <c r="AA464"/>
      <c r="AB464"/>
      <c r="AC464"/>
      <c r="AD464"/>
      <c r="AE464"/>
      <c r="AF464"/>
    </row>
    <row r="465" spans="2:32">
      <c r="B465" t="s">
        <v>1149</v>
      </c>
      <c r="O465" s="459"/>
      <c r="X465"/>
      <c r="Y465"/>
      <c r="Z465"/>
      <c r="AA465"/>
      <c r="AB465"/>
      <c r="AC465"/>
      <c r="AD465"/>
      <c r="AE465"/>
      <c r="AF465"/>
    </row>
    <row r="466" spans="2:32">
      <c r="B466" t="s">
        <v>1246</v>
      </c>
      <c r="O466" s="459"/>
      <c r="X466"/>
      <c r="Y466"/>
      <c r="Z466"/>
      <c r="AA466"/>
      <c r="AB466"/>
      <c r="AC466"/>
      <c r="AD466"/>
      <c r="AE466"/>
      <c r="AF466"/>
    </row>
    <row r="467" spans="2:32">
      <c r="B467" t="s">
        <v>1192</v>
      </c>
      <c r="O467" s="459"/>
      <c r="X467"/>
      <c r="Y467"/>
      <c r="Z467"/>
      <c r="AA467"/>
      <c r="AB467"/>
      <c r="AC467"/>
      <c r="AD467"/>
      <c r="AE467"/>
      <c r="AF467"/>
    </row>
    <row r="468" spans="2:32">
      <c r="B468" t="s">
        <v>1164</v>
      </c>
      <c r="O468" s="459"/>
      <c r="X468"/>
      <c r="Y468"/>
      <c r="Z468"/>
      <c r="AA468"/>
      <c r="AB468"/>
      <c r="AC468"/>
      <c r="AD468"/>
      <c r="AE468"/>
      <c r="AF468"/>
    </row>
    <row r="469" spans="2:32">
      <c r="B469" t="s">
        <v>1217</v>
      </c>
      <c r="O469" s="459"/>
      <c r="X469"/>
      <c r="Y469"/>
      <c r="Z469"/>
      <c r="AA469"/>
      <c r="AB469"/>
      <c r="AC469"/>
      <c r="AD469"/>
      <c r="AE469"/>
      <c r="AF469"/>
    </row>
    <row r="470" spans="2:32">
      <c r="B470" t="s">
        <v>1058</v>
      </c>
      <c r="O470" s="459"/>
      <c r="X470"/>
      <c r="Y470"/>
      <c r="Z470"/>
      <c r="AA470"/>
      <c r="AB470"/>
      <c r="AC470"/>
      <c r="AD470"/>
      <c r="AE470"/>
      <c r="AF470"/>
    </row>
    <row r="471" spans="2:32">
      <c r="B471" t="s">
        <v>1147</v>
      </c>
      <c r="O471" s="459"/>
      <c r="X471"/>
      <c r="Y471"/>
      <c r="Z471"/>
      <c r="AA471"/>
      <c r="AB471"/>
      <c r="AC471"/>
      <c r="AD471"/>
      <c r="AE471"/>
      <c r="AF471"/>
    </row>
    <row r="472" spans="2:32">
      <c r="B472" t="s">
        <v>1232</v>
      </c>
      <c r="O472" s="459"/>
      <c r="X472"/>
      <c r="Y472"/>
      <c r="Z472"/>
      <c r="AA472"/>
      <c r="AB472"/>
      <c r="AC472"/>
      <c r="AD472"/>
      <c r="AE472"/>
      <c r="AF472"/>
    </row>
    <row r="473" spans="2:32">
      <c r="B473" t="s">
        <v>1221</v>
      </c>
      <c r="O473" s="459"/>
      <c r="X473"/>
      <c r="Y473"/>
      <c r="Z473"/>
      <c r="AA473"/>
      <c r="AB473"/>
      <c r="AC473"/>
      <c r="AD473"/>
      <c r="AE473"/>
      <c r="AF473"/>
    </row>
    <row r="474" spans="2:32">
      <c r="B474" t="s">
        <v>1219</v>
      </c>
      <c r="O474" s="459"/>
      <c r="X474"/>
      <c r="Y474"/>
      <c r="Z474"/>
      <c r="AA474"/>
      <c r="AB474"/>
      <c r="AC474"/>
      <c r="AD474"/>
      <c r="AE474"/>
      <c r="AF474"/>
    </row>
    <row r="475" spans="2:32">
      <c r="B475" t="s">
        <v>1180</v>
      </c>
      <c r="O475" s="459"/>
      <c r="X475"/>
      <c r="Y475"/>
      <c r="Z475"/>
      <c r="AA475"/>
      <c r="AB475"/>
      <c r="AC475"/>
      <c r="AD475"/>
      <c r="AE475"/>
      <c r="AF475"/>
    </row>
    <row r="476" spans="2:32">
      <c r="B476" t="s">
        <v>1070</v>
      </c>
      <c r="O476" s="459"/>
      <c r="X476"/>
      <c r="Y476"/>
      <c r="Z476"/>
      <c r="AA476"/>
      <c r="AB476"/>
      <c r="AC476"/>
      <c r="AD476"/>
      <c r="AE476"/>
      <c r="AF476"/>
    </row>
    <row r="477" spans="2:32">
      <c r="B477" t="s">
        <v>1198</v>
      </c>
      <c r="O477" s="459"/>
      <c r="X477"/>
      <c r="Y477"/>
      <c r="Z477"/>
      <c r="AA477"/>
      <c r="AB477"/>
      <c r="AC477"/>
      <c r="AD477"/>
      <c r="AE477"/>
      <c r="AF477"/>
    </row>
    <row r="478" spans="2:32">
      <c r="B478" t="s">
        <v>1153</v>
      </c>
      <c r="O478" s="459"/>
      <c r="X478"/>
      <c r="Y478"/>
      <c r="Z478"/>
      <c r="AA478"/>
      <c r="AB478"/>
      <c r="AC478"/>
      <c r="AD478"/>
      <c r="AE478"/>
      <c r="AF478"/>
    </row>
    <row r="479" spans="2:32">
      <c r="B479" t="s">
        <v>1248</v>
      </c>
      <c r="O479" s="459"/>
      <c r="X479"/>
      <c r="Y479"/>
      <c r="Z479"/>
      <c r="AA479"/>
      <c r="AB479"/>
      <c r="AC479"/>
      <c r="AD479"/>
      <c r="AE479"/>
      <c r="AF479"/>
    </row>
    <row r="480" spans="2:32">
      <c r="B480" t="s">
        <v>1305</v>
      </c>
      <c r="O480" s="459"/>
      <c r="X480"/>
      <c r="Y480"/>
      <c r="Z480"/>
      <c r="AA480"/>
      <c r="AB480"/>
      <c r="AC480"/>
      <c r="AD480"/>
      <c r="AE480"/>
      <c r="AF480"/>
    </row>
    <row r="481" spans="2:32">
      <c r="B481" t="s">
        <v>998</v>
      </c>
      <c r="O481" s="459"/>
      <c r="X481"/>
      <c r="Y481"/>
      <c r="Z481"/>
      <c r="AA481"/>
      <c r="AB481"/>
      <c r="AC481"/>
      <c r="AD481"/>
      <c r="AE481"/>
      <c r="AF481"/>
    </row>
    <row r="482" spans="2:32">
      <c r="B482" t="s">
        <v>1015</v>
      </c>
      <c r="O482" s="459"/>
      <c r="X482"/>
      <c r="Y482"/>
      <c r="Z482"/>
      <c r="AA482"/>
      <c r="AB482"/>
      <c r="AC482"/>
      <c r="AD482"/>
      <c r="AE482"/>
      <c r="AF482"/>
    </row>
    <row r="483" spans="2:32">
      <c r="B483" t="s">
        <v>1270</v>
      </c>
      <c r="O483" s="459"/>
      <c r="X483"/>
      <c r="Y483"/>
      <c r="Z483"/>
      <c r="AA483"/>
      <c r="AB483"/>
      <c r="AC483"/>
      <c r="AD483"/>
      <c r="AE483"/>
      <c r="AF483"/>
    </row>
    <row r="484" spans="2:32">
      <c r="B484" t="s">
        <v>1101</v>
      </c>
      <c r="O484" s="459"/>
      <c r="X484"/>
      <c r="Y484"/>
      <c r="Z484"/>
      <c r="AA484"/>
      <c r="AB484"/>
      <c r="AC484"/>
      <c r="AD484"/>
      <c r="AE484"/>
      <c r="AF484"/>
    </row>
    <row r="485" spans="2:32">
      <c r="B485" t="s">
        <v>1092</v>
      </c>
      <c r="O485" s="459"/>
      <c r="X485"/>
      <c r="Y485"/>
      <c r="Z485"/>
      <c r="AA485"/>
      <c r="AB485"/>
      <c r="AC485"/>
      <c r="AD485"/>
      <c r="AE485"/>
      <c r="AF485"/>
    </row>
    <row r="486" spans="2:32">
      <c r="B486" t="s">
        <v>1168</v>
      </c>
      <c r="O486" s="459"/>
      <c r="X486"/>
      <c r="Y486"/>
      <c r="Z486"/>
      <c r="AA486"/>
      <c r="AB486"/>
      <c r="AC486"/>
      <c r="AD486"/>
      <c r="AE486"/>
      <c r="AF486"/>
    </row>
    <row r="487" spans="2:32">
      <c r="B487" t="s">
        <v>1121</v>
      </c>
      <c r="O487" s="459"/>
      <c r="X487"/>
      <c r="Y487"/>
      <c r="Z487"/>
      <c r="AA487"/>
      <c r="AB487"/>
      <c r="AC487"/>
      <c r="AD487"/>
      <c r="AE487"/>
      <c r="AF487"/>
    </row>
    <row r="488" spans="2:32">
      <c r="B488" t="s">
        <v>1144</v>
      </c>
      <c r="O488" s="459"/>
      <c r="X488"/>
      <c r="Y488"/>
      <c r="Z488"/>
      <c r="AA488"/>
      <c r="AB488"/>
      <c r="AC488"/>
      <c r="AD488"/>
      <c r="AE488"/>
      <c r="AF488"/>
    </row>
    <row r="489" spans="2:32">
      <c r="B489" t="s">
        <v>1237</v>
      </c>
      <c r="O489" s="459"/>
      <c r="X489"/>
      <c r="Y489"/>
      <c r="Z489"/>
      <c r="AA489"/>
      <c r="AB489"/>
      <c r="AC489"/>
      <c r="AD489"/>
      <c r="AE489"/>
      <c r="AF489"/>
    </row>
    <row r="490" spans="2:32">
      <c r="B490" t="s">
        <v>1353</v>
      </c>
      <c r="O490" s="459"/>
      <c r="X490"/>
      <c r="Y490"/>
      <c r="Z490"/>
      <c r="AA490"/>
      <c r="AB490"/>
      <c r="AC490"/>
      <c r="AD490"/>
      <c r="AE490"/>
      <c r="AF490"/>
    </row>
    <row r="491" spans="2:32">
      <c r="B491" t="s">
        <v>1339</v>
      </c>
      <c r="O491" s="459"/>
      <c r="X491"/>
      <c r="Y491"/>
      <c r="Z491"/>
      <c r="AA491"/>
      <c r="AB491"/>
      <c r="AC491"/>
      <c r="AD491"/>
      <c r="AE491"/>
      <c r="AF491"/>
    </row>
    <row r="492" spans="2:32">
      <c r="B492" t="s">
        <v>1182</v>
      </c>
      <c r="O492" s="459"/>
      <c r="X492"/>
      <c r="Y492"/>
      <c r="Z492"/>
      <c r="AA492"/>
      <c r="AB492"/>
      <c r="AC492"/>
      <c r="AD492"/>
      <c r="AE492"/>
      <c r="AF492"/>
    </row>
    <row r="493" spans="2:32">
      <c r="B493" t="s">
        <v>1239</v>
      </c>
      <c r="O493" s="459"/>
      <c r="X493"/>
      <c r="Y493"/>
      <c r="Z493"/>
      <c r="AA493"/>
      <c r="AB493"/>
      <c r="AC493"/>
      <c r="AD493"/>
      <c r="AE493"/>
      <c r="AF493"/>
    </row>
    <row r="494" spans="2:32">
      <c r="B494" t="s">
        <v>1056</v>
      </c>
      <c r="O494" s="459"/>
      <c r="X494"/>
      <c r="Y494"/>
      <c r="Z494"/>
      <c r="AA494"/>
      <c r="AB494"/>
      <c r="AC494"/>
      <c r="AD494"/>
      <c r="AE494"/>
      <c r="AF494"/>
    </row>
    <row r="495" spans="2:32">
      <c r="B495" t="s">
        <v>1350</v>
      </c>
      <c r="O495" s="459"/>
      <c r="X495"/>
      <c r="Y495"/>
      <c r="Z495"/>
      <c r="AA495"/>
      <c r="AB495"/>
      <c r="AC495"/>
      <c r="AD495"/>
      <c r="AE495"/>
      <c r="AF495"/>
    </row>
    <row r="496" spans="2:32">
      <c r="B496" t="s">
        <v>1285</v>
      </c>
      <c r="Y496"/>
      <c r="Z496"/>
      <c r="AA496"/>
      <c r="AB496"/>
      <c r="AC496"/>
      <c r="AD496"/>
      <c r="AE496"/>
      <c r="AF496"/>
    </row>
    <row r="497" spans="2:32">
      <c r="B497" t="s">
        <v>1250</v>
      </c>
      <c r="Y497"/>
      <c r="Z497"/>
      <c r="AA497"/>
      <c r="AB497"/>
      <c r="AC497"/>
      <c r="AD497"/>
      <c r="AE497"/>
      <c r="AF497"/>
    </row>
    <row r="498" spans="2:32">
      <c r="B498" t="s">
        <v>1061</v>
      </c>
      <c r="Y498"/>
      <c r="Z498"/>
      <c r="AA498"/>
      <c r="AB498"/>
      <c r="AC498"/>
      <c r="AD498"/>
      <c r="AE498"/>
      <c r="AF498"/>
    </row>
    <row r="499" spans="2:32">
      <c r="B499" t="s">
        <v>999</v>
      </c>
      <c r="Y499"/>
      <c r="Z499"/>
      <c r="AA499"/>
      <c r="AB499"/>
      <c r="AC499"/>
      <c r="AD499"/>
      <c r="AE499"/>
      <c r="AF499"/>
    </row>
    <row r="500" spans="2:32">
      <c r="B500" t="s">
        <v>1266</v>
      </c>
      <c r="Y500"/>
      <c r="Z500"/>
      <c r="AA500"/>
      <c r="AB500"/>
      <c r="AC500"/>
      <c r="AD500"/>
      <c r="AE500"/>
      <c r="AF500"/>
    </row>
    <row r="501" spans="2:32">
      <c r="B501" t="s">
        <v>1197</v>
      </c>
      <c r="Y501"/>
      <c r="Z501"/>
      <c r="AA501"/>
      <c r="AB501"/>
      <c r="AC501"/>
      <c r="AD501"/>
      <c r="AE501"/>
      <c r="AF501"/>
    </row>
    <row r="502" spans="2:32">
      <c r="B502" t="s">
        <v>1288</v>
      </c>
      <c r="Y502"/>
      <c r="Z502"/>
      <c r="AA502"/>
      <c r="AB502"/>
      <c r="AC502"/>
      <c r="AD502"/>
      <c r="AE502"/>
      <c r="AF502"/>
    </row>
    <row r="503" spans="2:32">
      <c r="B503" t="s">
        <v>1352</v>
      </c>
      <c r="Y503"/>
      <c r="Z503"/>
      <c r="AA503"/>
      <c r="AB503"/>
      <c r="AC503"/>
      <c r="AD503"/>
      <c r="AE503"/>
      <c r="AF503"/>
    </row>
    <row r="504" spans="2:32">
      <c r="B504" t="s">
        <v>1333</v>
      </c>
      <c r="Y504"/>
      <c r="Z504"/>
      <c r="AA504"/>
      <c r="AB504"/>
      <c r="AC504"/>
      <c r="AD504"/>
      <c r="AE504"/>
      <c r="AF504"/>
    </row>
    <row r="505" spans="2:32">
      <c r="B505" t="s">
        <v>1110</v>
      </c>
      <c r="Y505"/>
      <c r="Z505"/>
      <c r="AA505"/>
      <c r="AB505"/>
      <c r="AC505"/>
      <c r="AD505"/>
      <c r="AE505"/>
      <c r="AF505"/>
    </row>
    <row r="506" spans="2:32">
      <c r="B506" t="s">
        <v>1283</v>
      </c>
      <c r="Y506"/>
      <c r="Z506"/>
      <c r="AA506"/>
      <c r="AB506"/>
      <c r="AC506"/>
      <c r="AD506"/>
      <c r="AE506"/>
      <c r="AF506"/>
    </row>
    <row r="507" spans="2:32">
      <c r="B507" t="s">
        <v>1280</v>
      </c>
      <c r="Y507"/>
      <c r="Z507"/>
      <c r="AA507"/>
      <c r="AB507"/>
      <c r="AC507"/>
      <c r="AD507"/>
      <c r="AE507"/>
      <c r="AF507"/>
    </row>
    <row r="508" spans="2:32">
      <c r="B508" t="s">
        <v>1267</v>
      </c>
      <c r="Y508"/>
      <c r="Z508"/>
      <c r="AA508"/>
      <c r="AB508"/>
      <c r="AC508"/>
      <c r="AD508"/>
      <c r="AE508"/>
      <c r="AF508"/>
    </row>
    <row r="509" spans="2:32">
      <c r="B509" t="s">
        <v>1145</v>
      </c>
      <c r="Y509"/>
      <c r="Z509"/>
      <c r="AA509"/>
      <c r="AB509"/>
      <c r="AC509"/>
      <c r="AD509"/>
      <c r="AE509"/>
      <c r="AF509"/>
    </row>
    <row r="510" spans="2:32">
      <c r="B510" t="s">
        <v>1261</v>
      </c>
      <c r="Y510"/>
      <c r="Z510"/>
      <c r="AA510"/>
      <c r="AB510"/>
      <c r="AC510"/>
      <c r="AD510"/>
      <c r="AE510"/>
      <c r="AF510"/>
    </row>
    <row r="511" spans="2:32">
      <c r="B511" t="s">
        <v>1308</v>
      </c>
      <c r="Y511"/>
      <c r="Z511"/>
      <c r="AA511"/>
      <c r="AB511"/>
      <c r="AC511"/>
      <c r="AD511"/>
      <c r="AE511"/>
      <c r="AF511"/>
    </row>
    <row r="512" spans="2:32">
      <c r="B512" t="s">
        <v>1016</v>
      </c>
      <c r="Y512"/>
      <c r="Z512"/>
      <c r="AA512"/>
      <c r="AB512"/>
      <c r="AC512"/>
      <c r="AD512"/>
      <c r="AE512"/>
      <c r="AF512"/>
    </row>
    <row r="513" spans="2:32">
      <c r="B513" t="s">
        <v>1325</v>
      </c>
      <c r="Y513"/>
      <c r="Z513"/>
      <c r="AA513"/>
      <c r="AB513"/>
      <c r="AC513"/>
      <c r="AD513"/>
      <c r="AE513"/>
      <c r="AF513"/>
    </row>
    <row r="514" spans="2:32">
      <c r="B514" t="s">
        <v>1122</v>
      </c>
      <c r="Y514"/>
      <c r="Z514"/>
      <c r="AA514"/>
      <c r="AB514"/>
      <c r="AC514"/>
      <c r="AD514"/>
      <c r="AE514"/>
      <c r="AF514"/>
    </row>
    <row r="515" spans="2:32">
      <c r="B515" t="s">
        <v>1025</v>
      </c>
      <c r="Y515"/>
      <c r="Z515"/>
      <c r="AA515"/>
      <c r="AB515"/>
      <c r="AC515"/>
      <c r="AD515"/>
      <c r="AE515"/>
      <c r="AF515"/>
    </row>
    <row r="516" spans="2:32">
      <c r="B516" t="s">
        <v>1072</v>
      </c>
      <c r="Y516"/>
      <c r="Z516"/>
      <c r="AA516"/>
      <c r="AB516"/>
      <c r="AC516"/>
      <c r="AD516"/>
      <c r="AE516"/>
      <c r="AF516"/>
    </row>
    <row r="517" spans="2:32">
      <c r="B517" t="s">
        <v>1287</v>
      </c>
      <c r="Y517"/>
      <c r="Z517"/>
      <c r="AA517"/>
      <c r="AB517"/>
      <c r="AC517"/>
      <c r="AD517"/>
      <c r="AE517"/>
      <c r="AF517"/>
    </row>
    <row r="518" spans="2:32">
      <c r="B518" t="s">
        <v>1006</v>
      </c>
      <c r="Y518"/>
      <c r="Z518"/>
      <c r="AA518"/>
      <c r="AB518"/>
      <c r="AC518"/>
      <c r="AD518"/>
      <c r="AE518"/>
      <c r="AF518"/>
    </row>
    <row r="519" spans="2:32">
      <c r="B519" t="s">
        <v>1245</v>
      </c>
      <c r="Y519"/>
      <c r="Z519"/>
      <c r="AA519"/>
      <c r="AB519"/>
      <c r="AC519"/>
      <c r="AD519"/>
      <c r="AE519"/>
      <c r="AF519"/>
    </row>
    <row r="520" spans="2:32">
      <c r="B520" t="s">
        <v>1190</v>
      </c>
      <c r="Y520"/>
      <c r="Z520"/>
      <c r="AA520"/>
      <c r="AB520"/>
      <c r="AC520"/>
      <c r="AD520"/>
      <c r="AE520"/>
      <c r="AF520"/>
    </row>
    <row r="521" spans="2:32">
      <c r="B521" t="s">
        <v>1096</v>
      </c>
      <c r="Y521"/>
      <c r="Z521"/>
      <c r="AA521"/>
      <c r="AB521"/>
      <c r="AC521"/>
      <c r="AD521"/>
      <c r="AE521"/>
      <c r="AF521"/>
    </row>
    <row r="522" spans="2:32">
      <c r="B522" t="s">
        <v>1274</v>
      </c>
      <c r="Y522"/>
      <c r="Z522"/>
      <c r="AA522"/>
      <c r="AB522"/>
      <c r="AC522"/>
      <c r="AD522"/>
      <c r="AE522"/>
      <c r="AF522"/>
    </row>
    <row r="523" spans="2:32">
      <c r="B523" t="s">
        <v>1226</v>
      </c>
      <c r="Y523"/>
      <c r="Z523"/>
      <c r="AA523"/>
      <c r="AB523"/>
      <c r="AC523"/>
      <c r="AD523"/>
      <c r="AE523"/>
      <c r="AF523"/>
    </row>
    <row r="524" spans="2:32">
      <c r="B524" t="s">
        <v>1338</v>
      </c>
      <c r="Y524"/>
      <c r="Z524"/>
      <c r="AA524"/>
      <c r="AB524"/>
      <c r="AC524"/>
      <c r="AD524"/>
      <c r="AE524"/>
      <c r="AF524"/>
    </row>
    <row r="525" spans="2:32">
      <c r="B525" t="s">
        <v>1137</v>
      </c>
      <c r="Y525"/>
      <c r="Z525"/>
      <c r="AA525"/>
      <c r="AB525"/>
      <c r="AC525"/>
      <c r="AD525"/>
      <c r="AE525"/>
      <c r="AF525"/>
    </row>
    <row r="526" spans="2:32">
      <c r="B526" t="s">
        <v>1324</v>
      </c>
      <c r="Y526"/>
      <c r="Z526"/>
      <c r="AA526"/>
      <c r="AB526"/>
      <c r="AC526"/>
      <c r="AD526"/>
      <c r="AE526"/>
      <c r="AF526"/>
    </row>
    <row r="527" spans="2:32">
      <c r="B527" t="s">
        <v>1300</v>
      </c>
      <c r="Y527"/>
      <c r="Z527"/>
      <c r="AA527"/>
      <c r="AB527"/>
      <c r="AC527"/>
      <c r="AD527"/>
      <c r="AE527"/>
      <c r="AF527"/>
    </row>
    <row r="528" spans="2:32">
      <c r="B528" t="s">
        <v>1155</v>
      </c>
      <c r="Y528"/>
      <c r="Z528"/>
      <c r="AA528"/>
      <c r="AB528"/>
      <c r="AC528"/>
      <c r="AD528"/>
      <c r="AE528"/>
      <c r="AF528"/>
    </row>
    <row r="529" spans="2:32">
      <c r="B529" t="s">
        <v>1203</v>
      </c>
      <c r="Y529"/>
      <c r="Z529"/>
      <c r="AA529"/>
      <c r="AB529"/>
      <c r="AC529"/>
      <c r="AD529"/>
      <c r="AE529"/>
      <c r="AF529"/>
    </row>
    <row r="530" spans="2:32">
      <c r="B530" t="s">
        <v>1152</v>
      </c>
      <c r="Y530"/>
      <c r="Z530"/>
      <c r="AA530"/>
      <c r="AB530"/>
      <c r="AC530"/>
      <c r="AD530"/>
      <c r="AE530"/>
      <c r="AF530"/>
    </row>
    <row r="531" spans="2:32">
      <c r="B531" t="s">
        <v>1309</v>
      </c>
      <c r="Y531"/>
      <c r="Z531"/>
      <c r="AA531"/>
      <c r="AB531"/>
      <c r="AC531"/>
      <c r="AD531"/>
      <c r="AE531"/>
      <c r="AF531"/>
    </row>
    <row r="532" spans="2:32">
      <c r="B532" t="s">
        <v>1213</v>
      </c>
      <c r="Y532"/>
      <c r="Z532"/>
      <c r="AA532"/>
      <c r="AB532"/>
      <c r="AC532"/>
      <c r="AD532"/>
      <c r="AE532"/>
      <c r="AF532"/>
    </row>
    <row r="533" spans="2:32">
      <c r="B533" t="s">
        <v>1258</v>
      </c>
      <c r="Y533"/>
      <c r="Z533"/>
      <c r="AA533"/>
      <c r="AB533"/>
      <c r="AC533"/>
      <c r="AD533"/>
      <c r="AE533"/>
      <c r="AF533"/>
    </row>
    <row r="534" spans="2:32">
      <c r="B534" t="s">
        <v>1161</v>
      </c>
      <c r="Y534"/>
      <c r="Z534"/>
      <c r="AA534"/>
      <c r="AB534"/>
      <c r="AC534"/>
      <c r="AD534"/>
      <c r="AE534"/>
      <c r="AF534"/>
    </row>
    <row r="535" spans="2:32">
      <c r="B535" t="s">
        <v>1012</v>
      </c>
      <c r="Y535"/>
      <c r="Z535"/>
      <c r="AA535"/>
      <c r="AB535"/>
      <c r="AC535"/>
      <c r="AD535"/>
      <c r="AE535"/>
      <c r="AF535"/>
    </row>
    <row r="536" spans="2:32">
      <c r="B536" t="s">
        <v>1146</v>
      </c>
      <c r="Y536"/>
      <c r="Z536"/>
      <c r="AA536"/>
      <c r="AB536"/>
      <c r="AC536"/>
      <c r="AD536"/>
      <c r="AE536"/>
      <c r="AF536"/>
    </row>
    <row r="537" spans="2:32">
      <c r="B537" t="s">
        <v>1332</v>
      </c>
      <c r="Y537"/>
      <c r="Z537"/>
      <c r="AA537"/>
      <c r="AB537"/>
      <c r="AC537"/>
      <c r="AD537"/>
      <c r="AE537"/>
      <c r="AF537"/>
    </row>
    <row r="538" spans="2:32">
      <c r="B538" t="s">
        <v>1335</v>
      </c>
      <c r="Y538"/>
      <c r="Z538"/>
      <c r="AA538"/>
      <c r="AB538"/>
      <c r="AC538"/>
      <c r="AD538"/>
      <c r="AE538"/>
      <c r="AF538"/>
    </row>
    <row r="539" spans="2:32">
      <c r="B539" t="s">
        <v>1184</v>
      </c>
      <c r="Y539"/>
      <c r="Z539"/>
      <c r="AA539"/>
      <c r="AB539"/>
      <c r="AC539"/>
      <c r="AD539"/>
      <c r="AE539"/>
      <c r="AF539"/>
    </row>
    <row r="540" spans="2:32">
      <c r="B540" t="s">
        <v>1048</v>
      </c>
      <c r="AF540"/>
    </row>
    <row r="541" spans="2:32">
      <c r="B541" t="s">
        <v>1040</v>
      </c>
      <c r="AF541"/>
    </row>
    <row r="542" spans="2:32">
      <c r="B542" t="s">
        <v>1210</v>
      </c>
      <c r="AF542"/>
    </row>
    <row r="543" spans="2:32">
      <c r="B543" t="s">
        <v>1268</v>
      </c>
      <c r="AF543"/>
    </row>
    <row r="544" spans="2:32">
      <c r="B544" t="s">
        <v>1251</v>
      </c>
      <c r="AF544"/>
    </row>
    <row r="545" spans="2:32">
      <c r="B545" t="s">
        <v>1302</v>
      </c>
      <c r="AF545"/>
    </row>
    <row r="546" spans="2:32">
      <c r="B546" t="s">
        <v>1234</v>
      </c>
      <c r="AF546"/>
    </row>
    <row r="547" spans="2:32">
      <c r="B547" t="s">
        <v>1179</v>
      </c>
      <c r="AF547"/>
    </row>
    <row r="548" spans="2:32">
      <c r="B548" t="s">
        <v>1269</v>
      </c>
      <c r="AF548"/>
    </row>
    <row r="549" spans="2:32">
      <c r="B549" t="s">
        <v>1019</v>
      </c>
      <c r="AF549"/>
    </row>
    <row r="550" spans="2:32">
      <c r="B550" t="s">
        <v>1053</v>
      </c>
      <c r="AF550"/>
    </row>
    <row r="551" spans="2:32">
      <c r="B551" t="s">
        <v>1233</v>
      </c>
    </row>
    <row r="552" spans="2:32">
      <c r="B552" t="s">
        <v>1225</v>
      </c>
    </row>
    <row r="553" spans="2:32">
      <c r="B553" t="s">
        <v>1194</v>
      </c>
    </row>
    <row r="554" spans="2:32">
      <c r="B554" t="s">
        <v>1224</v>
      </c>
    </row>
    <row r="555" spans="2:32">
      <c r="B555" t="s">
        <v>1242</v>
      </c>
    </row>
    <row r="556" spans="2:32">
      <c r="B556" t="s">
        <v>1315</v>
      </c>
    </row>
    <row r="557" spans="2:32">
      <c r="B557" t="s">
        <v>1297</v>
      </c>
    </row>
    <row r="558" spans="2:32">
      <c r="B558" t="s">
        <v>1067</v>
      </c>
    </row>
    <row r="559" spans="2:32">
      <c r="B559" t="s">
        <v>1026</v>
      </c>
    </row>
    <row r="560" spans="2:32">
      <c r="B560" t="s">
        <v>1319</v>
      </c>
    </row>
    <row r="561" spans="2:2">
      <c r="B561" t="s">
        <v>1185</v>
      </c>
    </row>
    <row r="562" spans="2:2">
      <c r="B562" t="s">
        <v>1076</v>
      </c>
    </row>
    <row r="563" spans="2:2">
      <c r="B563" t="s">
        <v>1244</v>
      </c>
    </row>
    <row r="564" spans="2:2">
      <c r="B564" t="s">
        <v>1130</v>
      </c>
    </row>
    <row r="565" spans="2:2">
      <c r="B565" t="s">
        <v>1303</v>
      </c>
    </row>
    <row r="566" spans="2:2">
      <c r="B566" t="s">
        <v>1208</v>
      </c>
    </row>
    <row r="567" spans="2:2">
      <c r="B567" t="s">
        <v>1010</v>
      </c>
    </row>
    <row r="568" spans="2:2">
      <c r="B568" t="s">
        <v>1343</v>
      </c>
    </row>
    <row r="569" spans="2:2">
      <c r="B569" t="s">
        <v>1089</v>
      </c>
    </row>
    <row r="570" spans="2:2">
      <c r="B570" t="s">
        <v>1023</v>
      </c>
    </row>
    <row r="571" spans="2:2">
      <c r="B571" t="s">
        <v>174</v>
      </c>
    </row>
    <row r="572" spans="2:2">
      <c r="B572" t="s">
        <v>1003</v>
      </c>
    </row>
    <row r="573" spans="2:2">
      <c r="B573" t="s">
        <v>1351</v>
      </c>
    </row>
    <row r="574" spans="2:2">
      <c r="B574" t="s">
        <v>1265</v>
      </c>
    </row>
    <row r="575" spans="2:2">
      <c r="B575" t="s">
        <v>1279</v>
      </c>
    </row>
    <row r="576" spans="2:2">
      <c r="B576" t="s">
        <v>1031</v>
      </c>
    </row>
    <row r="577" spans="2:2">
      <c r="B577" t="s">
        <v>1139</v>
      </c>
    </row>
    <row r="578" spans="2:2">
      <c r="B578" t="s">
        <v>1112</v>
      </c>
    </row>
    <row r="579" spans="2:2">
      <c r="B579" t="s">
        <v>1257</v>
      </c>
    </row>
    <row r="580" spans="2:2">
      <c r="B580" t="s">
        <v>1223</v>
      </c>
    </row>
    <row r="581" spans="2:2">
      <c r="B581" t="s">
        <v>1120</v>
      </c>
    </row>
    <row r="582" spans="2:2">
      <c r="B582" t="s">
        <v>1093</v>
      </c>
    </row>
    <row r="583" spans="2:2">
      <c r="B583" t="s">
        <v>1059</v>
      </c>
    </row>
    <row r="584" spans="2:2">
      <c r="B584" t="s">
        <v>1354</v>
      </c>
    </row>
    <row r="585" spans="2:2">
      <c r="B585" t="s">
        <v>1189</v>
      </c>
    </row>
    <row r="586" spans="2:2">
      <c r="B586" t="s">
        <v>1247</v>
      </c>
    </row>
    <row r="587" spans="2:2">
      <c r="B587" t="s">
        <v>1174</v>
      </c>
    </row>
    <row r="588" spans="2:2">
      <c r="B588" t="s">
        <v>1148</v>
      </c>
    </row>
    <row r="589" spans="2:2">
      <c r="B589" t="s">
        <v>1009</v>
      </c>
    </row>
    <row r="590" spans="2:2">
      <c r="B590" t="s">
        <v>1235</v>
      </c>
    </row>
    <row r="591" spans="2:2">
      <c r="B591" t="s">
        <v>1301</v>
      </c>
    </row>
    <row r="592" spans="2:2">
      <c r="B592" t="s">
        <v>1017</v>
      </c>
    </row>
    <row r="593" spans="2:2">
      <c r="B593" t="s">
        <v>1086</v>
      </c>
    </row>
    <row r="594" spans="2:2">
      <c r="B594" t="s">
        <v>1079</v>
      </c>
    </row>
    <row r="595" spans="2:2">
      <c r="B595" t="s">
        <v>1103</v>
      </c>
    </row>
    <row r="596" spans="2:2">
      <c r="B596" t="s">
        <v>1169</v>
      </c>
    </row>
    <row r="597" spans="2:2">
      <c r="B597" t="s">
        <v>1113</v>
      </c>
    </row>
    <row r="598" spans="2:2">
      <c r="B598" t="s">
        <v>1024</v>
      </c>
    </row>
    <row r="599" spans="2:2">
      <c r="B599" t="s">
        <v>1240</v>
      </c>
    </row>
    <row r="600" spans="2:2">
      <c r="B600" t="s">
        <v>1071</v>
      </c>
    </row>
    <row r="601" spans="2:2">
      <c r="B601" t="s">
        <v>1320</v>
      </c>
    </row>
    <row r="602" spans="2:2">
      <c r="B602" t="s">
        <v>1328</v>
      </c>
    </row>
    <row r="603" spans="2:2">
      <c r="B603" t="s">
        <v>1078</v>
      </c>
    </row>
    <row r="604" spans="2:2">
      <c r="B604" t="s">
        <v>1200</v>
      </c>
    </row>
    <row r="605" spans="2:2">
      <c r="B605" t="s">
        <v>1321</v>
      </c>
    </row>
    <row r="606" spans="2:2">
      <c r="B606" t="s">
        <v>1105</v>
      </c>
    </row>
    <row r="607" spans="2:2">
      <c r="B607" t="s">
        <v>1284</v>
      </c>
    </row>
    <row r="608" spans="2:2">
      <c r="B608" t="s">
        <v>1175</v>
      </c>
    </row>
    <row r="609" spans="2:2">
      <c r="B609" t="s">
        <v>1187</v>
      </c>
    </row>
    <row r="610" spans="2:2">
      <c r="B610" t="s">
        <v>1165</v>
      </c>
    </row>
    <row r="611" spans="2:2">
      <c r="B611" t="s">
        <v>1029</v>
      </c>
    </row>
    <row r="612" spans="2:2">
      <c r="B612" t="s">
        <v>1330</v>
      </c>
    </row>
    <row r="613" spans="2:2">
      <c r="B613" t="s">
        <v>1028</v>
      </c>
    </row>
    <row r="614" spans="2:2">
      <c r="B614" t="s">
        <v>1206</v>
      </c>
    </row>
    <row r="615" spans="2:2">
      <c r="B615" t="s">
        <v>1034</v>
      </c>
    </row>
    <row r="616" spans="2:2">
      <c r="B616" t="s">
        <v>1347</v>
      </c>
    </row>
    <row r="617" spans="2:2">
      <c r="B617" t="s">
        <v>1045</v>
      </c>
    </row>
    <row r="618" spans="2:2">
      <c r="B618" t="s">
        <v>1030</v>
      </c>
    </row>
    <row r="619" spans="2:2">
      <c r="B619" t="s">
        <v>1156</v>
      </c>
    </row>
    <row r="620" spans="2:2">
      <c r="B620" t="s">
        <v>997</v>
      </c>
    </row>
    <row r="621" spans="2:2">
      <c r="B621" t="s">
        <v>1188</v>
      </c>
    </row>
    <row r="622" spans="2:2">
      <c r="B622" t="s">
        <v>1069</v>
      </c>
    </row>
    <row r="623" spans="2:2">
      <c r="B623" t="s">
        <v>1255</v>
      </c>
    </row>
    <row r="624" spans="2:2">
      <c r="B624" t="s">
        <v>1296</v>
      </c>
    </row>
    <row r="625" spans="2:2">
      <c r="B625" t="s">
        <v>1054</v>
      </c>
    </row>
    <row r="626" spans="2:2">
      <c r="B626" t="s">
        <v>1346</v>
      </c>
    </row>
    <row r="627" spans="2:2">
      <c r="B627" t="s">
        <v>1140</v>
      </c>
    </row>
    <row r="628" spans="2:2">
      <c r="B628" t="s">
        <v>1193</v>
      </c>
    </row>
    <row r="629" spans="2:2">
      <c r="B629" t="s">
        <v>1236</v>
      </c>
    </row>
    <row r="630" spans="2:2">
      <c r="B630" t="s">
        <v>1322</v>
      </c>
    </row>
    <row r="631" spans="2:2">
      <c r="B631" t="s">
        <v>1088</v>
      </c>
    </row>
    <row r="632" spans="2:2">
      <c r="B632" t="s">
        <v>1281</v>
      </c>
    </row>
    <row r="633" spans="2:2">
      <c r="B633" t="s">
        <v>1141</v>
      </c>
    </row>
    <row r="634" spans="2:2">
      <c r="B634" t="s">
        <v>1005</v>
      </c>
    </row>
    <row r="635" spans="2:2">
      <c r="B635" t="s">
        <v>1195</v>
      </c>
    </row>
    <row r="636" spans="2:2">
      <c r="B636" t="s">
        <v>1038</v>
      </c>
    </row>
    <row r="637" spans="2:2">
      <c r="B637" t="s">
        <v>1027</v>
      </c>
    </row>
    <row r="638" spans="2:2">
      <c r="B638" t="s">
        <v>1166</v>
      </c>
    </row>
    <row r="639" spans="2:2">
      <c r="B639" t="s">
        <v>1106</v>
      </c>
    </row>
    <row r="640" spans="2:2">
      <c r="B640" t="s">
        <v>1163</v>
      </c>
    </row>
    <row r="641" spans="2:2">
      <c r="B641" t="s">
        <v>1171</v>
      </c>
    </row>
    <row r="642" spans="2:2">
      <c r="B642" t="s">
        <v>1243</v>
      </c>
    </row>
    <row r="643" spans="2:2">
      <c r="B643" t="s">
        <v>1007</v>
      </c>
    </row>
    <row r="644" spans="2:2">
      <c r="B644" t="s">
        <v>1066</v>
      </c>
    </row>
    <row r="645" spans="2:2">
      <c r="B645" t="s">
        <v>1075</v>
      </c>
    </row>
    <row r="646" spans="2:2">
      <c r="B646" t="s">
        <v>1202</v>
      </c>
    </row>
    <row r="647" spans="2:2">
      <c r="B647" t="s">
        <v>1084</v>
      </c>
    </row>
    <row r="648" spans="2:2">
      <c r="B648" t="s">
        <v>1123</v>
      </c>
    </row>
    <row r="649" spans="2:2">
      <c r="B649" t="s">
        <v>1162</v>
      </c>
    </row>
    <row r="650" spans="2:2">
      <c r="B650" t="s">
        <v>1035</v>
      </c>
    </row>
    <row r="651" spans="2:2">
      <c r="B651" t="s">
        <v>1065</v>
      </c>
    </row>
    <row r="652" spans="2:2">
      <c r="B652" t="s">
        <v>1044</v>
      </c>
    </row>
    <row r="653" spans="2:2">
      <c r="B653" t="s">
        <v>1183</v>
      </c>
    </row>
    <row r="654" spans="2:2">
      <c r="B654" t="s">
        <v>1036</v>
      </c>
    </row>
    <row r="655" spans="2:2">
      <c r="B655" t="s">
        <v>1204</v>
      </c>
    </row>
    <row r="656" spans="2:2">
      <c r="B656" t="s">
        <v>1314</v>
      </c>
    </row>
    <row r="657" spans="2:2">
      <c r="B657" t="s">
        <v>1196</v>
      </c>
    </row>
    <row r="658" spans="2:2">
      <c r="B658" t="s">
        <v>1177</v>
      </c>
    </row>
    <row r="659" spans="2:2">
      <c r="B659" t="s">
        <v>1299</v>
      </c>
    </row>
    <row r="660" spans="2:2">
      <c r="B660" t="s">
        <v>1087</v>
      </c>
    </row>
    <row r="661" spans="2:2">
      <c r="B661" t="s">
        <v>1336</v>
      </c>
    </row>
    <row r="662" spans="2:2">
      <c r="B662" t="s">
        <v>1154</v>
      </c>
    </row>
    <row r="663" spans="2:2">
      <c r="B663" t="s">
        <v>1323</v>
      </c>
    </row>
    <row r="664" spans="2:2">
      <c r="B664" t="s">
        <v>1264</v>
      </c>
    </row>
    <row r="665" spans="2:2">
      <c r="B665" t="s">
        <v>1126</v>
      </c>
    </row>
    <row r="666" spans="2:2">
      <c r="B666" t="s">
        <v>1117</v>
      </c>
    </row>
    <row r="667" spans="2:2">
      <c r="B667" t="s">
        <v>1199</v>
      </c>
    </row>
    <row r="668" spans="2:2">
      <c r="B668" t="s">
        <v>1331</v>
      </c>
    </row>
    <row r="669" spans="2:2">
      <c r="B669" t="s">
        <v>1295</v>
      </c>
    </row>
    <row r="670" spans="2:2">
      <c r="B670" t="s">
        <v>1292</v>
      </c>
    </row>
    <row r="671" spans="2:2">
      <c r="B671" t="s">
        <v>1172</v>
      </c>
    </row>
    <row r="672" spans="2:2">
      <c r="B672" t="s">
        <v>1290</v>
      </c>
    </row>
    <row r="673" spans="2:2">
      <c r="B673" t="s">
        <v>1259</v>
      </c>
    </row>
    <row r="674" spans="2:2">
      <c r="B674" t="s">
        <v>1316</v>
      </c>
    </row>
    <row r="675" spans="2:2">
      <c r="B675" t="s">
        <v>1008</v>
      </c>
    </row>
    <row r="676" spans="2:2">
      <c r="B676" t="s">
        <v>1256</v>
      </c>
    </row>
    <row r="677" spans="2:2">
      <c r="B677" t="s">
        <v>1080</v>
      </c>
    </row>
    <row r="678" spans="2:2">
      <c r="B678" t="s">
        <v>1282</v>
      </c>
    </row>
    <row r="679" spans="2:2">
      <c r="B679" t="s">
        <v>1238</v>
      </c>
    </row>
    <row r="680" spans="2:2">
      <c r="B680" t="s">
        <v>1158</v>
      </c>
    </row>
    <row r="681" spans="2:2">
      <c r="B681" t="s">
        <v>1119</v>
      </c>
    </row>
    <row r="682" spans="2:2">
      <c r="B682" t="s">
        <v>1102</v>
      </c>
    </row>
    <row r="683" spans="2:2">
      <c r="B683" t="s">
        <v>1049</v>
      </c>
    </row>
    <row r="684" spans="2:2">
      <c r="B684" t="s">
        <v>1032</v>
      </c>
    </row>
    <row r="685" spans="2:2">
      <c r="B685" t="s">
        <v>1094</v>
      </c>
    </row>
    <row r="686" spans="2:2">
      <c r="B686" t="s">
        <v>1344</v>
      </c>
    </row>
    <row r="687" spans="2:2">
      <c r="B687" t="s">
        <v>1345</v>
      </c>
    </row>
    <row r="688" spans="2:2">
      <c r="B688" t="s">
        <v>1132</v>
      </c>
    </row>
    <row r="689" spans="2:2">
      <c r="B689" t="s">
        <v>1254</v>
      </c>
    </row>
    <row r="690" spans="2:2">
      <c r="B690" t="s">
        <v>1062</v>
      </c>
    </row>
    <row r="691" spans="2:2">
      <c r="B691" t="s">
        <v>1063</v>
      </c>
    </row>
    <row r="692" spans="2:2">
      <c r="B692" t="s">
        <v>1249</v>
      </c>
    </row>
    <row r="693" spans="2:2">
      <c r="B693" t="s">
        <v>1298</v>
      </c>
    </row>
    <row r="694" spans="2:2">
      <c r="B694" t="s">
        <v>1277</v>
      </c>
    </row>
    <row r="695" spans="2:2">
      <c r="B695" t="s">
        <v>1278</v>
      </c>
    </row>
    <row r="696" spans="2:2">
      <c r="B696" t="s">
        <v>1349</v>
      </c>
    </row>
    <row r="697" spans="2:2">
      <c r="B697" t="s">
        <v>1286</v>
      </c>
    </row>
    <row r="698" spans="2:2">
      <c r="B698" t="s">
        <v>1327</v>
      </c>
    </row>
    <row r="699" spans="2:2">
      <c r="B699" t="s">
        <v>1294</v>
      </c>
    </row>
    <row r="700" spans="2:2">
      <c r="B700" t="s">
        <v>1317</v>
      </c>
    </row>
    <row r="701" spans="2:2">
      <c r="B701" t="s">
        <v>1272</v>
      </c>
    </row>
    <row r="702" spans="2:2">
      <c r="B702" t="s">
        <v>1307</v>
      </c>
    </row>
    <row r="703" spans="2:2">
      <c r="B703" t="s">
        <v>1326</v>
      </c>
    </row>
    <row r="704" spans="2:2">
      <c r="B704" t="s">
        <v>1207</v>
      </c>
    </row>
    <row r="705" spans="2:2">
      <c r="B705" t="s">
        <v>1082</v>
      </c>
    </row>
    <row r="706" spans="2:2">
      <c r="B706" t="s">
        <v>1311</v>
      </c>
    </row>
    <row r="707" spans="2:2">
      <c r="B707" t="s">
        <v>1310</v>
      </c>
    </row>
  </sheetData>
  <sortState xmlns:xlrd2="http://schemas.microsoft.com/office/spreadsheetml/2017/richdata2" ref="B346:B707">
    <sortCondition descending="1" ref="B346:B707"/>
  </sortState>
  <mergeCells count="41">
    <mergeCell ref="P347:R347"/>
    <mergeCell ref="S347:T347"/>
    <mergeCell ref="AD348:AF348"/>
    <mergeCell ref="F110:F121"/>
    <mergeCell ref="O130:O133"/>
    <mergeCell ref="A189:M189"/>
    <mergeCell ref="A169:M169"/>
    <mergeCell ref="A274:M274"/>
    <mergeCell ref="F124:F125"/>
    <mergeCell ref="H129:H135"/>
    <mergeCell ref="G124:G125"/>
    <mergeCell ref="C124:D124"/>
    <mergeCell ref="B153:B154"/>
    <mergeCell ref="B156:B157"/>
    <mergeCell ref="P128:R128"/>
    <mergeCell ref="P129:R129"/>
    <mergeCell ref="N137:N138"/>
    <mergeCell ref="O137:O138"/>
    <mergeCell ref="C146:D146"/>
    <mergeCell ref="R93:AI93"/>
    <mergeCell ref="A107:M107"/>
    <mergeCell ref="P125:R125"/>
    <mergeCell ref="P126:R126"/>
    <mergeCell ref="O127:O129"/>
    <mergeCell ref="P127:R127"/>
    <mergeCell ref="A40:M40"/>
    <mergeCell ref="A56:M56"/>
    <mergeCell ref="R77:AI77"/>
    <mergeCell ref="C77:K77"/>
    <mergeCell ref="B288:B302"/>
    <mergeCell ref="L77:Q77"/>
    <mergeCell ref="C93:K93"/>
    <mergeCell ref="L93:Q93"/>
    <mergeCell ref="A91:M91"/>
    <mergeCell ref="B171:C171"/>
    <mergeCell ref="J109:K109"/>
    <mergeCell ref="O124:O126"/>
    <mergeCell ref="P131:P133"/>
    <mergeCell ref="Q131:Q133"/>
    <mergeCell ref="O134:O135"/>
    <mergeCell ref="P124:R124"/>
  </mergeCells>
  <hyperlinks>
    <hyperlink ref="I353" r:id="rId1" xr:uid="{F723DFB5-7582-4695-BD91-BE43BC89E8D7}"/>
    <hyperlink ref="I351" r:id="rId2" xr:uid="{75A81307-4E98-4F80-8CA4-F75C92D50AC9}"/>
    <hyperlink ref="I350" r:id="rId3" xr:uid="{F39E60DA-8AE2-499A-AA5E-325D4E9EE81B}"/>
    <hyperlink ref="I349" r:id="rId4" xr:uid="{2178F1B8-BD04-426A-88E6-4840620DC4E3}"/>
    <hyperlink ref="I348" r:id="rId5" xr:uid="{AB691159-E539-4D98-B591-F5560D182207}"/>
    <hyperlink ref="I356" r:id="rId6" xr:uid="{3D16C275-AD8B-4561-9B25-A660C1B6AE58}"/>
    <hyperlink ref="H352" r:id="rId7" display="mailto:adeleon@unimercentroamerica.com" xr:uid="{0236B6FF-7E48-4605-98AF-810E88F94AE2}"/>
    <hyperlink ref="I352" r:id="rId8" xr:uid="{93624B21-971A-48E2-B45C-EE65A0ED5730}"/>
    <hyperlink ref="I355" r:id="rId9" xr:uid="{F486769D-E5A0-459E-BED8-0402CC17B7D6}"/>
    <hyperlink ref="I357" r:id="rId10" xr:uid="{F09FD2EF-AF19-4B54-9698-17BFEB4D57DB}"/>
    <hyperlink ref="I358" r:id="rId11" display="caribres@wow.net" xr:uid="{269A5C55-5A80-4BCD-92EB-1738CFFF09B5}"/>
    <hyperlink ref="I359" r:id="rId12" display="stacyann.thompson@cwjamaica.com" xr:uid="{D893A6B8-7CD2-4D40-8142-F9E917A1AFA6}"/>
    <hyperlink ref="I360" r:id="rId13" xr:uid="{35ADE491-8940-4B09-AAA1-BEBB3B934E27}"/>
    <hyperlink ref="J358" r:id="rId14" xr:uid="{A59F1A7C-4F18-4403-9AA7-93624BF2D208}"/>
    <hyperlink ref="J362" r:id="rId15" xr:uid="{B785445E-5FD7-4F83-845F-C96B5F21692A}"/>
    <hyperlink ref="J363" r:id="rId16" xr:uid="{08D74AAE-52C1-412A-BCE7-2C9CD1D47EF8}"/>
    <hyperlink ref="I361" r:id="rId17" display="sarah@horwath-rd.com.do" xr:uid="{2353438C-F2E5-4793-9D55-C62F38C5E791}"/>
    <hyperlink ref="I364" r:id="rId18" xr:uid="{A6D5383A-4A45-423C-A2DD-15A93A0ABAF4}"/>
    <hyperlink ref="G366" r:id="rId19" xr:uid="{77B71DD0-4712-48BE-AFFB-EB6E259202E9}"/>
    <hyperlink ref="G367" r:id="rId20" xr:uid="{329ACDEA-0F35-437C-BD1D-7B05443C3145}"/>
    <hyperlink ref="G372" r:id="rId21" xr:uid="{25F12BFC-3939-4A8C-ABD8-D4FE38CDF989}"/>
  </hyperlinks>
  <pageMargins left="0.7" right="0.7" top="0.75" bottom="0.75" header="0.3" footer="0.3"/>
  <pageSetup orientation="portrait" r:id="rId22"/>
  <drawing r:id="rId2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94A2-E048-40DF-8CA7-B1C46380C9D2}">
  <sheetPr codeName="Hoja18"/>
  <dimension ref="A1:BH704"/>
  <sheetViews>
    <sheetView zoomScale="85" zoomScaleNormal="85" workbookViewId="0">
      <selection activeCell="D4" sqref="D4"/>
    </sheetView>
  </sheetViews>
  <sheetFormatPr baseColWidth="10" defaultColWidth="9.140625" defaultRowHeight="15"/>
  <cols>
    <col min="1" max="1" width="24.42578125" customWidth="1"/>
    <col min="2" max="2" width="33.7109375" customWidth="1"/>
    <col min="3" max="3" width="25.85546875" bestFit="1" customWidth="1"/>
    <col min="4" max="4" width="34.140625" bestFit="1" customWidth="1"/>
    <col min="5" max="5" width="13.5703125" customWidth="1"/>
    <col min="6" max="6" width="26.85546875" bestFit="1" customWidth="1"/>
    <col min="7" max="7" width="18.5703125" customWidth="1"/>
    <col min="8" max="8" width="18.28515625" customWidth="1"/>
    <col min="9" max="9" width="22.42578125" customWidth="1"/>
    <col min="10" max="10" width="22.85546875" customWidth="1"/>
    <col min="11" max="11" width="16.5703125" customWidth="1"/>
    <col min="12" max="12" width="14.28515625" customWidth="1"/>
    <col min="13" max="13" width="15.5703125" customWidth="1"/>
    <col min="14" max="14" width="15.42578125" customWidth="1"/>
    <col min="15" max="16" width="12.85546875" customWidth="1"/>
    <col min="17" max="17" width="15.5703125" bestFit="1" customWidth="1"/>
    <col min="18" max="20" width="15.5703125" customWidth="1"/>
    <col min="21" max="22" width="13.42578125" customWidth="1"/>
    <col min="23" max="23" width="14.5703125" bestFit="1" customWidth="1"/>
    <col min="24" max="25" width="13.42578125" customWidth="1"/>
    <col min="26" max="26" width="14.5703125" bestFit="1" customWidth="1"/>
    <col min="27" max="27" width="32.7109375" bestFit="1" customWidth="1"/>
    <col min="28" max="28" width="15" customWidth="1"/>
    <col min="29" max="29" width="15.5703125" bestFit="1" customWidth="1"/>
    <col min="30" max="30" width="15.7109375" customWidth="1"/>
    <col min="31" max="31" width="13.42578125" customWidth="1"/>
    <col min="32" max="32" width="15.5703125" bestFit="1" customWidth="1"/>
    <col min="33" max="34" width="13.42578125" customWidth="1"/>
    <col min="35" max="35" width="14.5703125" bestFit="1" customWidth="1"/>
    <col min="36" max="36" width="5.42578125" customWidth="1"/>
    <col min="37" max="37" width="4.140625" customWidth="1"/>
    <col min="38" max="38" width="13.5703125" bestFit="1" customWidth="1"/>
    <col min="39" max="39" width="9.140625" customWidth="1"/>
    <col min="40" max="40" width="9.85546875" customWidth="1"/>
    <col min="41" max="42" width="16.5703125" customWidth="1"/>
    <col min="43" max="43" width="10.7109375" customWidth="1"/>
    <col min="44" max="44" width="9.7109375" bestFit="1" customWidth="1"/>
    <col min="45" max="46" width="14.140625" customWidth="1"/>
    <col min="47" max="47" width="9.140625" bestFit="1" customWidth="1"/>
    <col min="48" max="48" width="12.7109375" customWidth="1"/>
    <col min="49" max="49" width="14.140625" bestFit="1" customWidth="1"/>
    <col min="50" max="50" width="17.42578125" customWidth="1"/>
  </cols>
  <sheetData>
    <row r="1" spans="1:60">
      <c r="A1" s="440"/>
      <c r="B1" t="str">
        <f>B3</f>
        <v>Perfil</v>
      </c>
      <c r="C1" t="str">
        <f t="shared" ref="C1:AI1" si="0">C3</f>
        <v>Mas 82%</v>
      </c>
      <c r="D1" t="str">
        <f t="shared" si="0"/>
        <v>Coordinación, supervisión y tablets</v>
      </c>
      <c r="E1" t="str">
        <f t="shared" si="0"/>
        <v>Total Mas 82%</v>
      </c>
      <c r="F1" t="str">
        <f t="shared" si="0"/>
        <v>75%-82%</v>
      </c>
      <c r="G1" t="str">
        <f t="shared" si="0"/>
        <v>Coordinación, supervisión y tablets</v>
      </c>
      <c r="H1" t="str">
        <f t="shared" si="0"/>
        <v>Total 75%-82%</v>
      </c>
      <c r="I1" t="str">
        <f t="shared" si="0"/>
        <v>67%-74%</v>
      </c>
      <c r="J1" t="str">
        <f t="shared" si="0"/>
        <v>Coordinación, supervisión y tablets</v>
      </c>
      <c r="K1" t="str">
        <f t="shared" si="0"/>
        <v>Total 67%-74%</v>
      </c>
      <c r="L1" t="str">
        <f t="shared" si="0"/>
        <v>55-66%</v>
      </c>
      <c r="M1" t="str">
        <f t="shared" si="0"/>
        <v>Coordinación, supervisión y tablets</v>
      </c>
      <c r="N1" t="str">
        <f t="shared" si="0"/>
        <v>Total Mas 55-66%</v>
      </c>
      <c r="O1" t="str">
        <f t="shared" si="0"/>
        <v>46-54%</v>
      </c>
      <c r="P1" t="str">
        <f t="shared" si="0"/>
        <v>Coordinación, supervisión y tablets</v>
      </c>
      <c r="Q1" t="str">
        <f t="shared" si="0"/>
        <v>Total Mas 46-54%</v>
      </c>
      <c r="R1" t="str">
        <f t="shared" si="0"/>
        <v>37-45%</v>
      </c>
      <c r="S1" t="str">
        <f t="shared" si="0"/>
        <v>Coordinación, supervisión y tablets</v>
      </c>
      <c r="T1" t="str">
        <f t="shared" si="0"/>
        <v>Total Mas 37-45%</v>
      </c>
      <c r="U1" t="str">
        <f t="shared" si="0"/>
        <v>30-36%</v>
      </c>
      <c r="V1" t="str">
        <f t="shared" si="0"/>
        <v>Coordinación, supervisión y tablets</v>
      </c>
      <c r="W1" t="str">
        <f t="shared" si="0"/>
        <v>Total Mas 30-36%</v>
      </c>
      <c r="X1" t="str">
        <f t="shared" si="0"/>
        <v>22-29%</v>
      </c>
      <c r="Y1" t="str">
        <f t="shared" si="0"/>
        <v>Coordinación, supervisión y tablets</v>
      </c>
      <c r="Z1" t="str">
        <f t="shared" si="0"/>
        <v>Total Mas 22-29%</v>
      </c>
      <c r="AA1" t="str">
        <f t="shared" si="0"/>
        <v>15-21%</v>
      </c>
      <c r="AB1" t="str">
        <f t="shared" si="0"/>
        <v>Coordinación, supervisión y tablets</v>
      </c>
      <c r="AC1" t="str">
        <f t="shared" si="0"/>
        <v>Total Mas 15-21%</v>
      </c>
      <c r="AD1" t="str">
        <f t="shared" si="0"/>
        <v>10-14%</v>
      </c>
      <c r="AE1" t="str">
        <f t="shared" si="0"/>
        <v>Coordinación, supervisión y tablets</v>
      </c>
      <c r="AF1" t="str">
        <f t="shared" si="0"/>
        <v>Total Mas 10-14%</v>
      </c>
      <c r="AG1" t="str">
        <f t="shared" si="0"/>
        <v>0-9%</v>
      </c>
      <c r="AH1" t="str">
        <f t="shared" si="0"/>
        <v>Coordinación, supervisión y tablets</v>
      </c>
      <c r="AI1" t="str">
        <f t="shared" si="0"/>
        <v>Total Mas 0-9%</v>
      </c>
    </row>
    <row r="2" spans="1:60" ht="30">
      <c r="A2" s="440"/>
      <c r="B2">
        <v>1</v>
      </c>
      <c r="C2">
        <v>2</v>
      </c>
      <c r="D2">
        <v>3</v>
      </c>
      <c r="E2">
        <v>4</v>
      </c>
      <c r="F2">
        <v>5</v>
      </c>
      <c r="G2">
        <v>6</v>
      </c>
      <c r="H2">
        <v>7</v>
      </c>
      <c r="I2">
        <v>8</v>
      </c>
      <c r="J2">
        <v>9</v>
      </c>
      <c r="K2">
        <v>10</v>
      </c>
      <c r="L2">
        <v>11</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X2" s="103" t="s">
        <v>355</v>
      </c>
    </row>
    <row r="3" spans="1:60" ht="45">
      <c r="A3" s="440"/>
      <c r="B3" s="3" t="s">
        <v>356</v>
      </c>
      <c r="C3" s="3" t="s">
        <v>357</v>
      </c>
      <c r="D3" s="43" t="s">
        <v>358</v>
      </c>
      <c r="E3" s="31" t="s">
        <v>359</v>
      </c>
      <c r="F3" s="3" t="s">
        <v>360</v>
      </c>
      <c r="G3" s="43" t="s">
        <v>358</v>
      </c>
      <c r="H3" s="31" t="s">
        <v>361</v>
      </c>
      <c r="I3" s="3" t="s">
        <v>362</v>
      </c>
      <c r="J3" s="43" t="s">
        <v>358</v>
      </c>
      <c r="K3" s="31" t="s">
        <v>363</v>
      </c>
      <c r="L3" s="3" t="s">
        <v>364</v>
      </c>
      <c r="M3" s="43" t="s">
        <v>358</v>
      </c>
      <c r="N3" s="31" t="s">
        <v>365</v>
      </c>
      <c r="O3" s="3" t="s">
        <v>55</v>
      </c>
      <c r="P3" s="43" t="s">
        <v>358</v>
      </c>
      <c r="Q3" s="31" t="s">
        <v>366</v>
      </c>
      <c r="R3" s="3" t="s">
        <v>367</v>
      </c>
      <c r="S3" s="43" t="s">
        <v>358</v>
      </c>
      <c r="T3" s="31" t="s">
        <v>368</v>
      </c>
      <c r="U3" s="43" t="str">
        <f>+B194</f>
        <v>30-36%</v>
      </c>
      <c r="V3" s="43" t="s">
        <v>358</v>
      </c>
      <c r="W3" s="31" t="s">
        <v>369</v>
      </c>
      <c r="X3" s="43" t="str">
        <f>+B195</f>
        <v>22-29%</v>
      </c>
      <c r="Y3" s="43" t="s">
        <v>358</v>
      </c>
      <c r="Z3" s="31" t="s">
        <v>370</v>
      </c>
      <c r="AA3" s="43" t="str">
        <f>+B196</f>
        <v>15-21%</v>
      </c>
      <c r="AB3" s="43" t="s">
        <v>358</v>
      </c>
      <c r="AC3" s="31" t="s">
        <v>371</v>
      </c>
      <c r="AD3" s="43" t="str">
        <f>+B197</f>
        <v>10-14%</v>
      </c>
      <c r="AE3" s="43" t="s">
        <v>358</v>
      </c>
      <c r="AF3" s="31" t="s">
        <v>372</v>
      </c>
      <c r="AG3" s="43" t="str">
        <f>+B198</f>
        <v>0-9%</v>
      </c>
      <c r="AH3" s="43" t="s">
        <v>358</v>
      </c>
      <c r="AI3" s="31" t="s">
        <v>373</v>
      </c>
      <c r="AL3" s="79" t="s">
        <v>374</v>
      </c>
      <c r="AM3" s="3" t="s">
        <v>357</v>
      </c>
      <c r="AN3" s="3" t="s">
        <v>360</v>
      </c>
      <c r="AO3" s="3" t="s">
        <v>362</v>
      </c>
      <c r="AP3" s="3" t="s">
        <v>364</v>
      </c>
      <c r="AQ3" s="3" t="s">
        <v>55</v>
      </c>
      <c r="AR3" s="11" t="s">
        <v>367</v>
      </c>
      <c r="AS3" s="11" t="s">
        <v>375</v>
      </c>
      <c r="AT3" s="11" t="s">
        <v>376</v>
      </c>
      <c r="AU3" s="11" t="s">
        <v>377</v>
      </c>
      <c r="AV3" s="11" t="s">
        <v>378</v>
      </c>
      <c r="AW3" s="11" t="s">
        <v>379</v>
      </c>
      <c r="AX3" s="103" t="s">
        <v>357</v>
      </c>
      <c r="AY3" s="104" t="s">
        <v>360</v>
      </c>
      <c r="AZ3" s="104" t="s">
        <v>362</v>
      </c>
      <c r="BA3" s="104" t="s">
        <v>364</v>
      </c>
      <c r="BB3" s="105" t="s">
        <v>55</v>
      </c>
      <c r="BC3" s="105" t="s">
        <v>367</v>
      </c>
      <c r="BD3" s="105" t="s">
        <v>375</v>
      </c>
      <c r="BE3" s="105" t="s">
        <v>376</v>
      </c>
      <c r="BF3" s="105" t="s">
        <v>377</v>
      </c>
      <c r="BG3" s="105" t="s">
        <v>378</v>
      </c>
      <c r="BH3" s="105" t="s">
        <v>379</v>
      </c>
    </row>
    <row r="4" spans="1:60">
      <c r="A4" s="440">
        <v>5</v>
      </c>
      <c r="B4" s="3" t="s">
        <v>380</v>
      </c>
      <c r="C4" s="80">
        <f t="shared" ref="C4:C11" si="1">+E4-D4</f>
        <v>7123</v>
      </c>
      <c r="D4" s="81">
        <v>13207</v>
      </c>
      <c r="E4" s="439">
        <v>20330</v>
      </c>
      <c r="F4" s="80">
        <f>+H4-G4</f>
        <v>7623</v>
      </c>
      <c r="G4" s="81">
        <v>13207</v>
      </c>
      <c r="H4" s="86">
        <f>+E4+500</f>
        <v>20830</v>
      </c>
      <c r="I4" s="80">
        <f>+K4-J4</f>
        <v>8123</v>
      </c>
      <c r="J4" s="81">
        <v>13207</v>
      </c>
      <c r="K4" s="86">
        <f>+H4+500</f>
        <v>21330</v>
      </c>
      <c r="L4" s="80">
        <f>+N4-M4</f>
        <v>8523</v>
      </c>
      <c r="M4" s="81">
        <v>13307</v>
      </c>
      <c r="N4" s="86">
        <f>+K4+500</f>
        <v>21830</v>
      </c>
      <c r="O4" s="80">
        <f>+Q4-P4</f>
        <v>9362</v>
      </c>
      <c r="P4" s="80">
        <v>13468</v>
      </c>
      <c r="Q4" s="86">
        <f>+N4+1000</f>
        <v>22830</v>
      </c>
      <c r="R4" s="80">
        <f>+T4-S4</f>
        <v>10225</v>
      </c>
      <c r="S4" s="80">
        <v>14105</v>
      </c>
      <c r="T4" s="86">
        <f>+Q4+1500</f>
        <v>24330</v>
      </c>
      <c r="U4" s="80">
        <f>+W4-V4</f>
        <v>12630</v>
      </c>
      <c r="V4" s="80">
        <v>15200</v>
      </c>
      <c r="W4" s="86">
        <f>+T4+3500</f>
        <v>27830</v>
      </c>
      <c r="X4" s="80">
        <f t="shared" ref="X4:X11" si="2">+Z4-Y4</f>
        <v>15630</v>
      </c>
      <c r="Y4" s="80">
        <v>15200</v>
      </c>
      <c r="Z4" s="86">
        <f>+W4+3000</f>
        <v>30830</v>
      </c>
      <c r="AA4" s="80">
        <f t="shared" ref="AA4:AA11" si="3">+AC4-AB4</f>
        <v>18130</v>
      </c>
      <c r="AB4" s="80">
        <v>15200</v>
      </c>
      <c r="AC4" s="86">
        <f>+Z4+2500</f>
        <v>33330</v>
      </c>
      <c r="AD4" s="80">
        <f>+AF4-AE4</f>
        <v>20630</v>
      </c>
      <c r="AE4" s="80">
        <v>15200</v>
      </c>
      <c r="AF4" s="86">
        <f>+AC4+2500</f>
        <v>35830</v>
      </c>
      <c r="AG4" s="80">
        <f t="shared" ref="AG4:AG11" si="4">+AI4-AH4</f>
        <v>23130</v>
      </c>
      <c r="AH4" s="80">
        <v>15200</v>
      </c>
      <c r="AI4" s="86">
        <f>+AF4+2500</f>
        <v>38330</v>
      </c>
      <c r="AL4" s="3" t="s">
        <v>380</v>
      </c>
      <c r="AM4" s="3"/>
      <c r="AN4" s="80">
        <f>+H4-E4</f>
        <v>500</v>
      </c>
      <c r="AO4" s="80">
        <f>+K4-H4</f>
        <v>500</v>
      </c>
      <c r="AP4" s="80">
        <f>+N4-K4</f>
        <v>500</v>
      </c>
      <c r="AQ4" s="80">
        <f>+Q4-N4</f>
        <v>1000</v>
      </c>
      <c r="AR4" s="80">
        <f t="shared" ref="AR4:AR11" si="5">+T4-Q4</f>
        <v>1500</v>
      </c>
      <c r="AS4" s="80">
        <f t="shared" ref="AS4:AS11" si="6">+W4-T4</f>
        <v>3500</v>
      </c>
      <c r="AT4" s="80">
        <f t="shared" ref="AT4:AT11" si="7">+Z4-W4</f>
        <v>3000</v>
      </c>
      <c r="AU4" s="80">
        <f t="shared" ref="AU4:AU11" si="8">+AC4-Z4</f>
        <v>2500</v>
      </c>
      <c r="AV4" s="80">
        <f t="shared" ref="AV4:AV11" si="9">+AF4-AC4</f>
        <v>2500</v>
      </c>
      <c r="AW4" s="80">
        <f t="shared" ref="AW4:AW11" si="10">+AI4-AF4</f>
        <v>2500</v>
      </c>
      <c r="AX4" s="88"/>
      <c r="AY4" s="88"/>
      <c r="AZ4" s="88"/>
      <c r="BA4" s="88"/>
      <c r="BB4" s="88"/>
      <c r="BC4" s="88"/>
      <c r="BD4" s="88"/>
      <c r="BE4" s="88"/>
      <c r="BF4" s="88"/>
      <c r="BG4" s="88"/>
      <c r="BH4" s="88"/>
    </row>
    <row r="5" spans="1:60">
      <c r="A5" s="440">
        <v>10</v>
      </c>
      <c r="B5" s="3" t="s">
        <v>39</v>
      </c>
      <c r="C5" s="80">
        <f t="shared" si="1"/>
        <v>8123</v>
      </c>
      <c r="D5" s="81">
        <v>13207</v>
      </c>
      <c r="E5" s="86">
        <f>+E4+1000</f>
        <v>21330</v>
      </c>
      <c r="F5" s="80">
        <f t="shared" ref="F5:F11" si="11">+H5-G5</f>
        <v>8623</v>
      </c>
      <c r="G5" s="81">
        <v>13207</v>
      </c>
      <c r="H5" s="86">
        <f t="shared" ref="H5:H11" si="12">+E5+500</f>
        <v>21830</v>
      </c>
      <c r="I5" s="80">
        <f t="shared" ref="I5:I11" si="13">+K5-J5</f>
        <v>9123</v>
      </c>
      <c r="J5" s="81">
        <v>13207</v>
      </c>
      <c r="K5" s="86">
        <f t="shared" ref="K5:K11" si="14">+H5+500</f>
        <v>22330</v>
      </c>
      <c r="L5" s="80">
        <f t="shared" ref="L5:L11" si="15">+N5-M5</f>
        <v>9523</v>
      </c>
      <c r="M5" s="81">
        <v>13307</v>
      </c>
      <c r="N5" s="86">
        <f t="shared" ref="N5:N11" si="16">+K5+500</f>
        <v>22830</v>
      </c>
      <c r="O5" s="80">
        <f t="shared" ref="O5:O11" si="17">+Q5-P5</f>
        <v>10362</v>
      </c>
      <c r="P5" s="80">
        <v>13468</v>
      </c>
      <c r="Q5" s="86">
        <f t="shared" ref="Q5:Q11" si="18">+N5+1000</f>
        <v>23830</v>
      </c>
      <c r="R5" s="80">
        <f t="shared" ref="R5:R11" si="19">+T5-S5</f>
        <v>11225</v>
      </c>
      <c r="S5" s="80">
        <v>14105</v>
      </c>
      <c r="T5" s="86">
        <f t="shared" ref="T5:T11" si="20">+Q5+1500</f>
        <v>25330</v>
      </c>
      <c r="U5" s="80">
        <f t="shared" ref="U5:U11" si="21">+W5-V5</f>
        <v>13630</v>
      </c>
      <c r="V5" s="80">
        <v>15200</v>
      </c>
      <c r="W5" s="86">
        <f t="shared" ref="W5:W11" si="22">+T5+3500</f>
        <v>28830</v>
      </c>
      <c r="X5" s="80">
        <f t="shared" si="2"/>
        <v>17630</v>
      </c>
      <c r="Y5" s="80">
        <v>15200</v>
      </c>
      <c r="Z5" s="86">
        <f>+Z4+2000</f>
        <v>32830</v>
      </c>
      <c r="AA5" s="80">
        <f t="shared" si="3"/>
        <v>20130</v>
      </c>
      <c r="AB5" s="80">
        <v>15200</v>
      </c>
      <c r="AC5" s="86">
        <f>+AC4+2000</f>
        <v>35330</v>
      </c>
      <c r="AD5" s="80">
        <f t="shared" ref="AD5:AD11" si="23">+AF5-AE5</f>
        <v>22630</v>
      </c>
      <c r="AE5" s="80">
        <v>15200</v>
      </c>
      <c r="AF5" s="86">
        <f>+AF4+2000</f>
        <v>37830</v>
      </c>
      <c r="AG5" s="80">
        <f t="shared" si="4"/>
        <v>25130</v>
      </c>
      <c r="AH5" s="80">
        <v>15200</v>
      </c>
      <c r="AI5" s="86">
        <f>+AI4+2000</f>
        <v>40330</v>
      </c>
      <c r="AL5" s="3" t="s">
        <v>39</v>
      </c>
      <c r="AM5" s="3"/>
      <c r="AN5" s="80">
        <f t="shared" ref="AN5:AN11" si="24">+H5-E5</f>
        <v>500</v>
      </c>
      <c r="AO5" s="80">
        <f t="shared" ref="AO5:AO11" si="25">+K5-H5</f>
        <v>500</v>
      </c>
      <c r="AP5" s="80">
        <f t="shared" ref="AP5:AP11" si="26">+N5-K5</f>
        <v>500</v>
      </c>
      <c r="AQ5" s="80">
        <f t="shared" ref="AQ5:AQ11" si="27">+Q5-N5</f>
        <v>1000</v>
      </c>
      <c r="AR5" s="80">
        <f t="shared" si="5"/>
        <v>1500</v>
      </c>
      <c r="AS5" s="80">
        <f t="shared" si="6"/>
        <v>3500</v>
      </c>
      <c r="AT5" s="80">
        <f t="shared" si="7"/>
        <v>4000</v>
      </c>
      <c r="AU5" s="80">
        <f t="shared" si="8"/>
        <v>2500</v>
      </c>
      <c r="AV5" s="80">
        <f t="shared" si="9"/>
        <v>2500</v>
      </c>
      <c r="AW5" s="80">
        <f t="shared" si="10"/>
        <v>2500</v>
      </c>
      <c r="AX5" s="88">
        <f>+E5-E4</f>
        <v>1000</v>
      </c>
      <c r="AY5" s="88">
        <f>+H5-H4</f>
        <v>1000</v>
      </c>
      <c r="AZ5" s="88">
        <f>+K5-K4</f>
        <v>1000</v>
      </c>
      <c r="BA5" s="88">
        <f>+N5-N4</f>
        <v>1000</v>
      </c>
      <c r="BB5" s="88">
        <f>+Q5-Q4</f>
        <v>1000</v>
      </c>
      <c r="BC5" s="88">
        <f>+T5-T4</f>
        <v>1000</v>
      </c>
      <c r="BD5" s="88">
        <f>+W5-W4</f>
        <v>1000</v>
      </c>
      <c r="BE5" s="88">
        <f t="shared" ref="BE5:BE11" si="28">+Z5-Z4</f>
        <v>2000</v>
      </c>
      <c r="BF5" s="88">
        <f t="shared" ref="BF5:BF11" si="29">+AC5-AC4</f>
        <v>2000</v>
      </c>
      <c r="BG5" s="88">
        <f t="shared" ref="BG5:BG11" si="30">+AF5-AF4</f>
        <v>2000</v>
      </c>
      <c r="BH5" s="88">
        <f t="shared" ref="BH5:BH11" si="31">+AI5-AI4</f>
        <v>2000</v>
      </c>
    </row>
    <row r="6" spans="1:60">
      <c r="A6" s="440">
        <v>15</v>
      </c>
      <c r="B6" s="5" t="s">
        <v>534</v>
      </c>
      <c r="C6" s="84">
        <f t="shared" si="1"/>
        <v>9623</v>
      </c>
      <c r="D6" s="84">
        <v>13207</v>
      </c>
      <c r="E6" s="86">
        <f>+E5+1500</f>
        <v>22830</v>
      </c>
      <c r="F6" s="84">
        <f t="shared" si="11"/>
        <v>10123</v>
      </c>
      <c r="G6" s="84">
        <v>13207</v>
      </c>
      <c r="H6" s="86">
        <f t="shared" si="12"/>
        <v>23330</v>
      </c>
      <c r="I6" s="84">
        <f t="shared" si="13"/>
        <v>10623</v>
      </c>
      <c r="J6" s="84">
        <v>13207</v>
      </c>
      <c r="K6" s="86">
        <f t="shared" si="14"/>
        <v>23830</v>
      </c>
      <c r="L6" s="84">
        <f t="shared" si="15"/>
        <v>11023</v>
      </c>
      <c r="M6" s="84">
        <v>13307</v>
      </c>
      <c r="N6" s="86">
        <f t="shared" si="16"/>
        <v>24330</v>
      </c>
      <c r="O6" s="84">
        <f t="shared" si="17"/>
        <v>11862</v>
      </c>
      <c r="P6" s="84">
        <v>13468</v>
      </c>
      <c r="Q6" s="86">
        <f t="shared" si="18"/>
        <v>25330</v>
      </c>
      <c r="R6" s="84">
        <f t="shared" si="19"/>
        <v>12725</v>
      </c>
      <c r="S6" s="84">
        <v>14105</v>
      </c>
      <c r="T6" s="86">
        <f t="shared" si="20"/>
        <v>26830</v>
      </c>
      <c r="U6" s="84">
        <f t="shared" si="21"/>
        <v>15130</v>
      </c>
      <c r="V6" s="84">
        <v>15200</v>
      </c>
      <c r="W6" s="86">
        <f t="shared" si="22"/>
        <v>30330</v>
      </c>
      <c r="X6" s="84">
        <f t="shared" si="2"/>
        <v>19630</v>
      </c>
      <c r="Y6" s="84">
        <v>15200</v>
      </c>
      <c r="Z6" s="86">
        <f t="shared" ref="Z6:Z9" si="32">+Z5+2000</f>
        <v>34830</v>
      </c>
      <c r="AA6" s="84">
        <f t="shared" si="3"/>
        <v>22130</v>
      </c>
      <c r="AB6" s="84">
        <v>15200</v>
      </c>
      <c r="AC6" s="86">
        <f t="shared" ref="AC6:AC9" si="33">+AC5+2000</f>
        <v>37330</v>
      </c>
      <c r="AD6" s="84">
        <f t="shared" si="23"/>
        <v>24630</v>
      </c>
      <c r="AE6" s="84">
        <v>15200</v>
      </c>
      <c r="AF6" s="86">
        <f t="shared" ref="AF6:AF9" si="34">+AF5+2000</f>
        <v>39830</v>
      </c>
      <c r="AG6" s="84">
        <f t="shared" si="4"/>
        <v>27130</v>
      </c>
      <c r="AH6" s="84">
        <v>15200</v>
      </c>
      <c r="AI6" s="86">
        <f t="shared" ref="AI6:AI9" si="35">+AI5+2000</f>
        <v>42330</v>
      </c>
      <c r="AL6" s="5" t="s">
        <v>381</v>
      </c>
      <c r="AM6" s="3"/>
      <c r="AN6" s="80">
        <f t="shared" si="24"/>
        <v>500</v>
      </c>
      <c r="AO6" s="80">
        <f t="shared" si="25"/>
        <v>500</v>
      </c>
      <c r="AP6" s="80">
        <f t="shared" si="26"/>
        <v>500</v>
      </c>
      <c r="AQ6" s="80">
        <f t="shared" si="27"/>
        <v>1000</v>
      </c>
      <c r="AR6" s="80">
        <f t="shared" si="5"/>
        <v>1500</v>
      </c>
      <c r="AS6" s="80">
        <f t="shared" si="6"/>
        <v>3500</v>
      </c>
      <c r="AT6" s="80">
        <f t="shared" si="7"/>
        <v>4500</v>
      </c>
      <c r="AU6" s="80">
        <f t="shared" si="8"/>
        <v>2500</v>
      </c>
      <c r="AV6" s="80">
        <f t="shared" si="9"/>
        <v>2500</v>
      </c>
      <c r="AW6" s="80">
        <f t="shared" si="10"/>
        <v>2500</v>
      </c>
      <c r="AX6" s="88">
        <f t="shared" ref="AX6:AX11" si="36">+E6-E5</f>
        <v>1500</v>
      </c>
      <c r="AY6" s="88">
        <f t="shared" ref="AY6:AY11" si="37">+H6-H5</f>
        <v>1500</v>
      </c>
      <c r="AZ6" s="88">
        <f t="shared" ref="AZ6:AZ11" si="38">+K6-K5</f>
        <v>1500</v>
      </c>
      <c r="BA6" s="88">
        <f t="shared" ref="BA6:BA11" si="39">+N6-N5</f>
        <v>1500</v>
      </c>
      <c r="BB6" s="88">
        <f t="shared" ref="BB6:BB11" si="40">+Q6-Q5</f>
        <v>1500</v>
      </c>
      <c r="BC6" s="88">
        <f t="shared" ref="BC6:BC11" si="41">+T6-T5</f>
        <v>1500</v>
      </c>
      <c r="BD6" s="88">
        <f t="shared" ref="BD6:BD11" si="42">+W6-W5</f>
        <v>1500</v>
      </c>
      <c r="BE6" s="88">
        <f t="shared" si="28"/>
        <v>2000</v>
      </c>
      <c r="BF6" s="88">
        <f t="shared" si="29"/>
        <v>2000</v>
      </c>
      <c r="BG6" s="88">
        <f t="shared" si="30"/>
        <v>2000</v>
      </c>
      <c r="BH6" s="88">
        <f t="shared" si="31"/>
        <v>2000</v>
      </c>
    </row>
    <row r="7" spans="1:60">
      <c r="A7" s="440">
        <v>20</v>
      </c>
      <c r="B7" s="5" t="s">
        <v>535</v>
      </c>
      <c r="C7" s="84">
        <f t="shared" si="1"/>
        <v>11623</v>
      </c>
      <c r="D7" s="84">
        <v>13207</v>
      </c>
      <c r="E7" s="86">
        <f>+E6+2000</f>
        <v>24830</v>
      </c>
      <c r="F7" s="84">
        <f t="shared" si="11"/>
        <v>12123</v>
      </c>
      <c r="G7" s="84">
        <v>13207</v>
      </c>
      <c r="H7" s="86">
        <f t="shared" si="12"/>
        <v>25330</v>
      </c>
      <c r="I7" s="84">
        <f t="shared" si="13"/>
        <v>12623</v>
      </c>
      <c r="J7" s="84">
        <v>13207</v>
      </c>
      <c r="K7" s="86">
        <f t="shared" si="14"/>
        <v>25830</v>
      </c>
      <c r="L7" s="84">
        <f t="shared" si="15"/>
        <v>13023</v>
      </c>
      <c r="M7" s="84">
        <v>13307</v>
      </c>
      <c r="N7" s="86">
        <f t="shared" si="16"/>
        <v>26330</v>
      </c>
      <c r="O7" s="84">
        <f t="shared" si="17"/>
        <v>13862</v>
      </c>
      <c r="P7" s="84">
        <v>13468</v>
      </c>
      <c r="Q7" s="86">
        <f t="shared" si="18"/>
        <v>27330</v>
      </c>
      <c r="R7" s="84">
        <f t="shared" si="19"/>
        <v>14725</v>
      </c>
      <c r="S7" s="84">
        <v>14105</v>
      </c>
      <c r="T7" s="86">
        <f t="shared" si="20"/>
        <v>28830</v>
      </c>
      <c r="U7" s="84">
        <f t="shared" si="21"/>
        <v>17130</v>
      </c>
      <c r="V7" s="84">
        <v>15200</v>
      </c>
      <c r="W7" s="86">
        <f t="shared" si="22"/>
        <v>32330</v>
      </c>
      <c r="X7" s="84">
        <f t="shared" si="2"/>
        <v>21630</v>
      </c>
      <c r="Y7" s="84">
        <v>15200</v>
      </c>
      <c r="Z7" s="86">
        <f t="shared" si="32"/>
        <v>36830</v>
      </c>
      <c r="AA7" s="84">
        <f t="shared" si="3"/>
        <v>24130</v>
      </c>
      <c r="AB7" s="84">
        <v>15200</v>
      </c>
      <c r="AC7" s="86">
        <f t="shared" si="33"/>
        <v>39330</v>
      </c>
      <c r="AD7" s="84">
        <f t="shared" si="23"/>
        <v>26630</v>
      </c>
      <c r="AE7" s="84">
        <v>15200</v>
      </c>
      <c r="AF7" s="86">
        <f t="shared" si="34"/>
        <v>41830</v>
      </c>
      <c r="AG7" s="84">
        <f t="shared" si="4"/>
        <v>29130</v>
      </c>
      <c r="AH7" s="84">
        <v>15200</v>
      </c>
      <c r="AI7" s="86">
        <f t="shared" si="35"/>
        <v>44330</v>
      </c>
      <c r="AL7" s="5"/>
      <c r="AM7" s="3"/>
      <c r="AN7" s="80"/>
      <c r="AO7" s="80"/>
      <c r="AP7" s="80"/>
      <c r="AQ7" s="80"/>
      <c r="AR7" s="80"/>
      <c r="AS7" s="80"/>
      <c r="AT7" s="80"/>
      <c r="AU7" s="80"/>
      <c r="AV7" s="80"/>
      <c r="AW7" s="80"/>
      <c r="AX7" s="88"/>
      <c r="AY7" s="88"/>
      <c r="AZ7" s="88"/>
      <c r="BA7" s="88"/>
      <c r="BB7" s="88"/>
      <c r="BC7" s="88"/>
      <c r="BD7" s="88"/>
      <c r="BE7" s="88"/>
      <c r="BF7" s="88"/>
      <c r="BG7" s="88"/>
      <c r="BH7" s="88"/>
    </row>
    <row r="8" spans="1:60">
      <c r="A8" s="440">
        <v>30</v>
      </c>
      <c r="B8" s="5" t="s">
        <v>382</v>
      </c>
      <c r="C8" s="84">
        <f t="shared" si="1"/>
        <v>14123</v>
      </c>
      <c r="D8" s="84">
        <v>13207</v>
      </c>
      <c r="E8" s="86">
        <f>+E7+2500</f>
        <v>27330</v>
      </c>
      <c r="F8" s="84">
        <f t="shared" si="11"/>
        <v>14623</v>
      </c>
      <c r="G8" s="84">
        <v>13207</v>
      </c>
      <c r="H8" s="86">
        <f t="shared" si="12"/>
        <v>27830</v>
      </c>
      <c r="I8" s="84">
        <f t="shared" si="13"/>
        <v>15123</v>
      </c>
      <c r="J8" s="84">
        <v>13207</v>
      </c>
      <c r="K8" s="86">
        <f t="shared" si="14"/>
        <v>28330</v>
      </c>
      <c r="L8" s="84">
        <f t="shared" si="15"/>
        <v>15523</v>
      </c>
      <c r="M8" s="84">
        <v>13307</v>
      </c>
      <c r="N8" s="86">
        <f t="shared" si="16"/>
        <v>28830</v>
      </c>
      <c r="O8" s="84">
        <f t="shared" si="17"/>
        <v>16362</v>
      </c>
      <c r="P8" s="84">
        <v>13468</v>
      </c>
      <c r="Q8" s="86">
        <f t="shared" si="18"/>
        <v>29830</v>
      </c>
      <c r="R8" s="84">
        <f t="shared" si="19"/>
        <v>17225</v>
      </c>
      <c r="S8" s="84">
        <v>14105</v>
      </c>
      <c r="T8" s="86">
        <f t="shared" si="20"/>
        <v>31330</v>
      </c>
      <c r="U8" s="84">
        <f t="shared" si="21"/>
        <v>19630</v>
      </c>
      <c r="V8" s="84">
        <v>15200</v>
      </c>
      <c r="W8" s="86">
        <f t="shared" si="22"/>
        <v>34830</v>
      </c>
      <c r="X8" s="84">
        <f t="shared" si="2"/>
        <v>23630</v>
      </c>
      <c r="Y8" s="84">
        <v>15200</v>
      </c>
      <c r="Z8" s="86">
        <f>+Z7+2000</f>
        <v>38830</v>
      </c>
      <c r="AA8" s="84">
        <f t="shared" si="3"/>
        <v>26130</v>
      </c>
      <c r="AB8" s="84">
        <v>15200</v>
      </c>
      <c r="AC8" s="86">
        <f>+AC7+2000</f>
        <v>41330</v>
      </c>
      <c r="AD8" s="84">
        <f t="shared" si="23"/>
        <v>28630</v>
      </c>
      <c r="AE8" s="84">
        <v>15200</v>
      </c>
      <c r="AF8" s="86">
        <f>+AF7+2000</f>
        <v>43830</v>
      </c>
      <c r="AG8" s="84">
        <f t="shared" si="4"/>
        <v>31130</v>
      </c>
      <c r="AH8" s="84">
        <v>15200</v>
      </c>
      <c r="AI8" s="86">
        <f>+AI7+2000</f>
        <v>46330</v>
      </c>
      <c r="AL8" s="5" t="s">
        <v>382</v>
      </c>
      <c r="AM8" s="3"/>
      <c r="AN8" s="80">
        <f t="shared" si="24"/>
        <v>500</v>
      </c>
      <c r="AO8" s="80">
        <f t="shared" si="25"/>
        <v>500</v>
      </c>
      <c r="AP8" s="80">
        <f t="shared" si="26"/>
        <v>500</v>
      </c>
      <c r="AQ8" s="80">
        <f t="shared" si="27"/>
        <v>1000</v>
      </c>
      <c r="AR8" s="80">
        <f t="shared" si="5"/>
        <v>1500</v>
      </c>
      <c r="AS8" s="80">
        <f t="shared" si="6"/>
        <v>3500</v>
      </c>
      <c r="AT8" s="80">
        <f t="shared" si="7"/>
        <v>4000</v>
      </c>
      <c r="AU8" s="80">
        <f t="shared" si="8"/>
        <v>2500</v>
      </c>
      <c r="AV8" s="80">
        <f t="shared" si="9"/>
        <v>2500</v>
      </c>
      <c r="AW8" s="80">
        <f t="shared" si="10"/>
        <v>2500</v>
      </c>
      <c r="AX8" s="88">
        <f>+E8-E6</f>
        <v>4500</v>
      </c>
      <c r="AY8" s="88">
        <f>+H8-H6</f>
        <v>4500</v>
      </c>
      <c r="AZ8" s="88">
        <f>+K8-K6</f>
        <v>4500</v>
      </c>
      <c r="BA8" s="88">
        <f>+N8-N6</f>
        <v>4500</v>
      </c>
      <c r="BB8" s="88">
        <f>+Q8-Q6</f>
        <v>4500</v>
      </c>
      <c r="BC8" s="88">
        <f>+T8-T6</f>
        <v>4500</v>
      </c>
      <c r="BD8" s="88">
        <f>+W8-W6</f>
        <v>4500</v>
      </c>
      <c r="BE8" s="88">
        <f>+Z8-Z6</f>
        <v>4000</v>
      </c>
      <c r="BF8" s="88">
        <f>+AC8-AC6</f>
        <v>4000</v>
      </c>
      <c r="BG8" s="88">
        <f>+AF8-AF6</f>
        <v>4000</v>
      </c>
      <c r="BH8" s="88">
        <f>+AI8-AI6</f>
        <v>4000</v>
      </c>
    </row>
    <row r="9" spans="1:60">
      <c r="A9" s="440">
        <v>40</v>
      </c>
      <c r="B9" s="5" t="s">
        <v>383</v>
      </c>
      <c r="C9" s="84">
        <f t="shared" si="1"/>
        <v>17123</v>
      </c>
      <c r="D9" s="84">
        <v>13207</v>
      </c>
      <c r="E9" s="86">
        <f>+E8+3000</f>
        <v>30330</v>
      </c>
      <c r="F9" s="84">
        <f t="shared" si="11"/>
        <v>17623</v>
      </c>
      <c r="G9" s="84">
        <v>13207</v>
      </c>
      <c r="H9" s="86">
        <f t="shared" si="12"/>
        <v>30830</v>
      </c>
      <c r="I9" s="84">
        <f t="shared" si="13"/>
        <v>18123</v>
      </c>
      <c r="J9" s="84">
        <v>13207</v>
      </c>
      <c r="K9" s="86">
        <f t="shared" si="14"/>
        <v>31330</v>
      </c>
      <c r="L9" s="84">
        <f t="shared" si="15"/>
        <v>18523</v>
      </c>
      <c r="M9" s="84">
        <v>13307</v>
      </c>
      <c r="N9" s="86">
        <f t="shared" si="16"/>
        <v>31830</v>
      </c>
      <c r="O9" s="84">
        <f t="shared" si="17"/>
        <v>19362</v>
      </c>
      <c r="P9" s="84">
        <v>13468</v>
      </c>
      <c r="Q9" s="86">
        <f t="shared" si="18"/>
        <v>32830</v>
      </c>
      <c r="R9" s="84">
        <f t="shared" si="19"/>
        <v>20225</v>
      </c>
      <c r="S9" s="84">
        <v>14105</v>
      </c>
      <c r="T9" s="86">
        <f t="shared" si="20"/>
        <v>34330</v>
      </c>
      <c r="U9" s="84">
        <f t="shared" si="21"/>
        <v>22630</v>
      </c>
      <c r="V9" s="84">
        <v>15200</v>
      </c>
      <c r="W9" s="86">
        <f t="shared" si="22"/>
        <v>37830</v>
      </c>
      <c r="X9" s="84">
        <f t="shared" si="2"/>
        <v>25630</v>
      </c>
      <c r="Y9" s="84">
        <v>15200</v>
      </c>
      <c r="Z9" s="86">
        <f t="shared" si="32"/>
        <v>40830</v>
      </c>
      <c r="AA9" s="84">
        <f t="shared" si="3"/>
        <v>28130</v>
      </c>
      <c r="AB9" s="84">
        <v>15200</v>
      </c>
      <c r="AC9" s="86">
        <f t="shared" si="33"/>
        <v>43330</v>
      </c>
      <c r="AD9" s="84">
        <f t="shared" si="23"/>
        <v>30630</v>
      </c>
      <c r="AE9" s="84">
        <v>15200</v>
      </c>
      <c r="AF9" s="86">
        <f t="shared" si="34"/>
        <v>45830</v>
      </c>
      <c r="AG9" s="84">
        <f t="shared" si="4"/>
        <v>33130</v>
      </c>
      <c r="AH9" s="84">
        <v>15200</v>
      </c>
      <c r="AI9" s="86">
        <f t="shared" si="35"/>
        <v>48330</v>
      </c>
      <c r="AL9" s="5" t="s">
        <v>383</v>
      </c>
      <c r="AM9" s="3"/>
      <c r="AN9" s="80">
        <f t="shared" si="24"/>
        <v>500</v>
      </c>
      <c r="AO9" s="80">
        <f t="shared" si="25"/>
        <v>500</v>
      </c>
      <c r="AP9" s="80">
        <f t="shared" si="26"/>
        <v>500</v>
      </c>
      <c r="AQ9" s="80">
        <f t="shared" si="27"/>
        <v>1000</v>
      </c>
      <c r="AR9" s="80">
        <f t="shared" si="5"/>
        <v>1500</v>
      </c>
      <c r="AS9" s="80">
        <f t="shared" si="6"/>
        <v>3500</v>
      </c>
      <c r="AT9" s="80">
        <f t="shared" si="7"/>
        <v>3000</v>
      </c>
      <c r="AU9" s="80">
        <f t="shared" si="8"/>
        <v>2500</v>
      </c>
      <c r="AV9" s="80">
        <f t="shared" si="9"/>
        <v>2500</v>
      </c>
      <c r="AW9" s="80">
        <f t="shared" si="10"/>
        <v>2500</v>
      </c>
      <c r="AX9" s="88">
        <f t="shared" si="36"/>
        <v>3000</v>
      </c>
      <c r="AY9" s="88">
        <f t="shared" si="37"/>
        <v>3000</v>
      </c>
      <c r="AZ9" s="88">
        <f t="shared" si="38"/>
        <v>3000</v>
      </c>
      <c r="BA9" s="88">
        <f t="shared" si="39"/>
        <v>3000</v>
      </c>
      <c r="BB9" s="88">
        <f t="shared" si="40"/>
        <v>3000</v>
      </c>
      <c r="BC9" s="88">
        <f t="shared" si="41"/>
        <v>3000</v>
      </c>
      <c r="BD9" s="88">
        <f t="shared" si="42"/>
        <v>3000</v>
      </c>
      <c r="BE9" s="88">
        <f t="shared" si="28"/>
        <v>2000</v>
      </c>
      <c r="BF9" s="88">
        <f t="shared" si="29"/>
        <v>2000</v>
      </c>
      <c r="BG9" s="88">
        <f t="shared" si="30"/>
        <v>2000</v>
      </c>
      <c r="BH9" s="88">
        <f t="shared" si="31"/>
        <v>2000</v>
      </c>
    </row>
    <row r="10" spans="1:60">
      <c r="A10" s="440">
        <v>50</v>
      </c>
      <c r="B10" s="3" t="s">
        <v>384</v>
      </c>
      <c r="C10" s="80">
        <f t="shared" si="1"/>
        <v>20123</v>
      </c>
      <c r="D10" s="81">
        <v>13207</v>
      </c>
      <c r="E10" s="86">
        <f>+E9+3000</f>
        <v>33330</v>
      </c>
      <c r="F10" s="81">
        <f t="shared" si="11"/>
        <v>20623</v>
      </c>
      <c r="G10" s="81">
        <v>13207</v>
      </c>
      <c r="H10" s="86">
        <f t="shared" si="12"/>
        <v>33830</v>
      </c>
      <c r="I10" s="80">
        <f t="shared" si="13"/>
        <v>21123</v>
      </c>
      <c r="J10" s="81">
        <v>13207</v>
      </c>
      <c r="K10" s="86">
        <f t="shared" si="14"/>
        <v>34330</v>
      </c>
      <c r="L10" s="80">
        <f t="shared" si="15"/>
        <v>21523</v>
      </c>
      <c r="M10" s="81">
        <v>13307</v>
      </c>
      <c r="N10" s="86">
        <f t="shared" si="16"/>
        <v>34830</v>
      </c>
      <c r="O10" s="80">
        <f t="shared" si="17"/>
        <v>22362</v>
      </c>
      <c r="P10" s="80">
        <v>13468</v>
      </c>
      <c r="Q10" s="86">
        <f t="shared" si="18"/>
        <v>35830</v>
      </c>
      <c r="R10" s="80">
        <f t="shared" si="19"/>
        <v>23225</v>
      </c>
      <c r="S10" s="80">
        <v>14105</v>
      </c>
      <c r="T10" s="86">
        <f t="shared" si="20"/>
        <v>37330</v>
      </c>
      <c r="U10" s="80">
        <f t="shared" si="21"/>
        <v>25630</v>
      </c>
      <c r="V10" s="80">
        <v>15200</v>
      </c>
      <c r="W10" s="86">
        <f t="shared" si="22"/>
        <v>40830</v>
      </c>
      <c r="X10" s="80">
        <f t="shared" si="2"/>
        <v>29630</v>
      </c>
      <c r="Y10" s="80">
        <v>15200</v>
      </c>
      <c r="Z10" s="86">
        <f>+Z9+4000</f>
        <v>44830</v>
      </c>
      <c r="AA10" s="80">
        <f t="shared" si="3"/>
        <v>32130</v>
      </c>
      <c r="AB10" s="80">
        <v>15200</v>
      </c>
      <c r="AC10" s="86">
        <f>+AC9+4000</f>
        <v>47330</v>
      </c>
      <c r="AD10" s="80">
        <f t="shared" si="23"/>
        <v>34630</v>
      </c>
      <c r="AE10" s="80">
        <v>15200</v>
      </c>
      <c r="AF10" s="86">
        <f>+AF9+4000</f>
        <v>49830</v>
      </c>
      <c r="AG10" s="80">
        <f t="shared" si="4"/>
        <v>37130</v>
      </c>
      <c r="AH10" s="80">
        <v>15200</v>
      </c>
      <c r="AI10" s="86">
        <f>+AI9+4000</f>
        <v>52330</v>
      </c>
      <c r="AL10" s="3" t="s">
        <v>384</v>
      </c>
      <c r="AM10" s="3"/>
      <c r="AN10" s="80">
        <f t="shared" si="24"/>
        <v>500</v>
      </c>
      <c r="AO10" s="80">
        <f t="shared" si="25"/>
        <v>500</v>
      </c>
      <c r="AP10" s="80">
        <f t="shared" si="26"/>
        <v>500</v>
      </c>
      <c r="AQ10" s="80">
        <f t="shared" si="27"/>
        <v>1000</v>
      </c>
      <c r="AR10" s="80">
        <f t="shared" si="5"/>
        <v>1500</v>
      </c>
      <c r="AS10" s="80">
        <f t="shared" si="6"/>
        <v>3500</v>
      </c>
      <c r="AT10" s="80">
        <f t="shared" si="7"/>
        <v>4000</v>
      </c>
      <c r="AU10" s="80">
        <f t="shared" si="8"/>
        <v>2500</v>
      </c>
      <c r="AV10" s="80">
        <f t="shared" si="9"/>
        <v>2500</v>
      </c>
      <c r="AW10" s="80">
        <f t="shared" si="10"/>
        <v>2500</v>
      </c>
      <c r="AX10" s="88">
        <f t="shared" si="36"/>
        <v>3000</v>
      </c>
      <c r="AY10" s="88">
        <f t="shared" si="37"/>
        <v>3000</v>
      </c>
      <c r="AZ10" s="88">
        <f t="shared" si="38"/>
        <v>3000</v>
      </c>
      <c r="BA10" s="88">
        <f t="shared" si="39"/>
        <v>3000</v>
      </c>
      <c r="BB10" s="88">
        <f t="shared" si="40"/>
        <v>3000</v>
      </c>
      <c r="BC10" s="88">
        <f t="shared" si="41"/>
        <v>3000</v>
      </c>
      <c r="BD10" s="88">
        <f t="shared" si="42"/>
        <v>3000</v>
      </c>
      <c r="BE10" s="88">
        <f t="shared" si="28"/>
        <v>4000</v>
      </c>
      <c r="BF10" s="88">
        <f t="shared" si="29"/>
        <v>4000</v>
      </c>
      <c r="BG10" s="88">
        <f t="shared" si="30"/>
        <v>4000</v>
      </c>
      <c r="BH10" s="88">
        <f t="shared" si="31"/>
        <v>4000</v>
      </c>
    </row>
    <row r="11" spans="1:60">
      <c r="A11" s="440">
        <v>60</v>
      </c>
      <c r="B11" s="3" t="s">
        <v>385</v>
      </c>
      <c r="C11" s="80">
        <f t="shared" si="1"/>
        <v>25123</v>
      </c>
      <c r="D11" s="81">
        <v>13207</v>
      </c>
      <c r="E11" s="86">
        <f>+E10+5000</f>
        <v>38330</v>
      </c>
      <c r="F11" s="81">
        <f t="shared" si="11"/>
        <v>25623</v>
      </c>
      <c r="G11" s="81">
        <v>13207</v>
      </c>
      <c r="H11" s="86">
        <f t="shared" si="12"/>
        <v>38830</v>
      </c>
      <c r="I11" s="80">
        <f t="shared" si="13"/>
        <v>26123</v>
      </c>
      <c r="J11" s="81">
        <v>13207</v>
      </c>
      <c r="K11" s="86">
        <f t="shared" si="14"/>
        <v>39330</v>
      </c>
      <c r="L11" s="80">
        <f t="shared" si="15"/>
        <v>26523</v>
      </c>
      <c r="M11" s="81">
        <v>13307</v>
      </c>
      <c r="N11" s="86">
        <f t="shared" si="16"/>
        <v>39830</v>
      </c>
      <c r="O11" s="80">
        <f t="shared" si="17"/>
        <v>27362</v>
      </c>
      <c r="P11" s="80">
        <v>13468</v>
      </c>
      <c r="Q11" s="86">
        <f t="shared" si="18"/>
        <v>40830</v>
      </c>
      <c r="R11" s="80">
        <f t="shared" si="19"/>
        <v>28225</v>
      </c>
      <c r="S11" s="80">
        <v>14105</v>
      </c>
      <c r="T11" s="86">
        <f t="shared" si="20"/>
        <v>42330</v>
      </c>
      <c r="U11" s="80">
        <f t="shared" si="21"/>
        <v>30630</v>
      </c>
      <c r="V11" s="80">
        <v>15200</v>
      </c>
      <c r="W11" s="86">
        <f t="shared" si="22"/>
        <v>45830</v>
      </c>
      <c r="X11" s="80">
        <f t="shared" si="2"/>
        <v>33630</v>
      </c>
      <c r="Y11" s="80">
        <v>15200</v>
      </c>
      <c r="Z11" s="86">
        <f>+Z10+4000</f>
        <v>48830</v>
      </c>
      <c r="AA11" s="80">
        <f t="shared" si="3"/>
        <v>36130</v>
      </c>
      <c r="AB11" s="80">
        <v>15200</v>
      </c>
      <c r="AC11" s="86">
        <f>+AC10+4000</f>
        <v>51330</v>
      </c>
      <c r="AD11" s="80">
        <f t="shared" si="23"/>
        <v>38630</v>
      </c>
      <c r="AE11" s="80">
        <v>15200</v>
      </c>
      <c r="AF11" s="86">
        <f>+AF10+4000</f>
        <v>53830</v>
      </c>
      <c r="AG11" s="80">
        <f t="shared" si="4"/>
        <v>41130</v>
      </c>
      <c r="AH11" s="80">
        <v>15200</v>
      </c>
      <c r="AI11" s="86">
        <f>+AI10+4000</f>
        <v>56330</v>
      </c>
      <c r="AL11" s="3" t="s">
        <v>385</v>
      </c>
      <c r="AM11" s="3"/>
      <c r="AN11" s="80">
        <f t="shared" si="24"/>
        <v>500</v>
      </c>
      <c r="AO11" s="80">
        <f t="shared" si="25"/>
        <v>500</v>
      </c>
      <c r="AP11" s="80">
        <f t="shared" si="26"/>
        <v>500</v>
      </c>
      <c r="AQ11" s="80">
        <f t="shared" si="27"/>
        <v>1000</v>
      </c>
      <c r="AR11" s="80">
        <f t="shared" si="5"/>
        <v>1500</v>
      </c>
      <c r="AS11" s="80">
        <f t="shared" si="6"/>
        <v>3500</v>
      </c>
      <c r="AT11" s="80">
        <f t="shared" si="7"/>
        <v>3000</v>
      </c>
      <c r="AU11" s="80">
        <f t="shared" si="8"/>
        <v>2500</v>
      </c>
      <c r="AV11" s="80">
        <f t="shared" si="9"/>
        <v>2500</v>
      </c>
      <c r="AW11" s="80">
        <f t="shared" si="10"/>
        <v>2500</v>
      </c>
      <c r="AX11" s="88">
        <f t="shared" si="36"/>
        <v>5000</v>
      </c>
      <c r="AY11" s="88">
        <f t="shared" si="37"/>
        <v>5000</v>
      </c>
      <c r="AZ11" s="88">
        <f t="shared" si="38"/>
        <v>5000</v>
      </c>
      <c r="BA11" s="88">
        <f t="shared" si="39"/>
        <v>5000</v>
      </c>
      <c r="BB11" s="88">
        <f t="shared" si="40"/>
        <v>5000</v>
      </c>
      <c r="BC11" s="88">
        <f t="shared" si="41"/>
        <v>5000</v>
      </c>
      <c r="BD11" s="88">
        <f t="shared" si="42"/>
        <v>5000</v>
      </c>
      <c r="BE11" s="88">
        <f t="shared" si="28"/>
        <v>4000</v>
      </c>
      <c r="BF11" s="88">
        <f t="shared" si="29"/>
        <v>4000</v>
      </c>
      <c r="BG11" s="88">
        <f t="shared" si="30"/>
        <v>4000</v>
      </c>
      <c r="BH11" s="88">
        <f t="shared" si="31"/>
        <v>4000</v>
      </c>
    </row>
    <row r="12" spans="1:60">
      <c r="C12" s="83"/>
      <c r="D12" s="83"/>
      <c r="E12" s="83"/>
      <c r="L12" s="83"/>
      <c r="N12" s="83"/>
      <c r="P12" s="83"/>
      <c r="Q12" s="83"/>
      <c r="T12" s="83"/>
    </row>
    <row r="13" spans="1:60">
      <c r="D13" s="83"/>
      <c r="E13" s="83"/>
      <c r="H13" s="83"/>
    </row>
    <row r="14" spans="1:60" ht="105">
      <c r="B14" s="83"/>
      <c r="T14" s="79" t="s">
        <v>374</v>
      </c>
      <c r="U14" s="3" t="s">
        <v>386</v>
      </c>
      <c r="V14" s="3"/>
      <c r="W14" s="3"/>
      <c r="X14" s="3"/>
      <c r="Y14" s="3"/>
      <c r="Z14" s="3" t="s">
        <v>387</v>
      </c>
      <c r="AA14" s="3"/>
      <c r="AB14" s="3"/>
      <c r="AC14" s="3" t="s">
        <v>388</v>
      </c>
      <c r="AD14" s="3" t="s">
        <v>389</v>
      </c>
      <c r="AE14" s="43" t="s">
        <v>390</v>
      </c>
    </row>
    <row r="15" spans="1:60">
      <c r="B15" s="3" t="s">
        <v>380</v>
      </c>
      <c r="C15">
        <v>5</v>
      </c>
      <c r="T15" s="3" t="s">
        <v>380</v>
      </c>
      <c r="U15" s="3"/>
      <c r="V15" s="3"/>
      <c r="W15" s="3"/>
      <c r="X15" s="3"/>
      <c r="Y15" s="3"/>
      <c r="Z15" s="80" t="e">
        <f>+#REF!-#REF!</f>
        <v>#REF!</v>
      </c>
      <c r="AA15" s="80"/>
      <c r="AB15" s="80"/>
      <c r="AC15" s="80" t="e">
        <f>+#REF!-#REF!</f>
        <v>#REF!</v>
      </c>
      <c r="AD15" s="80" t="e">
        <f>+B15-#REF!</f>
        <v>#VALUE!</v>
      </c>
      <c r="AE15" s="80" t="e">
        <f>+Q15-B15</f>
        <v>#VALUE!</v>
      </c>
    </row>
    <row r="16" spans="1:60">
      <c r="B16" s="3" t="s">
        <v>39</v>
      </c>
      <c r="C16">
        <v>10</v>
      </c>
      <c r="T16" s="3" t="s">
        <v>391</v>
      </c>
      <c r="U16" s="3"/>
      <c r="V16" s="3"/>
      <c r="W16" s="3"/>
      <c r="X16" s="3"/>
      <c r="Y16" s="3"/>
      <c r="Z16" s="80" t="e">
        <f>+#REF!-#REF!</f>
        <v>#REF!</v>
      </c>
      <c r="AA16" s="80"/>
      <c r="AB16" s="80"/>
      <c r="AC16" s="80" t="e">
        <f>+#REF!-#REF!</f>
        <v>#REF!</v>
      </c>
      <c r="AD16" s="80" t="e">
        <f>+B16-#REF!</f>
        <v>#VALUE!</v>
      </c>
      <c r="AE16" s="80" t="e">
        <f>+Q16-B16</f>
        <v>#VALUE!</v>
      </c>
    </row>
    <row r="17" spans="2:31">
      <c r="B17" s="5" t="s">
        <v>534</v>
      </c>
      <c r="C17">
        <v>15</v>
      </c>
      <c r="T17" s="3" t="s">
        <v>392</v>
      </c>
      <c r="U17" s="3"/>
      <c r="V17" s="3"/>
      <c r="W17" s="3"/>
      <c r="X17" s="3"/>
      <c r="Y17" s="3"/>
      <c r="Z17" s="80" t="e">
        <f>+#REF!-#REF!</f>
        <v>#REF!</v>
      </c>
      <c r="AA17" s="80"/>
      <c r="AB17" s="80"/>
      <c r="AC17" s="80" t="e">
        <f>+#REF!-#REF!</f>
        <v>#REF!</v>
      </c>
      <c r="AD17" s="80" t="e">
        <f>+B17-#REF!</f>
        <v>#VALUE!</v>
      </c>
      <c r="AE17" s="80" t="e">
        <f>+Q17-B17</f>
        <v>#VALUE!</v>
      </c>
    </row>
    <row r="18" spans="2:31">
      <c r="B18" s="5" t="s">
        <v>535</v>
      </c>
      <c r="C18">
        <v>20</v>
      </c>
      <c r="T18" s="3" t="s">
        <v>393</v>
      </c>
      <c r="U18" s="3"/>
      <c r="V18" s="3"/>
      <c r="W18" s="3"/>
      <c r="X18" s="3"/>
      <c r="Y18" s="3"/>
      <c r="Z18" s="80" t="e">
        <f>+#REF!-#REF!</f>
        <v>#REF!</v>
      </c>
      <c r="AA18" s="80"/>
      <c r="AB18" s="80"/>
      <c r="AC18" s="80" t="e">
        <f>+#REF!-#REF!</f>
        <v>#REF!</v>
      </c>
      <c r="AD18" s="80" t="e">
        <f>+B19-#REF!</f>
        <v>#VALUE!</v>
      </c>
      <c r="AE18" s="80" t="e">
        <f>+Q18-B19</f>
        <v>#VALUE!</v>
      </c>
    </row>
    <row r="19" spans="2:31">
      <c r="B19" s="5" t="s">
        <v>382</v>
      </c>
      <c r="C19">
        <v>30</v>
      </c>
      <c r="T19" s="3" t="s">
        <v>394</v>
      </c>
      <c r="U19" s="3"/>
      <c r="V19" s="3"/>
      <c r="W19" s="3"/>
      <c r="X19" s="3"/>
      <c r="Y19" s="3"/>
      <c r="Z19" s="80" t="e">
        <f>+#REF!-#REF!</f>
        <v>#REF!</v>
      </c>
      <c r="AA19" s="80"/>
      <c r="AB19" s="80"/>
      <c r="AC19" s="80" t="e">
        <f>+#REF!-#REF!</f>
        <v>#REF!</v>
      </c>
      <c r="AD19" s="80" t="e">
        <f>+B20-#REF!</f>
        <v>#VALUE!</v>
      </c>
      <c r="AE19" s="80" t="e">
        <f>+Q19-B20</f>
        <v>#VALUE!</v>
      </c>
    </row>
    <row r="20" spans="2:31">
      <c r="B20" s="5" t="s">
        <v>383</v>
      </c>
      <c r="C20">
        <v>40</v>
      </c>
      <c r="T20" s="3" t="s">
        <v>395</v>
      </c>
      <c r="U20" s="3">
        <v>6</v>
      </c>
      <c r="V20" s="3"/>
      <c r="W20" s="3"/>
      <c r="X20" s="3"/>
      <c r="Y20" s="3"/>
      <c r="Z20" s="80">
        <v>5</v>
      </c>
      <c r="AA20" s="80"/>
      <c r="AB20" s="80"/>
      <c r="AC20" s="80">
        <v>4</v>
      </c>
      <c r="AD20" s="80">
        <v>3</v>
      </c>
      <c r="AE20" s="80">
        <v>2</v>
      </c>
    </row>
    <row r="21" spans="2:31">
      <c r="B21" s="3" t="s">
        <v>384</v>
      </c>
      <c r="C21">
        <v>50</v>
      </c>
      <c r="E21" s="87"/>
      <c r="F21" s="87"/>
      <c r="H21" s="83"/>
    </row>
    <row r="22" spans="2:31">
      <c r="B22" s="3" t="s">
        <v>385</v>
      </c>
      <c r="C22">
        <v>60</v>
      </c>
      <c r="E22" s="87"/>
      <c r="F22" s="87"/>
      <c r="H22" s="83"/>
    </row>
    <row r="23" spans="2:31">
      <c r="E23" s="87"/>
      <c r="F23" s="87"/>
      <c r="H23" s="83"/>
    </row>
    <row r="24" spans="2:31">
      <c r="B24" s="3" t="s">
        <v>357</v>
      </c>
      <c r="C24" s="46">
        <v>0.82</v>
      </c>
      <c r="E24" s="87"/>
      <c r="F24" s="87"/>
      <c r="H24" s="83"/>
    </row>
    <row r="25" spans="2:31">
      <c r="B25" s="3" t="s">
        <v>360</v>
      </c>
      <c r="C25" s="46">
        <v>0.75</v>
      </c>
      <c r="E25" s="87"/>
      <c r="F25" s="87"/>
      <c r="H25" s="83"/>
    </row>
    <row r="26" spans="2:31" ht="15.75" thickBot="1">
      <c r="B26" s="3" t="s">
        <v>362</v>
      </c>
      <c r="C26" s="46">
        <v>0.67</v>
      </c>
      <c r="E26" s="87"/>
      <c r="F26" s="87"/>
      <c r="H26" s="83"/>
    </row>
    <row r="27" spans="2:31" ht="15.75" thickBot="1">
      <c r="B27" s="3" t="s">
        <v>364</v>
      </c>
      <c r="C27" s="46">
        <v>0.55000000000000004</v>
      </c>
      <c r="E27" s="87"/>
      <c r="F27" s="87"/>
      <c r="H27" s="83"/>
      <c r="P27" s="152" t="s">
        <v>396</v>
      </c>
      <c r="R27" s="152" t="s">
        <v>397</v>
      </c>
    </row>
    <row r="28" spans="2:31" ht="15.75" thickBot="1">
      <c r="B28" s="3" t="s">
        <v>55</v>
      </c>
      <c r="C28" s="46">
        <v>0.46</v>
      </c>
      <c r="E28" s="87"/>
      <c r="F28" s="87"/>
      <c r="H28" s="83"/>
      <c r="O28" s="152" t="s">
        <v>398</v>
      </c>
      <c r="P28" s="153" t="s">
        <v>255</v>
      </c>
      <c r="Q28" s="156">
        <v>0.16522000000000001</v>
      </c>
      <c r="R28" s="153" t="s">
        <v>399</v>
      </c>
    </row>
    <row r="29" spans="2:31" ht="15.75" thickBot="1">
      <c r="B29" s="11" t="s">
        <v>367</v>
      </c>
      <c r="C29" s="46">
        <v>0.37</v>
      </c>
      <c r="E29" s="87"/>
      <c r="F29" s="87"/>
      <c r="H29" s="83"/>
      <c r="O29" s="154" t="s">
        <v>256</v>
      </c>
      <c r="P29" s="155">
        <v>11436</v>
      </c>
      <c r="Q29" s="155">
        <f t="shared" ref="Q29:Q35" si="43">+P29*$Q$28</f>
        <v>1889.4559200000001</v>
      </c>
      <c r="R29" s="157">
        <f>+P29+Q29</f>
        <v>13325.45592</v>
      </c>
    </row>
    <row r="30" spans="2:31" ht="15.75" thickBot="1">
      <c r="B30" s="11" t="s">
        <v>400</v>
      </c>
      <c r="C30" s="46">
        <v>0.3</v>
      </c>
      <c r="E30" s="87"/>
      <c r="F30" s="87"/>
      <c r="H30" s="83"/>
      <c r="O30" s="154" t="s">
        <v>257</v>
      </c>
      <c r="P30" s="155">
        <v>11436</v>
      </c>
      <c r="Q30" s="155">
        <f t="shared" si="43"/>
        <v>1889.4559200000001</v>
      </c>
      <c r="R30" s="157">
        <f t="shared" ref="R30:R35" si="44">+P30+Q30</f>
        <v>13325.45592</v>
      </c>
    </row>
    <row r="31" spans="2:31" ht="15.75" thickBot="1">
      <c r="B31" s="11" t="s">
        <v>376</v>
      </c>
      <c r="C31" s="46">
        <v>0.22</v>
      </c>
      <c r="E31" s="87"/>
      <c r="F31" s="87"/>
      <c r="H31" s="83"/>
      <c r="O31" s="154" t="s">
        <v>259</v>
      </c>
      <c r="P31" s="155">
        <v>9037</v>
      </c>
      <c r="Q31" s="155">
        <f t="shared" si="43"/>
        <v>1493.0931399999999</v>
      </c>
      <c r="R31" s="157">
        <f t="shared" si="44"/>
        <v>10530.093140000001</v>
      </c>
    </row>
    <row r="32" spans="2:31" ht="15.75" thickBot="1">
      <c r="B32" s="11" t="s">
        <v>377</v>
      </c>
      <c r="C32" s="46">
        <v>0.15</v>
      </c>
      <c r="E32" s="87"/>
      <c r="F32" s="87"/>
      <c r="H32" s="83"/>
      <c r="O32" s="154" t="s">
        <v>260</v>
      </c>
      <c r="P32" s="155">
        <v>9037</v>
      </c>
      <c r="Q32" s="155">
        <f t="shared" si="43"/>
        <v>1493.0931399999999</v>
      </c>
      <c r="R32" s="157">
        <f t="shared" si="44"/>
        <v>10530.093140000001</v>
      </c>
    </row>
    <row r="33" spans="1:31" ht="15.75" thickBot="1">
      <c r="B33" s="11" t="s">
        <v>378</v>
      </c>
      <c r="C33" s="46">
        <v>0.1</v>
      </c>
      <c r="E33" s="87"/>
      <c r="F33" s="87"/>
      <c r="H33" s="83"/>
      <c r="O33" s="154" t="s">
        <v>261</v>
      </c>
      <c r="P33" s="155">
        <v>9859</v>
      </c>
      <c r="Q33" s="155">
        <f t="shared" si="43"/>
        <v>1628.90398</v>
      </c>
      <c r="R33" s="157">
        <f t="shared" si="44"/>
        <v>11487.903979999999</v>
      </c>
    </row>
    <row r="34" spans="1:31" ht="15.75" thickBot="1">
      <c r="B34" s="11" t="s">
        <v>379</v>
      </c>
      <c r="C34" s="46">
        <v>0</v>
      </c>
      <c r="E34" s="87"/>
      <c r="F34" s="87"/>
      <c r="H34" s="83"/>
      <c r="O34" s="154" t="s">
        <v>262</v>
      </c>
      <c r="P34" s="155">
        <v>11261</v>
      </c>
      <c r="Q34" s="155">
        <f t="shared" si="43"/>
        <v>1860.54242</v>
      </c>
      <c r="R34" s="157">
        <f t="shared" si="44"/>
        <v>13121.54242</v>
      </c>
    </row>
    <row r="35" spans="1:31" ht="15.75" thickBot="1">
      <c r="E35" s="87"/>
      <c r="F35" s="87"/>
      <c r="H35" s="83"/>
      <c r="O35" s="154" t="s">
        <v>263</v>
      </c>
      <c r="P35" s="155">
        <v>14612</v>
      </c>
      <c r="Q35" s="155">
        <f t="shared" si="43"/>
        <v>2414.1946400000002</v>
      </c>
      <c r="R35" s="157">
        <f t="shared" si="44"/>
        <v>17026.194640000002</v>
      </c>
    </row>
    <row r="36" spans="1:31">
      <c r="E36" s="87"/>
      <c r="F36" s="87"/>
      <c r="H36" s="83"/>
      <c r="P36" t="s">
        <v>401</v>
      </c>
      <c r="Q36" t="s">
        <v>402</v>
      </c>
      <c r="R36" t="s">
        <v>403</v>
      </c>
      <c r="S36" t="s">
        <v>404</v>
      </c>
    </row>
    <row r="37" spans="1:31">
      <c r="C37" s="87"/>
      <c r="D37" s="87"/>
      <c r="E37" s="87"/>
      <c r="F37" s="87"/>
      <c r="G37" s="87"/>
      <c r="H37" s="87"/>
      <c r="I37" s="87"/>
      <c r="J37" s="87"/>
      <c r="K37" s="87"/>
      <c r="Q37" s="87"/>
      <c r="R37" s="87"/>
      <c r="T37" s="83"/>
      <c r="AA37" s="159" t="s">
        <v>405</v>
      </c>
      <c r="AB37" s="158">
        <v>6600000</v>
      </c>
      <c r="AC37" s="158">
        <f>+AB37*12</f>
        <v>79200000</v>
      </c>
      <c r="AD37">
        <f>34781*70%</f>
        <v>24346.699999999997</v>
      </c>
      <c r="AE37" s="9">
        <f>+AC37/AD37</f>
        <v>3253.0075944583868</v>
      </c>
    </row>
    <row r="38" spans="1:31">
      <c r="C38" s="87"/>
      <c r="D38" s="87"/>
      <c r="E38" s="87"/>
      <c r="F38" s="87"/>
      <c r="G38" s="87"/>
      <c r="H38" s="87"/>
      <c r="I38" s="87"/>
      <c r="J38" s="87"/>
      <c r="K38" s="87"/>
      <c r="Q38" s="87"/>
      <c r="R38" s="87"/>
      <c r="T38" s="83"/>
      <c r="AA38" s="159"/>
      <c r="AB38" s="158"/>
      <c r="AC38" s="158"/>
      <c r="AE38" s="9"/>
    </row>
    <row r="39" spans="1:31">
      <c r="C39" s="87"/>
      <c r="D39" s="87"/>
      <c r="E39" s="87"/>
      <c r="F39" s="87"/>
      <c r="G39" s="87"/>
      <c r="H39" s="87"/>
      <c r="I39" s="87"/>
      <c r="J39" s="87"/>
      <c r="K39" s="87"/>
      <c r="Q39" s="87"/>
      <c r="R39" s="87"/>
      <c r="T39" s="83"/>
      <c r="AA39" s="159"/>
      <c r="AB39" s="158"/>
      <c r="AC39" s="158"/>
      <c r="AE39" s="9"/>
    </row>
    <row r="40" spans="1:31" ht="31.5">
      <c r="A40" s="1344" t="s">
        <v>1374</v>
      </c>
      <c r="B40" s="1344"/>
      <c r="C40" s="1344"/>
      <c r="D40" s="1344"/>
      <c r="E40" s="1344"/>
      <c r="F40" s="1344"/>
      <c r="G40" s="1344"/>
      <c r="H40" s="1344"/>
      <c r="I40" s="1344"/>
      <c r="J40" s="1344"/>
      <c r="K40" s="1344"/>
      <c r="L40" s="1344"/>
      <c r="M40" s="1344"/>
      <c r="Q40" s="87"/>
      <c r="R40" s="87"/>
      <c r="T40" s="83"/>
    </row>
    <row r="41" spans="1:31" ht="11.25" customHeight="1">
      <c r="A41" s="589"/>
      <c r="B41" s="589"/>
      <c r="C41" s="589"/>
      <c r="D41" s="589"/>
      <c r="E41" s="589"/>
      <c r="F41" s="589"/>
      <c r="G41" s="589"/>
      <c r="H41" s="589"/>
      <c r="I41" s="589"/>
      <c r="J41" s="589"/>
      <c r="K41" s="589"/>
      <c r="L41" s="589"/>
      <c r="M41" s="589"/>
      <c r="Q41" s="587"/>
      <c r="R41" s="587"/>
      <c r="T41" s="83"/>
    </row>
    <row r="42" spans="1:31">
      <c r="C42" t="str">
        <f>+C1</f>
        <v>Mas 82%</v>
      </c>
      <c r="D42" t="str">
        <f>+F1</f>
        <v>75%-82%</v>
      </c>
      <c r="E42" t="str">
        <f>+I1</f>
        <v>67%-74%</v>
      </c>
      <c r="F42" t="str">
        <f>+L1</f>
        <v>55-66%</v>
      </c>
      <c r="G42" t="str">
        <f>+O1</f>
        <v>46-54%</v>
      </c>
      <c r="H42" t="str">
        <f>+R1</f>
        <v>37-45%</v>
      </c>
      <c r="I42" t="str">
        <f>+U1</f>
        <v>30-36%</v>
      </c>
      <c r="J42" t="str">
        <f>+X1</f>
        <v>22-29%</v>
      </c>
      <c r="K42" t="str">
        <f>+AA1</f>
        <v>15-21%</v>
      </c>
      <c r="L42" t="str">
        <f>+AD1</f>
        <v>10-14%</v>
      </c>
      <c r="M42" t="str">
        <f>+AG1</f>
        <v>0-9%</v>
      </c>
    </row>
    <row r="43" spans="1:31">
      <c r="A43">
        <v>1</v>
      </c>
      <c r="B43">
        <v>2</v>
      </c>
      <c r="C43">
        <v>3</v>
      </c>
      <c r="D43">
        <v>4</v>
      </c>
      <c r="E43">
        <v>5</v>
      </c>
      <c r="F43">
        <v>6</v>
      </c>
      <c r="G43">
        <v>7</v>
      </c>
      <c r="H43">
        <v>8</v>
      </c>
      <c r="I43">
        <v>9</v>
      </c>
      <c r="J43">
        <v>10</v>
      </c>
      <c r="K43">
        <v>11</v>
      </c>
      <c r="L43">
        <v>12</v>
      </c>
      <c r="M43">
        <v>13</v>
      </c>
    </row>
    <row r="44" spans="1:31">
      <c r="A44" s="440"/>
      <c r="B44" s="79" t="s">
        <v>430</v>
      </c>
      <c r="C44" s="437" t="s">
        <v>357</v>
      </c>
      <c r="D44" s="437" t="s">
        <v>360</v>
      </c>
      <c r="E44" s="437" t="s">
        <v>362</v>
      </c>
      <c r="F44" s="437" t="s">
        <v>364</v>
      </c>
      <c r="G44" s="3" t="s">
        <v>55</v>
      </c>
      <c r="H44" s="11" t="s">
        <v>367</v>
      </c>
      <c r="I44" s="443" t="s">
        <v>375</v>
      </c>
      <c r="J44" s="443" t="s">
        <v>376</v>
      </c>
      <c r="K44" s="443" t="s">
        <v>377</v>
      </c>
      <c r="L44" s="443" t="s">
        <v>378</v>
      </c>
      <c r="M44" s="443" t="s">
        <v>379</v>
      </c>
    </row>
    <row r="45" spans="1:31">
      <c r="A45" s="440">
        <v>15</v>
      </c>
      <c r="B45" s="5" t="s">
        <v>844</v>
      </c>
      <c r="C45" s="8">
        <v>30000</v>
      </c>
      <c r="D45" s="8">
        <f>+C45+$D$53</f>
        <v>30000</v>
      </c>
      <c r="E45" s="8">
        <f>+D45+$E$53</f>
        <v>33000</v>
      </c>
      <c r="F45" s="8">
        <f>+E45+$F$53</f>
        <v>35000</v>
      </c>
      <c r="G45" s="8">
        <f>+F45+$G$53</f>
        <v>37000</v>
      </c>
      <c r="H45" s="8">
        <f>+G45+$H$53</f>
        <v>39500</v>
      </c>
      <c r="I45" s="8">
        <f>+H45+$I$53</f>
        <v>42000</v>
      </c>
      <c r="J45" s="8">
        <f>+I45+$J$53</f>
        <v>44500</v>
      </c>
      <c r="K45" s="8">
        <f>+J45+$K$53</f>
        <v>47000</v>
      </c>
      <c r="L45" s="8">
        <f>+K45+$L$53</f>
        <v>49500</v>
      </c>
      <c r="M45" s="8">
        <f>+L45+$M$53</f>
        <v>89500</v>
      </c>
    </row>
    <row r="46" spans="1:31">
      <c r="A46" s="440">
        <v>16</v>
      </c>
      <c r="B46" s="5" t="s">
        <v>164</v>
      </c>
      <c r="C46" s="8">
        <v>30000</v>
      </c>
      <c r="D46" s="8">
        <f>+C46+$D$53</f>
        <v>30000</v>
      </c>
      <c r="E46" s="8">
        <f>+D46+$E$53</f>
        <v>33000</v>
      </c>
      <c r="F46" s="8">
        <f>+E46+$F$53</f>
        <v>35000</v>
      </c>
      <c r="G46" s="8">
        <f>+F46+$G$53</f>
        <v>37000</v>
      </c>
      <c r="H46" s="8">
        <f>+G46+$H$53</f>
        <v>39500</v>
      </c>
      <c r="I46" s="8">
        <f>+H46+$I$53</f>
        <v>42000</v>
      </c>
      <c r="J46" s="8">
        <f>+I46+$J$53</f>
        <v>44500</v>
      </c>
      <c r="K46" s="8">
        <f>+J46+$K$53</f>
        <v>47000</v>
      </c>
      <c r="L46" s="8">
        <f>+K46+$L$53</f>
        <v>49500</v>
      </c>
      <c r="M46" s="8">
        <f>+L46+$M$53</f>
        <v>89500</v>
      </c>
    </row>
    <row r="47" spans="1:31">
      <c r="A47" s="440">
        <v>17</v>
      </c>
      <c r="B47" s="5" t="s">
        <v>165</v>
      </c>
      <c r="C47" s="8">
        <v>25000</v>
      </c>
      <c r="D47" s="8">
        <f>+C47+$D$53</f>
        <v>25000</v>
      </c>
      <c r="E47" s="8">
        <f>+D47+$E$53</f>
        <v>28000</v>
      </c>
      <c r="F47" s="8">
        <f>+E47+$F$53</f>
        <v>30000</v>
      </c>
      <c r="G47" s="8">
        <f>+F47+$G$53</f>
        <v>32000</v>
      </c>
      <c r="H47" s="8">
        <f>+G47+$H$53</f>
        <v>34500</v>
      </c>
      <c r="I47" s="8">
        <f>+H47+$I$53</f>
        <v>37000</v>
      </c>
      <c r="J47" s="8">
        <f>+I47+$J$53</f>
        <v>39500</v>
      </c>
      <c r="K47" s="8">
        <f>+J47+$K$53</f>
        <v>42000</v>
      </c>
      <c r="L47" s="8">
        <f>+K47+$L$53</f>
        <v>44500</v>
      </c>
      <c r="M47" s="8">
        <f>+L47+$M$53</f>
        <v>84500</v>
      </c>
    </row>
    <row r="48" spans="1:31">
      <c r="A48" s="440">
        <v>18</v>
      </c>
      <c r="B48" s="5" t="s">
        <v>431</v>
      </c>
      <c r="C48" s="8">
        <v>20000</v>
      </c>
      <c r="D48" s="8">
        <f>+C48+$D$53</f>
        <v>20000</v>
      </c>
      <c r="E48" s="8">
        <f>+D48+$E$53</f>
        <v>23000</v>
      </c>
      <c r="F48" s="8">
        <f>+E48+$F$53</f>
        <v>25000</v>
      </c>
      <c r="G48" s="8">
        <f>+F48+$G$53</f>
        <v>27000</v>
      </c>
      <c r="H48" s="8">
        <f>+G48+$H$53</f>
        <v>29500</v>
      </c>
      <c r="I48" s="8">
        <f>+H48+$I$53</f>
        <v>32000</v>
      </c>
      <c r="J48" s="8">
        <f>+I48+$J$53</f>
        <v>34500</v>
      </c>
      <c r="K48" s="8">
        <f>+J48+$K$53</f>
        <v>37000</v>
      </c>
      <c r="L48" s="8">
        <f>+K48+$L$53</f>
        <v>39500</v>
      </c>
      <c r="M48" s="8">
        <f>+L48+$M$53</f>
        <v>79500</v>
      </c>
    </row>
    <row r="49" spans="1:13">
      <c r="A49" s="440">
        <v>19</v>
      </c>
      <c r="B49" s="49" t="s">
        <v>845</v>
      </c>
      <c r="C49" s="50">
        <v>30000</v>
      </c>
      <c r="D49" s="50">
        <f>+C49+$D$54</f>
        <v>30000</v>
      </c>
      <c r="E49" s="50">
        <f>+D49+$E$54</f>
        <v>35000</v>
      </c>
      <c r="F49" s="50">
        <f>+E49+$F$54</f>
        <v>40000</v>
      </c>
      <c r="G49" s="50">
        <f>+F49+$G$54</f>
        <v>45000</v>
      </c>
      <c r="H49" s="50">
        <f>+G49+$H$54</f>
        <v>50000</v>
      </c>
      <c r="I49" s="50">
        <f>+H49+$I$54</f>
        <v>55000</v>
      </c>
      <c r="J49" s="50">
        <f>+I49+$J$54</f>
        <v>60000</v>
      </c>
      <c r="K49" s="50">
        <f>+J49+$K$54</f>
        <v>65000</v>
      </c>
      <c r="L49" s="50">
        <f>+K49+$L$54</f>
        <v>70000</v>
      </c>
      <c r="M49" s="50">
        <f>+L49+$M$54</f>
        <v>120000</v>
      </c>
    </row>
    <row r="50" spans="1:13">
      <c r="A50" s="440">
        <v>20</v>
      </c>
      <c r="B50" s="49" t="s">
        <v>172</v>
      </c>
      <c r="C50" s="50">
        <v>30000</v>
      </c>
      <c r="D50" s="50">
        <f t="shared" ref="D50:D52" si="45">+C50+$D$54</f>
        <v>30000</v>
      </c>
      <c r="E50" s="50">
        <f t="shared" ref="E50:E52" si="46">+D50+$E$54</f>
        <v>35000</v>
      </c>
      <c r="F50" s="50">
        <f t="shared" ref="F50:F52" si="47">+E50+$F$54</f>
        <v>40000</v>
      </c>
      <c r="G50" s="50">
        <f t="shared" ref="G50:G52" si="48">+F50+$G$54</f>
        <v>45000</v>
      </c>
      <c r="H50" s="50">
        <f t="shared" ref="H50:H52" si="49">+G50+$H$54</f>
        <v>50000</v>
      </c>
      <c r="I50" s="50">
        <f>+H50+$I$54</f>
        <v>55000</v>
      </c>
      <c r="J50" s="50">
        <f t="shared" ref="J50:J52" si="50">+I50+$J$54</f>
        <v>60000</v>
      </c>
      <c r="K50" s="50">
        <f t="shared" ref="K50:K52" si="51">+J50+$K$54</f>
        <v>65000</v>
      </c>
      <c r="L50" s="50">
        <f t="shared" ref="L50:L52" si="52">+K50+$L$54</f>
        <v>70000</v>
      </c>
      <c r="M50" s="50">
        <f t="shared" ref="M50:M52" si="53">+L50+$M$54</f>
        <v>120000</v>
      </c>
    </row>
    <row r="51" spans="1:13">
      <c r="A51" s="440">
        <v>21</v>
      </c>
      <c r="B51" s="49" t="s">
        <v>175</v>
      </c>
      <c r="C51" s="50">
        <v>25000</v>
      </c>
      <c r="D51" s="50">
        <f t="shared" si="45"/>
        <v>25000</v>
      </c>
      <c r="E51" s="50">
        <f t="shared" si="46"/>
        <v>30000</v>
      </c>
      <c r="F51" s="50">
        <f t="shared" si="47"/>
        <v>35000</v>
      </c>
      <c r="G51" s="50">
        <f t="shared" si="48"/>
        <v>40000</v>
      </c>
      <c r="H51" s="50">
        <f t="shared" si="49"/>
        <v>45000</v>
      </c>
      <c r="I51" s="50">
        <f>+H51+$I$54</f>
        <v>50000</v>
      </c>
      <c r="J51" s="50">
        <f t="shared" si="50"/>
        <v>55000</v>
      </c>
      <c r="K51" s="50">
        <f t="shared" si="51"/>
        <v>60000</v>
      </c>
      <c r="L51" s="50">
        <f t="shared" si="52"/>
        <v>65000</v>
      </c>
      <c r="M51" s="50">
        <f t="shared" si="53"/>
        <v>115000</v>
      </c>
    </row>
    <row r="52" spans="1:13">
      <c r="A52" s="440">
        <v>22</v>
      </c>
      <c r="B52" s="49" t="s">
        <v>432</v>
      </c>
      <c r="C52" s="50">
        <v>25000</v>
      </c>
      <c r="D52" s="50">
        <f t="shared" si="45"/>
        <v>25000</v>
      </c>
      <c r="E52" s="50">
        <f t="shared" si="46"/>
        <v>30000</v>
      </c>
      <c r="F52" s="50">
        <f t="shared" si="47"/>
        <v>35000</v>
      </c>
      <c r="G52" s="50">
        <f t="shared" si="48"/>
        <v>40000</v>
      </c>
      <c r="H52" s="50">
        <f t="shared" si="49"/>
        <v>45000</v>
      </c>
      <c r="I52" s="50">
        <f>+H52+$I$54</f>
        <v>50000</v>
      </c>
      <c r="J52" s="50">
        <f t="shared" si="50"/>
        <v>55000</v>
      </c>
      <c r="K52" s="50">
        <f t="shared" si="51"/>
        <v>60000</v>
      </c>
      <c r="L52" s="50">
        <f t="shared" si="52"/>
        <v>65000</v>
      </c>
      <c r="M52" s="50">
        <f t="shared" si="53"/>
        <v>115000</v>
      </c>
    </row>
    <row r="53" spans="1:13">
      <c r="A53" s="440"/>
      <c r="B53" s="5" t="s">
        <v>92</v>
      </c>
      <c r="C53" s="29"/>
      <c r="D53" s="29">
        <v>0</v>
      </c>
      <c r="E53" s="29">
        <v>3000</v>
      </c>
      <c r="F53" s="29">
        <v>2000</v>
      </c>
      <c r="G53" s="29">
        <v>2000</v>
      </c>
      <c r="H53" s="29">
        <v>2500</v>
      </c>
      <c r="I53" s="29">
        <v>2500</v>
      </c>
      <c r="J53" s="29">
        <v>2500</v>
      </c>
      <c r="K53" s="29">
        <v>2500</v>
      </c>
      <c r="L53" s="29">
        <v>2500</v>
      </c>
      <c r="M53" s="29">
        <v>40000</v>
      </c>
    </row>
    <row r="54" spans="1:13">
      <c r="A54" s="440"/>
      <c r="B54" s="259" t="s">
        <v>433</v>
      </c>
      <c r="C54" s="50"/>
      <c r="D54" s="50"/>
      <c r="E54" s="50">
        <v>5000</v>
      </c>
      <c r="F54" s="50">
        <v>5000</v>
      </c>
      <c r="G54" s="50">
        <v>5000</v>
      </c>
      <c r="H54" s="50">
        <v>5000</v>
      </c>
      <c r="I54" s="50">
        <v>5000</v>
      </c>
      <c r="J54" s="50">
        <v>5000</v>
      </c>
      <c r="K54" s="50">
        <v>5000</v>
      </c>
      <c r="L54" s="50">
        <v>5000</v>
      </c>
      <c r="M54" s="50">
        <v>50000</v>
      </c>
    </row>
    <row r="56" spans="1:13" ht="31.5">
      <c r="A56" s="1344" t="s">
        <v>881</v>
      </c>
      <c r="B56" s="1344"/>
      <c r="C56" s="1344"/>
      <c r="D56" s="1344"/>
      <c r="E56" s="1344"/>
      <c r="F56" s="1344"/>
      <c r="G56" s="1344"/>
      <c r="H56" s="1344"/>
      <c r="I56" s="1344"/>
      <c r="J56" s="1344"/>
      <c r="K56" s="1344"/>
      <c r="L56" s="1344"/>
      <c r="M56" s="1344"/>
    </row>
    <row r="57" spans="1:13" ht="18" customHeight="1"/>
    <row r="58" spans="1:13" ht="30">
      <c r="B58" s="459" t="s">
        <v>896</v>
      </c>
      <c r="C58" t="s">
        <v>897</v>
      </c>
    </row>
    <row r="59" spans="1:13" ht="15.75" thickBot="1"/>
    <row r="60" spans="1:13" ht="15.75" thickBot="1">
      <c r="B60" s="460" t="s">
        <v>898</v>
      </c>
      <c r="C60" s="461" t="s">
        <v>899</v>
      </c>
      <c r="D60" s="461" t="s">
        <v>900</v>
      </c>
      <c r="E60" s="461" t="s">
        <v>901</v>
      </c>
      <c r="F60" s="461" t="s">
        <v>902</v>
      </c>
      <c r="G60" s="461" t="s">
        <v>903</v>
      </c>
    </row>
    <row r="61" spans="1:13" ht="60.75" thickBot="1">
      <c r="B61" s="462" t="s">
        <v>904</v>
      </c>
      <c r="C61" s="463">
        <v>20000</v>
      </c>
      <c r="D61" s="463">
        <v>25000</v>
      </c>
      <c r="E61" s="463">
        <v>30000</v>
      </c>
      <c r="F61" s="463">
        <v>37000</v>
      </c>
      <c r="G61" s="463" t="s">
        <v>905</v>
      </c>
    </row>
    <row r="62" spans="1:13" ht="15.75" thickBot="1">
      <c r="B62" s="462" t="s">
        <v>906</v>
      </c>
      <c r="C62" s="463">
        <v>14000</v>
      </c>
      <c r="D62" s="463">
        <v>19000</v>
      </c>
      <c r="E62" s="463">
        <v>25000</v>
      </c>
      <c r="F62" s="463">
        <v>30000</v>
      </c>
      <c r="G62" s="463"/>
    </row>
    <row r="63" spans="1:13" ht="15.75" thickBot="1">
      <c r="B63" s="462" t="s">
        <v>907</v>
      </c>
      <c r="C63" s="463">
        <v>10000</v>
      </c>
      <c r="D63" s="463">
        <v>15000</v>
      </c>
      <c r="E63" s="463">
        <v>20000</v>
      </c>
      <c r="F63" s="463">
        <v>25000</v>
      </c>
      <c r="G63" s="463"/>
    </row>
    <row r="64" spans="1:13" ht="15.75" thickBot="1"/>
    <row r="65" spans="1:60" ht="15.75" thickBot="1">
      <c r="B65" s="460" t="s">
        <v>898</v>
      </c>
      <c r="C65" s="465" t="s">
        <v>908</v>
      </c>
      <c r="D65" s="465" t="s">
        <v>909</v>
      </c>
      <c r="E65" s="465" t="s">
        <v>910</v>
      </c>
      <c r="F65" s="465" t="s">
        <v>911</v>
      </c>
      <c r="G65" s="465" t="s">
        <v>903</v>
      </c>
    </row>
    <row r="66" spans="1:60" ht="60.75" thickBot="1">
      <c r="A66" s="459" t="s">
        <v>914</v>
      </c>
      <c r="B66" s="464" t="s">
        <v>904</v>
      </c>
      <c r="C66" s="37">
        <v>20000</v>
      </c>
      <c r="D66" s="37">
        <v>25000</v>
      </c>
      <c r="E66" s="37">
        <v>30000</v>
      </c>
      <c r="F66" s="37">
        <v>37000</v>
      </c>
      <c r="G66" s="463" t="s">
        <v>905</v>
      </c>
    </row>
    <row r="67" spans="1:60" ht="30.75" thickBot="1">
      <c r="A67" s="459" t="s">
        <v>913</v>
      </c>
      <c r="B67" s="464" t="s">
        <v>906</v>
      </c>
      <c r="C67" s="37">
        <v>14000</v>
      </c>
      <c r="D67" s="37">
        <v>19000</v>
      </c>
      <c r="E67" s="37">
        <v>25000</v>
      </c>
      <c r="F67" s="37">
        <v>30000</v>
      </c>
      <c r="G67" s="37"/>
      <c r="I67" s="3"/>
      <c r="J67" s="3"/>
      <c r="K67" s="3"/>
      <c r="L67" s="3"/>
      <c r="M67" s="3" t="s">
        <v>2216</v>
      </c>
      <c r="N67" s="3" t="s">
        <v>2217</v>
      </c>
      <c r="O67" s="3" t="s">
        <v>2218</v>
      </c>
      <c r="P67" s="3" t="s">
        <v>2219</v>
      </c>
      <c r="Q67" s="3"/>
    </row>
    <row r="68" spans="1:60" ht="30.75" thickBot="1">
      <c r="A68" s="459" t="s">
        <v>912</v>
      </c>
      <c r="B68" s="464" t="s">
        <v>907</v>
      </c>
      <c r="C68" s="37">
        <v>10000</v>
      </c>
      <c r="D68" s="37">
        <v>15000</v>
      </c>
      <c r="E68" s="37">
        <v>20000</v>
      </c>
      <c r="F68" s="37">
        <v>25000</v>
      </c>
      <c r="G68" s="37"/>
      <c r="I68" s="3" t="s">
        <v>2215</v>
      </c>
      <c r="J68" s="3">
        <f>200/(1-19%)</f>
        <v>246.91358024691357</v>
      </c>
      <c r="K68" s="3">
        <v>247</v>
      </c>
      <c r="L68" s="3">
        <v>26</v>
      </c>
      <c r="M68" s="1226">
        <f>+K68*L68</f>
        <v>6422</v>
      </c>
      <c r="N68" s="3">
        <v>2.5</v>
      </c>
      <c r="O68" s="1226">
        <f>+M68*N68</f>
        <v>16055</v>
      </c>
      <c r="P68" s="3">
        <v>150</v>
      </c>
      <c r="Q68" s="1226">
        <f>+O68*P68</f>
        <v>2408250</v>
      </c>
    </row>
    <row r="69" spans="1:60" ht="15.75" thickBot="1"/>
    <row r="70" spans="1:60" ht="15.75" thickBot="1">
      <c r="B70" s="460" t="s">
        <v>898</v>
      </c>
      <c r="C70" s="465" t="s">
        <v>908</v>
      </c>
      <c r="D70" s="465" t="s">
        <v>909</v>
      </c>
      <c r="E70" s="465" t="s">
        <v>910</v>
      </c>
      <c r="F70" s="465" t="s">
        <v>911</v>
      </c>
      <c r="G70" s="465" t="s">
        <v>903</v>
      </c>
      <c r="H70" s="466" t="s">
        <v>915</v>
      </c>
    </row>
    <row r="71" spans="1:60" ht="60.75" thickBot="1">
      <c r="A71" s="459" t="s">
        <v>914</v>
      </c>
      <c r="B71" s="464" t="s">
        <v>904</v>
      </c>
      <c r="C71" s="37">
        <v>25000</v>
      </c>
      <c r="D71" s="37">
        <v>35000</v>
      </c>
      <c r="E71" s="37">
        <v>40000</v>
      </c>
      <c r="F71" s="37">
        <v>50000</v>
      </c>
      <c r="G71" s="467" t="s">
        <v>905</v>
      </c>
      <c r="H71" s="469"/>
    </row>
    <row r="72" spans="1:60" ht="30.75" thickBot="1">
      <c r="A72" s="459" t="s">
        <v>913</v>
      </c>
      <c r="B72" s="464" t="s">
        <v>906</v>
      </c>
      <c r="C72" s="37">
        <v>17857.142857142899</v>
      </c>
      <c r="D72" s="37">
        <v>23527</v>
      </c>
      <c r="E72" s="37">
        <v>28571.428571428602</v>
      </c>
      <c r="F72" s="37">
        <v>35714.285714285703</v>
      </c>
      <c r="G72" s="468"/>
      <c r="H72" s="469"/>
    </row>
    <row r="73" spans="1:60" ht="30.75" thickBot="1">
      <c r="A73" s="459" t="s">
        <v>912</v>
      </c>
      <c r="B73" s="464" t="s">
        <v>907</v>
      </c>
      <c r="C73" s="37">
        <v>14285.714285714286</v>
      </c>
      <c r="D73" s="37">
        <v>18716</v>
      </c>
      <c r="E73" s="37">
        <v>22857.142857142859</v>
      </c>
      <c r="F73" s="37">
        <v>28571.428571428572</v>
      </c>
      <c r="G73" s="468"/>
      <c r="H73" s="469"/>
    </row>
    <row r="74" spans="1:60">
      <c r="C74" s="45">
        <f t="shared" ref="C74:E74" si="54">+C71/(1+40%)</f>
        <v>17857.142857142859</v>
      </c>
      <c r="D74" s="45">
        <f t="shared" si="54"/>
        <v>25000</v>
      </c>
      <c r="E74" s="45">
        <f t="shared" si="54"/>
        <v>28571.428571428572</v>
      </c>
      <c r="F74" s="45">
        <f>+F71/(1+40%)</f>
        <v>35714.285714285717</v>
      </c>
    </row>
    <row r="75" spans="1:60">
      <c r="C75" s="45">
        <f t="shared" ref="C75:E75" si="55">+C72/(1+25%)</f>
        <v>14285.714285714319</v>
      </c>
      <c r="D75" s="45">
        <f t="shared" si="55"/>
        <v>18821.599999999999</v>
      </c>
      <c r="E75" s="45">
        <f t="shared" si="55"/>
        <v>22857.142857142881</v>
      </c>
      <c r="F75" s="45">
        <f>+F72/(1+25%)</f>
        <v>28571.428571428562</v>
      </c>
    </row>
    <row r="76" spans="1:60" ht="15.75" thickBot="1"/>
    <row r="77" spans="1:60">
      <c r="C77" s="1348" t="s">
        <v>989</v>
      </c>
      <c r="D77" s="1349"/>
      <c r="E77" s="1349"/>
      <c r="F77" s="1349"/>
      <c r="G77" s="1349"/>
      <c r="H77" s="1349"/>
      <c r="I77" s="1349"/>
      <c r="J77" s="1349"/>
      <c r="K77" s="1350"/>
      <c r="L77" s="1352" t="s">
        <v>988</v>
      </c>
      <c r="M77" s="1353"/>
      <c r="N77" s="1353"/>
      <c r="O77" s="1353"/>
      <c r="P77" s="1353"/>
      <c r="Q77" s="1354"/>
      <c r="R77" s="1345" t="s">
        <v>445</v>
      </c>
      <c r="S77" s="1346"/>
      <c r="T77" s="1346"/>
      <c r="U77" s="1346"/>
      <c r="V77" s="1346"/>
      <c r="W77" s="1346"/>
      <c r="X77" s="1346"/>
      <c r="Y77" s="1346"/>
      <c r="Z77" s="1346"/>
      <c r="AA77" s="1346"/>
      <c r="AB77" s="1346"/>
      <c r="AC77" s="1346"/>
      <c r="AD77" s="1346"/>
      <c r="AE77" s="1346"/>
      <c r="AF77" s="1346"/>
      <c r="AG77" s="1346"/>
      <c r="AH77" s="1346"/>
      <c r="AI77" s="1347"/>
    </row>
    <row r="78" spans="1:60">
      <c r="A78" s="440"/>
      <c r="B78" t="str">
        <f>B80</f>
        <v>Perfil</v>
      </c>
      <c r="C78" s="593" t="str">
        <f t="shared" ref="C78:AI78" si="56">C80</f>
        <v>Mas 82%</v>
      </c>
      <c r="D78" s="594" t="str">
        <f t="shared" si="56"/>
        <v>Coordinación, supervisión y tablets</v>
      </c>
      <c r="E78" s="594" t="str">
        <f t="shared" si="56"/>
        <v>Total Mas 82%</v>
      </c>
      <c r="F78" s="594" t="str">
        <f t="shared" si="56"/>
        <v>75%-82%</v>
      </c>
      <c r="G78" s="594" t="str">
        <f t="shared" si="56"/>
        <v>Coordinación, supervisión y tablets</v>
      </c>
      <c r="H78" s="594" t="str">
        <f t="shared" si="56"/>
        <v>Total 75%-82%</v>
      </c>
      <c r="I78" s="594" t="str">
        <f t="shared" si="56"/>
        <v>67%-74%</v>
      </c>
      <c r="J78" s="594" t="str">
        <f t="shared" si="56"/>
        <v>Coordinación, supervisión y tablets</v>
      </c>
      <c r="K78" s="595" t="str">
        <f t="shared" si="56"/>
        <v>Total 67%-74%</v>
      </c>
      <c r="L78" s="599" t="str">
        <f t="shared" si="56"/>
        <v>55-66%</v>
      </c>
      <c r="M78" s="600" t="str">
        <f t="shared" si="56"/>
        <v>Coordinación, supervisión y tablets</v>
      </c>
      <c r="N78" s="600" t="str">
        <f t="shared" si="56"/>
        <v>Total Mas 55-66%</v>
      </c>
      <c r="O78" s="600" t="str">
        <f t="shared" si="56"/>
        <v>46-54%</v>
      </c>
      <c r="P78" s="600" t="str">
        <f t="shared" si="56"/>
        <v>Coordinación, supervisión y tablets</v>
      </c>
      <c r="Q78" s="601" t="str">
        <f t="shared" si="56"/>
        <v>Total Mas 46-54%</v>
      </c>
      <c r="R78" s="605" t="str">
        <f t="shared" si="56"/>
        <v>37-45%</v>
      </c>
      <c r="S78" s="606" t="str">
        <f t="shared" si="56"/>
        <v>Coordinación, supervisión y tablets</v>
      </c>
      <c r="T78" s="606" t="str">
        <f t="shared" si="56"/>
        <v>Total Mas 37-45%</v>
      </c>
      <c r="U78" s="606" t="str">
        <f t="shared" si="56"/>
        <v>30-36%</v>
      </c>
      <c r="V78" s="606" t="str">
        <f t="shared" si="56"/>
        <v>Coordinación, supervisión y tablets</v>
      </c>
      <c r="W78" s="606" t="str">
        <f t="shared" si="56"/>
        <v>Total Mas 30-36%</v>
      </c>
      <c r="X78" s="606" t="s">
        <v>376</v>
      </c>
      <c r="Y78" s="606" t="str">
        <f t="shared" si="56"/>
        <v>Coordinación, supervisión y tablets</v>
      </c>
      <c r="Z78" s="606" t="str">
        <f t="shared" si="56"/>
        <v>Total Mas 22-29%</v>
      </c>
      <c r="AA78" s="606" t="s">
        <v>377</v>
      </c>
      <c r="AB78" s="606" t="str">
        <f t="shared" si="56"/>
        <v>Coordinación, supervisión y tablets</v>
      </c>
      <c r="AC78" s="606" t="str">
        <f t="shared" si="56"/>
        <v>Total Mas 15-21%</v>
      </c>
      <c r="AD78" s="607" t="s">
        <v>378</v>
      </c>
      <c r="AE78" s="606" t="str">
        <f t="shared" si="56"/>
        <v>Coordinación, supervisión y tablets</v>
      </c>
      <c r="AF78" s="606" t="str">
        <f t="shared" si="56"/>
        <v>Total Mas 10-14%</v>
      </c>
      <c r="AG78" s="606" t="s">
        <v>379</v>
      </c>
      <c r="AH78" s="606" t="str">
        <f t="shared" si="56"/>
        <v>Coordinación, supervisión y tablets</v>
      </c>
      <c r="AI78" s="608" t="str">
        <f t="shared" si="56"/>
        <v>Total Mas 0-9%</v>
      </c>
    </row>
    <row r="79" spans="1:60" ht="30.75" thickBot="1">
      <c r="A79" s="440"/>
      <c r="B79">
        <v>1</v>
      </c>
      <c r="C79" s="596">
        <v>2</v>
      </c>
      <c r="D79" s="597">
        <v>3</v>
      </c>
      <c r="E79" s="597">
        <v>4</v>
      </c>
      <c r="F79" s="597">
        <v>5</v>
      </c>
      <c r="G79" s="597">
        <v>6</v>
      </c>
      <c r="H79" s="597">
        <v>7</v>
      </c>
      <c r="I79" s="597">
        <v>8</v>
      </c>
      <c r="J79" s="597">
        <v>9</v>
      </c>
      <c r="K79" s="598">
        <v>10</v>
      </c>
      <c r="L79" s="602">
        <v>11</v>
      </c>
      <c r="M79" s="603">
        <v>12</v>
      </c>
      <c r="N79" s="603">
        <v>13</v>
      </c>
      <c r="O79" s="603">
        <v>14</v>
      </c>
      <c r="P79" s="603">
        <v>15</v>
      </c>
      <c r="Q79" s="604">
        <v>16</v>
      </c>
      <c r="R79" s="609">
        <v>17</v>
      </c>
      <c r="S79" s="610">
        <v>18</v>
      </c>
      <c r="T79" s="610">
        <v>19</v>
      </c>
      <c r="U79" s="610">
        <v>20</v>
      </c>
      <c r="V79" s="610">
        <v>21</v>
      </c>
      <c r="W79" s="610">
        <v>22</v>
      </c>
      <c r="X79" s="610">
        <v>23</v>
      </c>
      <c r="Y79" s="610">
        <v>24</v>
      </c>
      <c r="Z79" s="610">
        <v>25</v>
      </c>
      <c r="AA79" s="610">
        <v>26</v>
      </c>
      <c r="AB79" s="610">
        <v>27</v>
      </c>
      <c r="AC79" s="610">
        <v>28</v>
      </c>
      <c r="AD79" s="610">
        <v>29</v>
      </c>
      <c r="AE79" s="610">
        <v>30</v>
      </c>
      <c r="AF79" s="610">
        <v>31</v>
      </c>
      <c r="AG79" s="610">
        <v>32</v>
      </c>
      <c r="AH79" s="610">
        <v>33</v>
      </c>
      <c r="AI79" s="611">
        <v>34</v>
      </c>
      <c r="AX79" s="103" t="s">
        <v>355</v>
      </c>
    </row>
    <row r="80" spans="1:60" ht="45">
      <c r="A80" s="440"/>
      <c r="B80" s="3" t="s">
        <v>356</v>
      </c>
      <c r="C80" s="590" t="s">
        <v>357</v>
      </c>
      <c r="D80" s="591" t="s">
        <v>358</v>
      </c>
      <c r="E80" s="592" t="s">
        <v>359</v>
      </c>
      <c r="F80" s="590" t="s">
        <v>360</v>
      </c>
      <c r="G80" s="591" t="s">
        <v>358</v>
      </c>
      <c r="H80" s="592" t="s">
        <v>361</v>
      </c>
      <c r="I80" s="590" t="s">
        <v>362</v>
      </c>
      <c r="J80" s="591" t="s">
        <v>358</v>
      </c>
      <c r="K80" s="592" t="s">
        <v>363</v>
      </c>
      <c r="L80" s="590" t="s">
        <v>364</v>
      </c>
      <c r="M80" s="591" t="s">
        <v>358</v>
      </c>
      <c r="N80" s="592" t="s">
        <v>365</v>
      </c>
      <c r="O80" s="590" t="s">
        <v>55</v>
      </c>
      <c r="P80" s="591" t="s">
        <v>358</v>
      </c>
      <c r="Q80" s="592" t="s">
        <v>366</v>
      </c>
      <c r="R80" s="590" t="s">
        <v>367</v>
      </c>
      <c r="S80" s="591" t="s">
        <v>358</v>
      </c>
      <c r="T80" s="592" t="s">
        <v>368</v>
      </c>
      <c r="U80" s="591" t="s">
        <v>400</v>
      </c>
      <c r="V80" s="591" t="s">
        <v>358</v>
      </c>
      <c r="W80" s="592" t="s">
        <v>369</v>
      </c>
      <c r="X80" s="591" t="s">
        <v>1370</v>
      </c>
      <c r="Y80" s="591" t="s">
        <v>358</v>
      </c>
      <c r="Z80" s="592" t="s">
        <v>370</v>
      </c>
      <c r="AA80" s="591" t="s">
        <v>377</v>
      </c>
      <c r="AB80" s="591" t="s">
        <v>358</v>
      </c>
      <c r="AC80" s="592" t="s">
        <v>371</v>
      </c>
      <c r="AD80" s="591" t="s">
        <v>1371</v>
      </c>
      <c r="AE80" s="591" t="s">
        <v>358</v>
      </c>
      <c r="AF80" s="592" t="s">
        <v>372</v>
      </c>
      <c r="AG80" s="591" t="str">
        <f>+AG78</f>
        <v>0-9%</v>
      </c>
      <c r="AH80" s="591" t="s">
        <v>358</v>
      </c>
      <c r="AI80" s="592" t="s">
        <v>373</v>
      </c>
      <c r="AL80" s="79" t="s">
        <v>374</v>
      </c>
      <c r="AM80" s="3" t="s">
        <v>357</v>
      </c>
      <c r="AN80" s="3" t="s">
        <v>360</v>
      </c>
      <c r="AO80" s="3" t="s">
        <v>362</v>
      </c>
      <c r="AP80" s="3" t="s">
        <v>364</v>
      </c>
      <c r="AQ80" s="3" t="s">
        <v>55</v>
      </c>
      <c r="AR80" s="11" t="s">
        <v>367</v>
      </c>
      <c r="AS80" s="11" t="s">
        <v>375</v>
      </c>
      <c r="AT80" s="11" t="s">
        <v>376</v>
      </c>
      <c r="AU80" s="11" t="s">
        <v>377</v>
      </c>
      <c r="AV80" s="11" t="s">
        <v>378</v>
      </c>
      <c r="AW80" s="11" t="s">
        <v>379</v>
      </c>
      <c r="AX80" s="103" t="s">
        <v>357</v>
      </c>
      <c r="AY80" s="104" t="s">
        <v>360</v>
      </c>
      <c r="AZ80" s="104" t="s">
        <v>362</v>
      </c>
      <c r="BA80" s="104" t="s">
        <v>364</v>
      </c>
      <c r="BB80" s="105" t="s">
        <v>55</v>
      </c>
      <c r="BC80" s="105" t="s">
        <v>367</v>
      </c>
      <c r="BD80" s="105" t="s">
        <v>375</v>
      </c>
      <c r="BE80" s="105" t="s">
        <v>376</v>
      </c>
      <c r="BF80" s="105" t="s">
        <v>377</v>
      </c>
      <c r="BG80" s="105" t="s">
        <v>378</v>
      </c>
      <c r="BH80" s="105" t="s">
        <v>379</v>
      </c>
    </row>
    <row r="81" spans="1:60">
      <c r="A81" s="440">
        <v>5</v>
      </c>
      <c r="B81" s="3" t="s">
        <v>380</v>
      </c>
      <c r="C81" s="37">
        <v>14286</v>
      </c>
      <c r="D81" s="81">
        <v>13207</v>
      </c>
      <c r="E81" s="439">
        <v>20330</v>
      </c>
      <c r="F81" s="37">
        <v>14286</v>
      </c>
      <c r="G81" s="81">
        <v>13207</v>
      </c>
      <c r="H81" s="86">
        <f>+E81+500</f>
        <v>20830</v>
      </c>
      <c r="I81" s="37">
        <v>14286</v>
      </c>
      <c r="J81" s="81">
        <v>13207</v>
      </c>
      <c r="K81" s="86">
        <f>+H81+500</f>
        <v>21330</v>
      </c>
      <c r="L81" s="80">
        <v>17857</v>
      </c>
      <c r="M81" s="81">
        <v>13307</v>
      </c>
      <c r="N81" s="86">
        <f>+K81+500</f>
        <v>21830</v>
      </c>
      <c r="O81" s="80">
        <v>17857</v>
      </c>
      <c r="P81" s="80">
        <v>13468</v>
      </c>
      <c r="Q81" s="86">
        <f>+N81+1000</f>
        <v>22830</v>
      </c>
      <c r="R81" s="80">
        <v>25000</v>
      </c>
      <c r="S81" s="80">
        <v>14105</v>
      </c>
      <c r="T81" s="86">
        <f>+Q81+1500</f>
        <v>24330</v>
      </c>
      <c r="U81" s="80">
        <f>+R81+U89</f>
        <v>30000</v>
      </c>
      <c r="V81" s="80">
        <v>15200</v>
      </c>
      <c r="W81" s="86">
        <f>+T81+3500</f>
        <v>27830</v>
      </c>
      <c r="X81" s="80">
        <f>+U81+X89</f>
        <v>40000</v>
      </c>
      <c r="Y81" s="80">
        <v>15200</v>
      </c>
      <c r="Z81" s="86">
        <f>+W81+3000</f>
        <v>30830</v>
      </c>
      <c r="AA81" s="80">
        <f>+X81+AA89</f>
        <v>50000</v>
      </c>
      <c r="AB81" s="80">
        <v>15200</v>
      </c>
      <c r="AC81" s="86">
        <f>+Z81+2500</f>
        <v>33330</v>
      </c>
      <c r="AD81" s="80">
        <f>+AA81+AD89</f>
        <v>70000</v>
      </c>
      <c r="AE81" s="80">
        <v>15200</v>
      </c>
      <c r="AF81" s="86">
        <f>+AC81+2500</f>
        <v>35830</v>
      </c>
      <c r="AG81" s="80">
        <f>+AD81+AG89</f>
        <v>90000</v>
      </c>
      <c r="AH81" s="80">
        <v>15200</v>
      </c>
      <c r="AI81" s="86">
        <f>+AF81+2500</f>
        <v>38330</v>
      </c>
      <c r="AL81" s="3" t="s">
        <v>380</v>
      </c>
      <c r="AM81" s="3"/>
      <c r="AN81" s="80">
        <f>+H81-E81</f>
        <v>500</v>
      </c>
      <c r="AO81" s="80">
        <f>+K81-H81</f>
        <v>500</v>
      </c>
      <c r="AP81" s="80">
        <f>+N81-K81</f>
        <v>500</v>
      </c>
      <c r="AQ81" s="80">
        <f>+Q81-N81</f>
        <v>1000</v>
      </c>
      <c r="AR81" s="80">
        <f t="shared" ref="AR81:AR83" si="57">+T81-Q81</f>
        <v>1500</v>
      </c>
      <c r="AS81" s="80">
        <f t="shared" ref="AS81:AS83" si="58">+W81-T81</f>
        <v>3500</v>
      </c>
      <c r="AT81" s="80">
        <f t="shared" ref="AT81:AT83" si="59">+Z81-W81</f>
        <v>3000</v>
      </c>
      <c r="AU81" s="80">
        <f t="shared" ref="AU81:AU83" si="60">+AC81-Z81</f>
        <v>2500</v>
      </c>
      <c r="AV81" s="80">
        <f t="shared" ref="AV81:AV83" si="61">+AF81-AC81</f>
        <v>2500</v>
      </c>
      <c r="AW81" s="80">
        <f t="shared" ref="AW81:AW83" si="62">+AI81-AF81</f>
        <v>2500</v>
      </c>
      <c r="AX81" s="88"/>
      <c r="AY81" s="88"/>
      <c r="AZ81" s="88"/>
      <c r="BA81" s="88"/>
      <c r="BB81" s="88"/>
      <c r="BC81" s="88"/>
      <c r="BD81" s="88"/>
      <c r="BE81" s="88"/>
      <c r="BF81" s="88"/>
      <c r="BG81" s="88"/>
      <c r="BH81" s="88"/>
    </row>
    <row r="82" spans="1:60">
      <c r="A82" s="440">
        <v>10</v>
      </c>
      <c r="B82" s="3" t="s">
        <v>39</v>
      </c>
      <c r="C82" s="37">
        <v>14286</v>
      </c>
      <c r="D82" s="81">
        <v>13207</v>
      </c>
      <c r="E82" s="86">
        <f>+E81+1000</f>
        <v>21330</v>
      </c>
      <c r="F82" s="37">
        <v>14286</v>
      </c>
      <c r="G82" s="81">
        <v>13207</v>
      </c>
      <c r="H82" s="86">
        <f t="shared" ref="H82:H88" si="63">+E82+500</f>
        <v>21830</v>
      </c>
      <c r="I82" s="37">
        <v>14286</v>
      </c>
      <c r="J82" s="81">
        <v>13207</v>
      </c>
      <c r="K82" s="86">
        <f t="shared" ref="K82:K88" si="64">+H82+500</f>
        <v>22330</v>
      </c>
      <c r="L82" s="80">
        <v>17857</v>
      </c>
      <c r="M82" s="81">
        <v>13307</v>
      </c>
      <c r="N82" s="86">
        <f t="shared" ref="N82:N88" si="65">+K82+500</f>
        <v>22830</v>
      </c>
      <c r="O82" s="80">
        <v>17857</v>
      </c>
      <c r="P82" s="80">
        <v>13468</v>
      </c>
      <c r="Q82" s="86">
        <f t="shared" ref="Q82:Q88" si="66">+N82+1000</f>
        <v>23830</v>
      </c>
      <c r="R82" s="80">
        <v>25000</v>
      </c>
      <c r="S82" s="80">
        <v>14105</v>
      </c>
      <c r="T82" s="86">
        <f t="shared" ref="T82:T88" si="67">+Q82+1500</f>
        <v>25330</v>
      </c>
      <c r="U82" s="80">
        <f>+R82+U89</f>
        <v>30000</v>
      </c>
      <c r="V82" s="80">
        <v>15200</v>
      </c>
      <c r="W82" s="86">
        <f t="shared" ref="W82:W88" si="68">+T82+3500</f>
        <v>28830</v>
      </c>
      <c r="X82" s="80">
        <f>+U82+X89</f>
        <v>40000</v>
      </c>
      <c r="Y82" s="80">
        <v>15200</v>
      </c>
      <c r="Z82" s="86">
        <f>+Z81+2000</f>
        <v>32830</v>
      </c>
      <c r="AA82" s="80">
        <f>+X82+AA89</f>
        <v>50000</v>
      </c>
      <c r="AB82" s="80">
        <v>15200</v>
      </c>
      <c r="AC82" s="86">
        <f>+AC81+2000</f>
        <v>35330</v>
      </c>
      <c r="AD82" s="80">
        <f>+AA82+AD89</f>
        <v>70000</v>
      </c>
      <c r="AE82" s="80">
        <v>15200</v>
      </c>
      <c r="AF82" s="86">
        <f>+AF81+2000</f>
        <v>37830</v>
      </c>
      <c r="AG82" s="80">
        <f>+AD82+AG89</f>
        <v>90000</v>
      </c>
      <c r="AH82" s="80">
        <v>15200</v>
      </c>
      <c r="AI82" s="86">
        <f>+AI81+2000</f>
        <v>40330</v>
      </c>
      <c r="AL82" s="3" t="s">
        <v>39</v>
      </c>
      <c r="AM82" s="3"/>
      <c r="AN82" s="80">
        <f t="shared" ref="AN82:AN83" si="69">+H82-E82</f>
        <v>500</v>
      </c>
      <c r="AO82" s="80">
        <f t="shared" ref="AO82:AO83" si="70">+K82-H82</f>
        <v>500</v>
      </c>
      <c r="AP82" s="80">
        <f t="shared" ref="AP82:AP83" si="71">+N82-K82</f>
        <v>500</v>
      </c>
      <c r="AQ82" s="80">
        <f t="shared" ref="AQ82:AQ83" si="72">+Q82-N82</f>
        <v>1000</v>
      </c>
      <c r="AR82" s="80">
        <f t="shared" si="57"/>
        <v>1500</v>
      </c>
      <c r="AS82" s="80">
        <f t="shared" si="58"/>
        <v>3500</v>
      </c>
      <c r="AT82" s="80">
        <f t="shared" si="59"/>
        <v>4000</v>
      </c>
      <c r="AU82" s="80">
        <f t="shared" si="60"/>
        <v>2500</v>
      </c>
      <c r="AV82" s="80">
        <f t="shared" si="61"/>
        <v>2500</v>
      </c>
      <c r="AW82" s="80">
        <f t="shared" si="62"/>
        <v>2500</v>
      </c>
      <c r="AX82" s="88">
        <f>+E82-E81</f>
        <v>1000</v>
      </c>
      <c r="AY82" s="88">
        <f>+H82-H81</f>
        <v>1000</v>
      </c>
      <c r="AZ82" s="88">
        <f>+K82-K81</f>
        <v>1000</v>
      </c>
      <c r="BA82" s="88">
        <f>+N82-N81</f>
        <v>1000</v>
      </c>
      <c r="BB82" s="88">
        <f>+Q82-Q81</f>
        <v>1000</v>
      </c>
      <c r="BC82" s="88">
        <f>+T82-T81</f>
        <v>1000</v>
      </c>
      <c r="BD82" s="88">
        <f>+W82-W81</f>
        <v>1000</v>
      </c>
      <c r="BE82" s="88">
        <f t="shared" ref="BE82:BE83" si="73">+Z82-Z81</f>
        <v>2000</v>
      </c>
      <c r="BF82" s="88">
        <f t="shared" ref="BF82:BF83" si="74">+AC82-AC81</f>
        <v>2000</v>
      </c>
      <c r="BG82" s="88">
        <f t="shared" ref="BG82:BG83" si="75">+AF82-AF81</f>
        <v>2000</v>
      </c>
      <c r="BH82" s="88">
        <f t="shared" ref="BH82:BH83" si="76">+AI82-AI81</f>
        <v>2000</v>
      </c>
    </row>
    <row r="83" spans="1:60">
      <c r="A83" s="440">
        <v>15</v>
      </c>
      <c r="B83" s="5" t="s">
        <v>534</v>
      </c>
      <c r="C83" s="29">
        <v>18716</v>
      </c>
      <c r="D83" s="84">
        <v>13207</v>
      </c>
      <c r="E83" s="86">
        <f>+E82+1500</f>
        <v>22830</v>
      </c>
      <c r="F83" s="29">
        <v>18716</v>
      </c>
      <c r="G83" s="84">
        <v>13207</v>
      </c>
      <c r="H83" s="86">
        <f t="shared" si="63"/>
        <v>23330</v>
      </c>
      <c r="I83" s="29">
        <v>18716</v>
      </c>
      <c r="J83" s="84">
        <v>13207</v>
      </c>
      <c r="K83" s="86">
        <f t="shared" si="64"/>
        <v>23830</v>
      </c>
      <c r="L83" s="84">
        <v>23527</v>
      </c>
      <c r="M83" s="84">
        <v>13307</v>
      </c>
      <c r="N83" s="86">
        <f t="shared" si="65"/>
        <v>24330</v>
      </c>
      <c r="O83" s="84">
        <v>23527</v>
      </c>
      <c r="P83" s="84">
        <v>13468</v>
      </c>
      <c r="Q83" s="86">
        <f t="shared" si="66"/>
        <v>25330</v>
      </c>
      <c r="R83" s="84">
        <v>35000</v>
      </c>
      <c r="S83" s="84">
        <v>14105</v>
      </c>
      <c r="T83" s="86">
        <f t="shared" si="67"/>
        <v>26830</v>
      </c>
      <c r="U83" s="84">
        <f>+R83+U89</f>
        <v>40000</v>
      </c>
      <c r="V83" s="84">
        <v>15200</v>
      </c>
      <c r="W83" s="86">
        <f t="shared" si="68"/>
        <v>30330</v>
      </c>
      <c r="X83" s="84">
        <f>+U83+X89</f>
        <v>50000</v>
      </c>
      <c r="Y83" s="84">
        <v>15200</v>
      </c>
      <c r="Z83" s="86">
        <f t="shared" ref="Z83:Z86" si="77">+Z82+2000</f>
        <v>34830</v>
      </c>
      <c r="AA83" s="84">
        <f>+X83+AA89</f>
        <v>60000</v>
      </c>
      <c r="AB83" s="84">
        <v>15200</v>
      </c>
      <c r="AC83" s="86">
        <f t="shared" ref="AC83:AC86" si="78">+AC82+2000</f>
        <v>37330</v>
      </c>
      <c r="AD83" s="84">
        <f>+AA83+AD89</f>
        <v>80000</v>
      </c>
      <c r="AE83" s="84">
        <v>15200</v>
      </c>
      <c r="AF83" s="86">
        <f t="shared" ref="AF83:AF86" si="79">+AF82+2000</f>
        <v>39830</v>
      </c>
      <c r="AG83" s="84">
        <f>+AD83+AG89</f>
        <v>100000</v>
      </c>
      <c r="AH83" s="84">
        <v>15200</v>
      </c>
      <c r="AI83" s="86">
        <f t="shared" ref="AI83:AI86" si="80">+AI82+2000</f>
        <v>42330</v>
      </c>
      <c r="AL83" s="5" t="s">
        <v>381</v>
      </c>
      <c r="AM83" s="3"/>
      <c r="AN83" s="80">
        <f t="shared" si="69"/>
        <v>500</v>
      </c>
      <c r="AO83" s="80">
        <f t="shared" si="70"/>
        <v>500</v>
      </c>
      <c r="AP83" s="80">
        <f t="shared" si="71"/>
        <v>500</v>
      </c>
      <c r="AQ83" s="80">
        <f t="shared" si="72"/>
        <v>1000</v>
      </c>
      <c r="AR83" s="80">
        <f t="shared" si="57"/>
        <v>1500</v>
      </c>
      <c r="AS83" s="80">
        <f t="shared" si="58"/>
        <v>3500</v>
      </c>
      <c r="AT83" s="80">
        <f t="shared" si="59"/>
        <v>4500</v>
      </c>
      <c r="AU83" s="80">
        <f t="shared" si="60"/>
        <v>2500</v>
      </c>
      <c r="AV83" s="80">
        <f t="shared" si="61"/>
        <v>2500</v>
      </c>
      <c r="AW83" s="80">
        <f t="shared" si="62"/>
        <v>2500</v>
      </c>
      <c r="AX83" s="88">
        <f t="shared" ref="AX83" si="81">+E83-E82</f>
        <v>1500</v>
      </c>
      <c r="AY83" s="88">
        <f t="shared" ref="AY83" si="82">+H83-H82</f>
        <v>1500</v>
      </c>
      <c r="AZ83" s="88">
        <f t="shared" ref="AZ83" si="83">+K83-K82</f>
        <v>1500</v>
      </c>
      <c r="BA83" s="88">
        <f t="shared" ref="BA83" si="84">+N83-N82</f>
        <v>1500</v>
      </c>
      <c r="BB83" s="88">
        <f t="shared" ref="BB83" si="85">+Q83-Q82</f>
        <v>1500</v>
      </c>
      <c r="BC83" s="88">
        <f t="shared" ref="BC83" si="86">+T83-T82</f>
        <v>1500</v>
      </c>
      <c r="BD83" s="88">
        <f t="shared" ref="BD83" si="87">+W83-W82</f>
        <v>1500</v>
      </c>
      <c r="BE83" s="88">
        <f t="shared" si="73"/>
        <v>2000</v>
      </c>
      <c r="BF83" s="88">
        <f t="shared" si="74"/>
        <v>2000</v>
      </c>
      <c r="BG83" s="88">
        <f t="shared" si="75"/>
        <v>2000</v>
      </c>
      <c r="BH83" s="88">
        <f t="shared" si="76"/>
        <v>2000</v>
      </c>
    </row>
    <row r="84" spans="1:60">
      <c r="A84" s="440">
        <v>20</v>
      </c>
      <c r="B84" s="5" t="s">
        <v>535</v>
      </c>
      <c r="C84" s="29">
        <v>18716</v>
      </c>
      <c r="D84" s="84">
        <v>13207</v>
      </c>
      <c r="E84" s="86">
        <f>+E83+2000</f>
        <v>24830</v>
      </c>
      <c r="F84" s="29">
        <v>18716</v>
      </c>
      <c r="G84" s="84">
        <v>13207</v>
      </c>
      <c r="H84" s="86">
        <f t="shared" si="63"/>
        <v>25330</v>
      </c>
      <c r="I84" s="29">
        <v>18716</v>
      </c>
      <c r="J84" s="84">
        <v>13207</v>
      </c>
      <c r="K84" s="86">
        <f t="shared" si="64"/>
        <v>25830</v>
      </c>
      <c r="L84" s="84">
        <v>23527</v>
      </c>
      <c r="M84" s="84">
        <v>13307</v>
      </c>
      <c r="N84" s="86">
        <f t="shared" si="65"/>
        <v>26330</v>
      </c>
      <c r="O84" s="84">
        <v>23527</v>
      </c>
      <c r="P84" s="84">
        <v>13468</v>
      </c>
      <c r="Q84" s="86">
        <f t="shared" si="66"/>
        <v>27330</v>
      </c>
      <c r="R84" s="84">
        <v>35000</v>
      </c>
      <c r="S84" s="84">
        <v>14105</v>
      </c>
      <c r="T84" s="86">
        <f t="shared" si="67"/>
        <v>28830</v>
      </c>
      <c r="U84" s="84">
        <f>+R84+U89</f>
        <v>40000</v>
      </c>
      <c r="V84" s="84">
        <v>15200</v>
      </c>
      <c r="W84" s="86">
        <f t="shared" si="68"/>
        <v>32330</v>
      </c>
      <c r="X84" s="84">
        <f>+U84+X89</f>
        <v>50000</v>
      </c>
      <c r="Y84" s="84">
        <v>15200</v>
      </c>
      <c r="Z84" s="86">
        <f t="shared" si="77"/>
        <v>36830</v>
      </c>
      <c r="AA84" s="84">
        <f>+X84+AA89</f>
        <v>60000</v>
      </c>
      <c r="AB84" s="84">
        <v>15200</v>
      </c>
      <c r="AC84" s="86">
        <f t="shared" si="78"/>
        <v>39330</v>
      </c>
      <c r="AD84" s="84">
        <f>+AA84+AD89</f>
        <v>80000</v>
      </c>
      <c r="AE84" s="84">
        <v>15200</v>
      </c>
      <c r="AF84" s="86">
        <f t="shared" si="79"/>
        <v>41830</v>
      </c>
      <c r="AG84" s="84">
        <f>+AD84+AG89</f>
        <v>100000</v>
      </c>
      <c r="AH84" s="84">
        <v>15200</v>
      </c>
      <c r="AI84" s="86">
        <f t="shared" si="80"/>
        <v>44330</v>
      </c>
      <c r="AL84" s="5"/>
      <c r="AM84" s="3"/>
      <c r="AN84" s="80"/>
      <c r="AO84" s="80"/>
      <c r="AP84" s="80"/>
      <c r="AQ84" s="80"/>
      <c r="AR84" s="80"/>
      <c r="AS84" s="80"/>
      <c r="AT84" s="80"/>
      <c r="AU84" s="80"/>
      <c r="AV84" s="80"/>
      <c r="AW84" s="80"/>
      <c r="AX84" s="88"/>
      <c r="AY84" s="88"/>
      <c r="AZ84" s="88"/>
      <c r="BA84" s="88"/>
      <c r="BB84" s="88"/>
      <c r="BC84" s="88"/>
      <c r="BD84" s="88"/>
      <c r="BE84" s="88"/>
      <c r="BF84" s="88"/>
      <c r="BG84" s="88"/>
      <c r="BH84" s="88"/>
    </row>
    <row r="85" spans="1:60">
      <c r="A85" s="440">
        <v>30</v>
      </c>
      <c r="B85" s="5" t="s">
        <v>382</v>
      </c>
      <c r="C85" s="84">
        <v>22857</v>
      </c>
      <c r="D85" s="84">
        <v>13207</v>
      </c>
      <c r="E85" s="86">
        <f>+E84+2500</f>
        <v>27330</v>
      </c>
      <c r="F85" s="84">
        <v>22857</v>
      </c>
      <c r="G85" s="84">
        <v>13207</v>
      </c>
      <c r="H85" s="86">
        <f t="shared" si="63"/>
        <v>27830</v>
      </c>
      <c r="I85" s="84">
        <v>22857</v>
      </c>
      <c r="J85" s="84">
        <v>13207</v>
      </c>
      <c r="K85" s="86">
        <f t="shared" si="64"/>
        <v>28330</v>
      </c>
      <c r="L85" s="84">
        <v>28571</v>
      </c>
      <c r="M85" s="84">
        <v>13307</v>
      </c>
      <c r="N85" s="86">
        <f t="shared" si="65"/>
        <v>28830</v>
      </c>
      <c r="O85" s="84">
        <v>28571</v>
      </c>
      <c r="P85" s="84">
        <v>13468</v>
      </c>
      <c r="Q85" s="86">
        <f t="shared" si="66"/>
        <v>29830</v>
      </c>
      <c r="R85" s="84">
        <v>40000</v>
      </c>
      <c r="S85" s="84">
        <v>14105</v>
      </c>
      <c r="T85" s="86">
        <f t="shared" si="67"/>
        <v>31330</v>
      </c>
      <c r="U85" s="84">
        <f>+R85+U89</f>
        <v>45000</v>
      </c>
      <c r="V85" s="84">
        <v>15200</v>
      </c>
      <c r="W85" s="86">
        <f t="shared" si="68"/>
        <v>34830</v>
      </c>
      <c r="X85" s="84">
        <f>+U85+X89</f>
        <v>55000</v>
      </c>
      <c r="Y85" s="84">
        <v>15200</v>
      </c>
      <c r="Z85" s="86">
        <f>+Z83+2000</f>
        <v>36830</v>
      </c>
      <c r="AA85" s="84">
        <f>+X85+AA89</f>
        <v>65000</v>
      </c>
      <c r="AB85" s="84">
        <v>15200</v>
      </c>
      <c r="AC85" s="86">
        <f>+AC83+2000</f>
        <v>39330</v>
      </c>
      <c r="AD85" s="84">
        <f>+AA85+AD89</f>
        <v>85000</v>
      </c>
      <c r="AE85" s="84">
        <v>15200</v>
      </c>
      <c r="AF85" s="86">
        <f>+AF83+2000</f>
        <v>41830</v>
      </c>
      <c r="AG85" s="84">
        <f>+AD85+AG89</f>
        <v>105000</v>
      </c>
      <c r="AH85" s="84">
        <v>15200</v>
      </c>
      <c r="AI85" s="86">
        <f>+AI83+2000</f>
        <v>44330</v>
      </c>
      <c r="AL85" s="5" t="s">
        <v>382</v>
      </c>
      <c r="AM85" s="3"/>
      <c r="AN85" s="80">
        <f t="shared" ref="AN85:AN88" si="88">+H85-E85</f>
        <v>500</v>
      </c>
      <c r="AO85" s="80">
        <f t="shared" ref="AO85:AO88" si="89">+K85-H85</f>
        <v>500</v>
      </c>
      <c r="AP85" s="80">
        <f t="shared" ref="AP85:AP88" si="90">+N85-K85</f>
        <v>500</v>
      </c>
      <c r="AQ85" s="80">
        <f t="shared" ref="AQ85:AQ88" si="91">+Q85-N85</f>
        <v>1000</v>
      </c>
      <c r="AR85" s="80">
        <f t="shared" ref="AR85:AR88" si="92">+T85-Q85</f>
        <v>1500</v>
      </c>
      <c r="AS85" s="80">
        <f t="shared" ref="AS85:AS88" si="93">+W85-T85</f>
        <v>3500</v>
      </c>
      <c r="AT85" s="80">
        <f t="shared" ref="AT85:AT88" si="94">+Z85-W85</f>
        <v>2000</v>
      </c>
      <c r="AU85" s="80">
        <f t="shared" ref="AU85:AU88" si="95">+AC85-Z85</f>
        <v>2500</v>
      </c>
      <c r="AV85" s="80">
        <f t="shared" ref="AV85:AV88" si="96">+AF85-AC85</f>
        <v>2500</v>
      </c>
      <c r="AW85" s="80">
        <f t="shared" ref="AW85:AW88" si="97">+AI85-AF85</f>
        <v>2500</v>
      </c>
      <c r="AX85" s="88">
        <f>+E85-E83</f>
        <v>4500</v>
      </c>
      <c r="AY85" s="88">
        <f>+H85-H83</f>
        <v>4500</v>
      </c>
      <c r="AZ85" s="88">
        <f>+K85-K83</f>
        <v>4500</v>
      </c>
      <c r="BA85" s="88">
        <f>+N85-N83</f>
        <v>4500</v>
      </c>
      <c r="BB85" s="88">
        <f>+Q85-Q83</f>
        <v>4500</v>
      </c>
      <c r="BC85" s="88">
        <f>+T85-T83</f>
        <v>4500</v>
      </c>
      <c r="BD85" s="88">
        <f>+W85-W83</f>
        <v>4500</v>
      </c>
      <c r="BE85" s="88">
        <f>+Z85-Z83</f>
        <v>2000</v>
      </c>
      <c r="BF85" s="88">
        <f>+AC85-AC83</f>
        <v>2000</v>
      </c>
      <c r="BG85" s="88">
        <f>+AF85-AF83</f>
        <v>2000</v>
      </c>
      <c r="BH85" s="88">
        <f>+AI85-AI83</f>
        <v>2000</v>
      </c>
    </row>
    <row r="86" spans="1:60" s="643" customFormat="1">
      <c r="A86" s="643">
        <v>40</v>
      </c>
      <c r="B86" s="644" t="s">
        <v>383</v>
      </c>
      <c r="C86" s="645">
        <v>28571</v>
      </c>
      <c r="D86" s="646">
        <v>13207</v>
      </c>
      <c r="E86" s="647">
        <f>+E85+3000</f>
        <v>30330</v>
      </c>
      <c r="F86" s="645">
        <v>28571</v>
      </c>
      <c r="G86" s="646">
        <v>13207</v>
      </c>
      <c r="H86" s="647">
        <f t="shared" si="63"/>
        <v>30830</v>
      </c>
      <c r="I86" s="645">
        <v>28571</v>
      </c>
      <c r="J86" s="646">
        <v>13207</v>
      </c>
      <c r="K86" s="647">
        <f t="shared" si="64"/>
        <v>31330</v>
      </c>
      <c r="L86" s="646">
        <v>35714</v>
      </c>
      <c r="M86" s="646">
        <v>13307</v>
      </c>
      <c r="N86" s="647">
        <f t="shared" si="65"/>
        <v>31830</v>
      </c>
      <c r="O86" s="646">
        <v>35714</v>
      </c>
      <c r="P86" s="646">
        <v>13468</v>
      </c>
      <c r="Q86" s="647">
        <f t="shared" si="66"/>
        <v>32830</v>
      </c>
      <c r="R86" s="646">
        <v>50000</v>
      </c>
      <c r="S86" s="646">
        <v>14105</v>
      </c>
      <c r="T86" s="647">
        <f t="shared" si="67"/>
        <v>34330</v>
      </c>
      <c r="U86" s="646">
        <f>+R86+U89</f>
        <v>55000</v>
      </c>
      <c r="V86" s="646">
        <v>15200</v>
      </c>
      <c r="W86" s="647">
        <f t="shared" si="68"/>
        <v>37830</v>
      </c>
      <c r="X86" s="646">
        <f>+U86+X89</f>
        <v>65000</v>
      </c>
      <c r="Y86" s="646">
        <v>15200</v>
      </c>
      <c r="Z86" s="647">
        <f t="shared" si="77"/>
        <v>38830</v>
      </c>
      <c r="AA86" s="646">
        <f>+X86+AA89</f>
        <v>75000</v>
      </c>
      <c r="AB86" s="646">
        <v>15200</v>
      </c>
      <c r="AC86" s="647">
        <f t="shared" si="78"/>
        <v>41330</v>
      </c>
      <c r="AD86" s="646">
        <f>+AA86+AD89</f>
        <v>95000</v>
      </c>
      <c r="AE86" s="646">
        <v>15200</v>
      </c>
      <c r="AF86" s="647">
        <f t="shared" si="79"/>
        <v>43830</v>
      </c>
      <c r="AG86" s="646">
        <f>+AD86+AG89</f>
        <v>115000</v>
      </c>
      <c r="AH86" s="646">
        <v>15200</v>
      </c>
      <c r="AI86" s="647">
        <f t="shared" si="80"/>
        <v>46330</v>
      </c>
      <c r="AL86" s="644" t="s">
        <v>383</v>
      </c>
      <c r="AM86" s="644"/>
      <c r="AN86" s="646">
        <f t="shared" si="88"/>
        <v>500</v>
      </c>
      <c r="AO86" s="646">
        <f t="shared" si="89"/>
        <v>500</v>
      </c>
      <c r="AP86" s="646">
        <f t="shared" si="90"/>
        <v>500</v>
      </c>
      <c r="AQ86" s="646">
        <f t="shared" si="91"/>
        <v>1000</v>
      </c>
      <c r="AR86" s="646">
        <f t="shared" si="92"/>
        <v>1500</v>
      </c>
      <c r="AS86" s="646">
        <f t="shared" si="93"/>
        <v>3500</v>
      </c>
      <c r="AT86" s="646">
        <f t="shared" si="94"/>
        <v>1000</v>
      </c>
      <c r="AU86" s="646">
        <f t="shared" si="95"/>
        <v>2500</v>
      </c>
      <c r="AV86" s="646">
        <f t="shared" si="96"/>
        <v>2500</v>
      </c>
      <c r="AW86" s="646">
        <f t="shared" si="97"/>
        <v>2500</v>
      </c>
      <c r="AX86" s="648">
        <f t="shared" ref="AX86:AX88" si="98">+E86-E85</f>
        <v>3000</v>
      </c>
      <c r="AY86" s="648">
        <f t="shared" ref="AY86:AY88" si="99">+H86-H85</f>
        <v>3000</v>
      </c>
      <c r="AZ86" s="648">
        <f t="shared" ref="AZ86:AZ88" si="100">+K86-K85</f>
        <v>3000</v>
      </c>
      <c r="BA86" s="648">
        <f t="shared" ref="BA86:BA88" si="101">+N86-N85</f>
        <v>3000</v>
      </c>
      <c r="BB86" s="648">
        <f t="shared" ref="BB86:BB88" si="102">+Q86-Q85</f>
        <v>3000</v>
      </c>
      <c r="BC86" s="648">
        <f t="shared" ref="BC86:BC88" si="103">+T86-T85</f>
        <v>3000</v>
      </c>
      <c r="BD86" s="648">
        <f t="shared" ref="BD86:BD88" si="104">+W86-W85</f>
        <v>3000</v>
      </c>
      <c r="BE86" s="648">
        <f t="shared" ref="BE86:BE88" si="105">+Z86-Z85</f>
        <v>2000</v>
      </c>
      <c r="BF86" s="648">
        <f t="shared" ref="BF86:BF88" si="106">+AC86-AC85</f>
        <v>2000</v>
      </c>
      <c r="BG86" s="648">
        <f t="shared" ref="BG86:BG88" si="107">+AF86-AF85</f>
        <v>2000</v>
      </c>
      <c r="BH86" s="648">
        <f t="shared" ref="BH86:BH88" si="108">+AI86-AI85</f>
        <v>2000</v>
      </c>
    </row>
    <row r="87" spans="1:60" s="643" customFormat="1">
      <c r="A87" s="643">
        <v>50</v>
      </c>
      <c r="B87" s="644" t="s">
        <v>384</v>
      </c>
      <c r="C87" s="645">
        <v>38580</v>
      </c>
      <c r="D87" s="646">
        <v>13207</v>
      </c>
      <c r="E87" s="647">
        <f>+E86+3000</f>
        <v>33330</v>
      </c>
      <c r="F87" s="645">
        <v>38580</v>
      </c>
      <c r="G87" s="646">
        <v>13207</v>
      </c>
      <c r="H87" s="647">
        <f t="shared" si="63"/>
        <v>33830</v>
      </c>
      <c r="I87" s="645">
        <v>38580</v>
      </c>
      <c r="J87" s="646">
        <v>13207</v>
      </c>
      <c r="K87" s="647">
        <f t="shared" si="64"/>
        <v>34330</v>
      </c>
      <c r="L87" s="646">
        <v>60000</v>
      </c>
      <c r="M87" s="646">
        <v>13307</v>
      </c>
      <c r="N87" s="647">
        <f t="shared" si="65"/>
        <v>34830</v>
      </c>
      <c r="O87" s="646">
        <v>60000</v>
      </c>
      <c r="P87" s="646">
        <v>13468</v>
      </c>
      <c r="Q87" s="647">
        <f t="shared" si="66"/>
        <v>35830</v>
      </c>
      <c r="R87" s="646">
        <v>60000</v>
      </c>
      <c r="S87" s="646">
        <v>14105</v>
      </c>
      <c r="T87" s="647">
        <f t="shared" si="67"/>
        <v>37330</v>
      </c>
      <c r="U87" s="646">
        <f>+R87+U89</f>
        <v>65000</v>
      </c>
      <c r="V87" s="646">
        <v>15200</v>
      </c>
      <c r="W87" s="647">
        <f t="shared" si="68"/>
        <v>40830</v>
      </c>
      <c r="X87" s="646">
        <f>+U87+X89</f>
        <v>75000</v>
      </c>
      <c r="Y87" s="646">
        <v>15200</v>
      </c>
      <c r="Z87" s="647">
        <f>+Z86+4000</f>
        <v>42830</v>
      </c>
      <c r="AA87" s="646">
        <f>+X87+AA89</f>
        <v>85000</v>
      </c>
      <c r="AB87" s="646">
        <v>15200</v>
      </c>
      <c r="AC87" s="647">
        <f>+AC86+4000</f>
        <v>45330</v>
      </c>
      <c r="AD87" s="646">
        <f>+AA87+AD89</f>
        <v>105000</v>
      </c>
      <c r="AE87" s="646">
        <v>15200</v>
      </c>
      <c r="AF87" s="647">
        <f>+AF86+4000</f>
        <v>47830</v>
      </c>
      <c r="AG87" s="646">
        <f>+AD87+AG89</f>
        <v>125000</v>
      </c>
      <c r="AH87" s="646">
        <v>15200</v>
      </c>
      <c r="AI87" s="647">
        <f>+AI86+4000</f>
        <v>50330</v>
      </c>
      <c r="AL87" s="644" t="s">
        <v>384</v>
      </c>
      <c r="AM87" s="644"/>
      <c r="AN87" s="646">
        <f t="shared" si="88"/>
        <v>500</v>
      </c>
      <c r="AO87" s="646">
        <f t="shared" si="89"/>
        <v>500</v>
      </c>
      <c r="AP87" s="646">
        <f t="shared" si="90"/>
        <v>500</v>
      </c>
      <c r="AQ87" s="646">
        <f t="shared" si="91"/>
        <v>1000</v>
      </c>
      <c r="AR87" s="646">
        <f t="shared" si="92"/>
        <v>1500</v>
      </c>
      <c r="AS87" s="646">
        <f t="shared" si="93"/>
        <v>3500</v>
      </c>
      <c r="AT87" s="646">
        <f t="shared" si="94"/>
        <v>2000</v>
      </c>
      <c r="AU87" s="646">
        <f t="shared" si="95"/>
        <v>2500</v>
      </c>
      <c r="AV87" s="646">
        <f t="shared" si="96"/>
        <v>2500</v>
      </c>
      <c r="AW87" s="646">
        <f t="shared" si="97"/>
        <v>2500</v>
      </c>
      <c r="AX87" s="648">
        <f t="shared" si="98"/>
        <v>3000</v>
      </c>
      <c r="AY87" s="648">
        <f t="shared" si="99"/>
        <v>3000</v>
      </c>
      <c r="AZ87" s="648">
        <f t="shared" si="100"/>
        <v>3000</v>
      </c>
      <c r="BA87" s="648">
        <f t="shared" si="101"/>
        <v>3000</v>
      </c>
      <c r="BB87" s="648">
        <f t="shared" si="102"/>
        <v>3000</v>
      </c>
      <c r="BC87" s="648">
        <f t="shared" si="103"/>
        <v>3000</v>
      </c>
      <c r="BD87" s="648">
        <f t="shared" si="104"/>
        <v>3000</v>
      </c>
      <c r="BE87" s="648">
        <f t="shared" si="105"/>
        <v>4000</v>
      </c>
      <c r="BF87" s="648">
        <f t="shared" si="106"/>
        <v>4000</v>
      </c>
      <c r="BG87" s="648">
        <f t="shared" si="107"/>
        <v>4000</v>
      </c>
      <c r="BH87" s="648">
        <f t="shared" si="108"/>
        <v>4000</v>
      </c>
    </row>
    <row r="88" spans="1:60" s="643" customFormat="1">
      <c r="A88" s="643">
        <v>60</v>
      </c>
      <c r="B88" s="644" t="s">
        <v>385</v>
      </c>
      <c r="C88" s="645">
        <v>48580</v>
      </c>
      <c r="D88" s="646">
        <v>13207</v>
      </c>
      <c r="E88" s="647">
        <f>+E87+5000</f>
        <v>38330</v>
      </c>
      <c r="F88" s="645">
        <v>48580</v>
      </c>
      <c r="G88" s="646">
        <v>13207</v>
      </c>
      <c r="H88" s="647">
        <f t="shared" si="63"/>
        <v>38830</v>
      </c>
      <c r="I88" s="645">
        <v>48580</v>
      </c>
      <c r="J88" s="646">
        <v>13207</v>
      </c>
      <c r="K88" s="647">
        <f t="shared" si="64"/>
        <v>39330</v>
      </c>
      <c r="L88" s="646">
        <v>70000</v>
      </c>
      <c r="M88" s="646">
        <v>13307</v>
      </c>
      <c r="N88" s="647">
        <f t="shared" si="65"/>
        <v>39830</v>
      </c>
      <c r="O88" s="646">
        <v>70000</v>
      </c>
      <c r="P88" s="646">
        <v>13468</v>
      </c>
      <c r="Q88" s="647">
        <f t="shared" si="66"/>
        <v>40830</v>
      </c>
      <c r="R88" s="646">
        <v>70000</v>
      </c>
      <c r="S88" s="646">
        <v>14105</v>
      </c>
      <c r="T88" s="647">
        <f t="shared" si="67"/>
        <v>42330</v>
      </c>
      <c r="U88" s="646">
        <f>+R88+U89</f>
        <v>75000</v>
      </c>
      <c r="V88" s="646">
        <v>15200</v>
      </c>
      <c r="W88" s="647">
        <f t="shared" si="68"/>
        <v>45830</v>
      </c>
      <c r="X88" s="646">
        <f>+U88+X89</f>
        <v>85000</v>
      </c>
      <c r="Y88" s="646">
        <v>15200</v>
      </c>
      <c r="Z88" s="647">
        <f>+Z87+4000</f>
        <v>46830</v>
      </c>
      <c r="AA88" s="646">
        <f>+X88+AA89</f>
        <v>95000</v>
      </c>
      <c r="AB88" s="646">
        <v>15200</v>
      </c>
      <c r="AC88" s="647">
        <f>+AC87+4000</f>
        <v>49330</v>
      </c>
      <c r="AD88" s="646">
        <f>+AA88+AD89</f>
        <v>115000</v>
      </c>
      <c r="AE88" s="646">
        <v>15200</v>
      </c>
      <c r="AF88" s="647">
        <f>+AF87+4000</f>
        <v>51830</v>
      </c>
      <c r="AG88" s="646">
        <f>+AD88+AG89</f>
        <v>135000</v>
      </c>
      <c r="AH88" s="646">
        <v>15200</v>
      </c>
      <c r="AI88" s="647">
        <f>+AI87+4000</f>
        <v>54330</v>
      </c>
      <c r="AL88" s="644" t="s">
        <v>385</v>
      </c>
      <c r="AM88" s="644"/>
      <c r="AN88" s="646">
        <f t="shared" si="88"/>
        <v>500</v>
      </c>
      <c r="AO88" s="646">
        <f t="shared" si="89"/>
        <v>500</v>
      </c>
      <c r="AP88" s="646">
        <f t="shared" si="90"/>
        <v>500</v>
      </c>
      <c r="AQ88" s="646">
        <f t="shared" si="91"/>
        <v>1000</v>
      </c>
      <c r="AR88" s="646">
        <f t="shared" si="92"/>
        <v>1500</v>
      </c>
      <c r="AS88" s="646">
        <f t="shared" si="93"/>
        <v>3500</v>
      </c>
      <c r="AT88" s="646">
        <f t="shared" si="94"/>
        <v>1000</v>
      </c>
      <c r="AU88" s="646">
        <f t="shared" si="95"/>
        <v>2500</v>
      </c>
      <c r="AV88" s="646">
        <f t="shared" si="96"/>
        <v>2500</v>
      </c>
      <c r="AW88" s="646">
        <f t="shared" si="97"/>
        <v>2500</v>
      </c>
      <c r="AX88" s="648">
        <f t="shared" si="98"/>
        <v>5000</v>
      </c>
      <c r="AY88" s="648">
        <f t="shared" si="99"/>
        <v>5000</v>
      </c>
      <c r="AZ88" s="648">
        <f t="shared" si="100"/>
        <v>5000</v>
      </c>
      <c r="BA88" s="648">
        <f t="shared" si="101"/>
        <v>5000</v>
      </c>
      <c r="BB88" s="648">
        <f t="shared" si="102"/>
        <v>5000</v>
      </c>
      <c r="BC88" s="648">
        <f t="shared" si="103"/>
        <v>5000</v>
      </c>
      <c r="BD88" s="648">
        <f t="shared" si="104"/>
        <v>5000</v>
      </c>
      <c r="BE88" s="648">
        <f t="shared" si="105"/>
        <v>4000</v>
      </c>
      <c r="BF88" s="648">
        <f t="shared" si="106"/>
        <v>4000</v>
      </c>
      <c r="BG88" s="648">
        <f t="shared" si="107"/>
        <v>4000</v>
      </c>
      <c r="BH88" s="648">
        <f t="shared" si="108"/>
        <v>4000</v>
      </c>
    </row>
    <row r="89" spans="1:60">
      <c r="U89" s="584">
        <v>5000</v>
      </c>
      <c r="X89" s="584">
        <v>10000</v>
      </c>
      <c r="AA89" s="584">
        <v>10000</v>
      </c>
      <c r="AD89" s="584">
        <v>20000</v>
      </c>
      <c r="AG89" s="584">
        <v>20000</v>
      </c>
    </row>
    <row r="91" spans="1:60" ht="28.5">
      <c r="A91" s="1355" t="s">
        <v>1396</v>
      </c>
      <c r="B91" s="1355"/>
      <c r="C91" s="1355"/>
      <c r="D91" s="1355"/>
      <c r="E91" s="1355"/>
      <c r="F91" s="1355"/>
      <c r="G91" s="1355"/>
      <c r="H91" s="1355"/>
      <c r="I91" s="1355"/>
      <c r="J91" s="1355"/>
      <c r="K91" s="1355"/>
      <c r="L91" s="1355"/>
      <c r="M91" s="1355"/>
    </row>
    <row r="92" spans="1:60" ht="29.25" thickBot="1">
      <c r="A92" s="641"/>
      <c r="B92" s="641"/>
      <c r="C92" s="641"/>
      <c r="D92" s="641"/>
      <c r="E92" s="641"/>
      <c r="F92" s="641"/>
      <c r="G92" s="641"/>
      <c r="H92" s="641"/>
      <c r="I92" s="641"/>
      <c r="J92" s="641"/>
      <c r="K92" s="641"/>
      <c r="L92" s="641"/>
      <c r="M92" s="641"/>
    </row>
    <row r="93" spans="1:60">
      <c r="C93" s="1348" t="s">
        <v>989</v>
      </c>
      <c r="D93" s="1349"/>
      <c r="E93" s="1349"/>
      <c r="F93" s="1349"/>
      <c r="G93" s="1349"/>
      <c r="H93" s="1349"/>
      <c r="I93" s="1349"/>
      <c r="J93" s="1349"/>
      <c r="K93" s="1350"/>
      <c r="L93" s="1352" t="s">
        <v>988</v>
      </c>
      <c r="M93" s="1353"/>
      <c r="N93" s="1353"/>
      <c r="O93" s="1353"/>
      <c r="P93" s="1353"/>
      <c r="Q93" s="1354"/>
      <c r="R93" s="1345" t="s">
        <v>445</v>
      </c>
      <c r="S93" s="1346"/>
      <c r="T93" s="1346"/>
      <c r="U93" s="1346"/>
      <c r="V93" s="1346"/>
      <c r="W93" s="1346"/>
      <c r="X93" s="1346"/>
      <c r="Y93" s="1346"/>
      <c r="Z93" s="1346"/>
      <c r="AA93" s="1346"/>
      <c r="AB93" s="1346"/>
      <c r="AC93" s="1346"/>
      <c r="AD93" s="1346"/>
      <c r="AE93" s="1346"/>
      <c r="AF93" s="1346"/>
      <c r="AG93" s="1346"/>
      <c r="AH93" s="1346"/>
      <c r="AI93" s="1347"/>
    </row>
    <row r="94" spans="1:60">
      <c r="A94" s="440"/>
      <c r="B94" t="str">
        <f>B96</f>
        <v>Perfil</v>
      </c>
      <c r="C94" s="593" t="str">
        <f t="shared" ref="C94:W94" si="109">C96</f>
        <v>Mas 82%</v>
      </c>
      <c r="D94" s="594" t="str">
        <f t="shared" si="109"/>
        <v>Coordinación, supervisión y tablets</v>
      </c>
      <c r="E94" s="594" t="str">
        <f t="shared" si="109"/>
        <v>Total Mas 82%</v>
      </c>
      <c r="F94" s="594" t="str">
        <f t="shared" si="109"/>
        <v>75%-82%</v>
      </c>
      <c r="G94" s="594" t="str">
        <f t="shared" si="109"/>
        <v>Coordinación, supervisión y tablets</v>
      </c>
      <c r="H94" s="594" t="str">
        <f t="shared" si="109"/>
        <v>Total 75%-82%</v>
      </c>
      <c r="I94" s="594" t="str">
        <f t="shared" si="109"/>
        <v>67%-74%</v>
      </c>
      <c r="J94" s="594" t="str">
        <f t="shared" si="109"/>
        <v>Coordinación, supervisión y tablets</v>
      </c>
      <c r="K94" s="595" t="str">
        <f t="shared" si="109"/>
        <v>Total 67%-74%</v>
      </c>
      <c r="L94" s="599" t="str">
        <f t="shared" si="109"/>
        <v>55-66%</v>
      </c>
      <c r="M94" s="600" t="str">
        <f t="shared" si="109"/>
        <v>Coordinación, supervisión y tablets</v>
      </c>
      <c r="N94" s="600" t="str">
        <f t="shared" si="109"/>
        <v>Total Mas 55-66%</v>
      </c>
      <c r="O94" s="600" t="str">
        <f t="shared" si="109"/>
        <v>46-54%</v>
      </c>
      <c r="P94" s="600" t="str">
        <f t="shared" si="109"/>
        <v>Coordinación, supervisión y tablets</v>
      </c>
      <c r="Q94" s="601" t="str">
        <f t="shared" si="109"/>
        <v>Total Mas 46-54%</v>
      </c>
      <c r="R94" s="605" t="str">
        <f t="shared" si="109"/>
        <v>37-45%</v>
      </c>
      <c r="S94" s="606" t="str">
        <f t="shared" si="109"/>
        <v>Coordinación, supervisión y tablets</v>
      </c>
      <c r="T94" s="606" t="str">
        <f t="shared" si="109"/>
        <v>Total Mas 37-45%</v>
      </c>
      <c r="U94" s="606">
        <f t="shared" si="109"/>
        <v>0</v>
      </c>
      <c r="V94" s="606" t="str">
        <f t="shared" si="109"/>
        <v>Coordinación, supervisión y tablets</v>
      </c>
      <c r="W94" s="606" t="str">
        <f t="shared" si="109"/>
        <v>Total Mas 30-36%</v>
      </c>
      <c r="X94" s="606" t="s">
        <v>376</v>
      </c>
      <c r="Y94" s="606" t="str">
        <f t="shared" ref="Y94:Z94" si="110">Y96</f>
        <v>Coordinación, supervisión y tablets</v>
      </c>
      <c r="Z94" s="606" t="str">
        <f t="shared" si="110"/>
        <v>Total Mas 22-29%</v>
      </c>
      <c r="AA94" s="606" t="s">
        <v>377</v>
      </c>
      <c r="AB94" s="606" t="str">
        <f t="shared" ref="AB94:AC94" si="111">AB96</f>
        <v>Coordinación, supervisión y tablets</v>
      </c>
      <c r="AC94" s="606" t="str">
        <f t="shared" si="111"/>
        <v>Total Mas 15-21%</v>
      </c>
      <c r="AD94" s="607" t="s">
        <v>378</v>
      </c>
      <c r="AE94" s="606" t="str">
        <f t="shared" ref="AE94:AF94" si="112">AE96</f>
        <v>Coordinación, supervisión y tablets</v>
      </c>
      <c r="AF94" s="606" t="str">
        <f t="shared" si="112"/>
        <v>Total Mas 10-14%</v>
      </c>
      <c r="AG94" s="606" t="s">
        <v>379</v>
      </c>
      <c r="AH94" s="606" t="str">
        <f t="shared" ref="AH94:AI94" si="113">AH96</f>
        <v>Coordinación, supervisión y tablets</v>
      </c>
      <c r="AI94" s="608" t="str">
        <f t="shared" si="113"/>
        <v>Total Mas 0-9%</v>
      </c>
    </row>
    <row r="95" spans="1:60" ht="30.75" thickBot="1">
      <c r="A95" s="440"/>
      <c r="B95">
        <v>1</v>
      </c>
      <c r="C95" s="596">
        <v>2</v>
      </c>
      <c r="D95" s="597">
        <v>3</v>
      </c>
      <c r="E95" s="597">
        <v>4</v>
      </c>
      <c r="F95" s="597">
        <v>5</v>
      </c>
      <c r="G95" s="597">
        <v>6</v>
      </c>
      <c r="H95" s="597">
        <v>7</v>
      </c>
      <c r="I95" s="597">
        <v>8</v>
      </c>
      <c r="J95" s="597">
        <v>9</v>
      </c>
      <c r="K95" s="598">
        <v>10</v>
      </c>
      <c r="L95" s="602">
        <v>11</v>
      </c>
      <c r="M95" s="603">
        <v>12</v>
      </c>
      <c r="N95" s="603">
        <v>13</v>
      </c>
      <c r="O95" s="603">
        <v>14</v>
      </c>
      <c r="P95" s="603">
        <v>15</v>
      </c>
      <c r="Q95" s="604">
        <v>16</v>
      </c>
      <c r="R95" s="609">
        <v>17</v>
      </c>
      <c r="S95" s="610">
        <v>18</v>
      </c>
      <c r="T95" s="610">
        <v>19</v>
      </c>
      <c r="U95" s="610">
        <v>20</v>
      </c>
      <c r="V95" s="610">
        <v>21</v>
      </c>
      <c r="W95" s="610">
        <v>22</v>
      </c>
      <c r="X95" s="610">
        <v>23</v>
      </c>
      <c r="Y95" s="610">
        <v>24</v>
      </c>
      <c r="Z95" s="610">
        <v>25</v>
      </c>
      <c r="AA95" s="610">
        <v>26</v>
      </c>
      <c r="AB95" s="610">
        <v>27</v>
      </c>
      <c r="AC95" s="610">
        <v>28</v>
      </c>
      <c r="AD95" s="610">
        <v>29</v>
      </c>
      <c r="AE95" s="610">
        <v>30</v>
      </c>
      <c r="AF95" s="610">
        <v>31</v>
      </c>
      <c r="AG95" s="610">
        <v>32</v>
      </c>
      <c r="AH95" s="610">
        <v>33</v>
      </c>
      <c r="AI95" s="611">
        <v>34</v>
      </c>
      <c r="AX95" s="103" t="s">
        <v>355</v>
      </c>
    </row>
    <row r="96" spans="1:60" ht="45">
      <c r="A96" s="440"/>
      <c r="B96" s="3" t="s">
        <v>356</v>
      </c>
      <c r="C96" s="3" t="s">
        <v>357</v>
      </c>
      <c r="D96" s="43" t="s">
        <v>358</v>
      </c>
      <c r="E96" s="31" t="s">
        <v>359</v>
      </c>
      <c r="F96" s="3" t="s">
        <v>360</v>
      </c>
      <c r="G96" s="43" t="s">
        <v>358</v>
      </c>
      <c r="H96" s="31" t="s">
        <v>361</v>
      </c>
      <c r="I96" s="3" t="s">
        <v>362</v>
      </c>
      <c r="J96" s="43" t="s">
        <v>358</v>
      </c>
      <c r="K96" s="31" t="s">
        <v>363</v>
      </c>
      <c r="L96" s="3" t="s">
        <v>364</v>
      </c>
      <c r="M96" s="43" t="s">
        <v>358</v>
      </c>
      <c r="N96" s="31" t="s">
        <v>365</v>
      </c>
      <c r="O96" s="3" t="s">
        <v>55</v>
      </c>
      <c r="P96" s="43" t="s">
        <v>358</v>
      </c>
      <c r="Q96" s="31" t="s">
        <v>366</v>
      </c>
      <c r="R96" s="3" t="s">
        <v>367</v>
      </c>
      <c r="S96" s="43" t="s">
        <v>358</v>
      </c>
      <c r="T96" s="31" t="s">
        <v>368</v>
      </c>
      <c r="U96" s="43">
        <f>+B287</f>
        <v>0</v>
      </c>
      <c r="V96" s="43" t="s">
        <v>358</v>
      </c>
      <c r="W96" s="31" t="s">
        <v>369</v>
      </c>
      <c r="X96" s="43">
        <f>+B288</f>
        <v>0</v>
      </c>
      <c r="Y96" s="43" t="s">
        <v>358</v>
      </c>
      <c r="Z96" s="31" t="s">
        <v>370</v>
      </c>
      <c r="AA96" s="43">
        <f>+B289</f>
        <v>0</v>
      </c>
      <c r="AB96" s="43" t="s">
        <v>358</v>
      </c>
      <c r="AC96" s="31" t="s">
        <v>371</v>
      </c>
      <c r="AD96" s="43">
        <f>+B290</f>
        <v>0</v>
      </c>
      <c r="AE96" s="43" t="s">
        <v>358</v>
      </c>
      <c r="AF96" s="31" t="s">
        <v>372</v>
      </c>
      <c r="AG96" s="43">
        <f>+B291</f>
        <v>0</v>
      </c>
      <c r="AH96" s="43" t="s">
        <v>358</v>
      </c>
      <c r="AI96" s="31" t="s">
        <v>373</v>
      </c>
      <c r="AL96" s="79" t="s">
        <v>374</v>
      </c>
      <c r="AM96" s="3" t="s">
        <v>357</v>
      </c>
      <c r="AN96" s="3" t="s">
        <v>360</v>
      </c>
      <c r="AO96" s="3" t="s">
        <v>362</v>
      </c>
      <c r="AP96" s="3" t="s">
        <v>364</v>
      </c>
      <c r="AQ96" s="3" t="s">
        <v>55</v>
      </c>
      <c r="AR96" s="11" t="s">
        <v>367</v>
      </c>
      <c r="AS96" s="11" t="s">
        <v>375</v>
      </c>
      <c r="AT96" s="11" t="s">
        <v>376</v>
      </c>
      <c r="AU96" s="11" t="s">
        <v>377</v>
      </c>
      <c r="AV96" s="11" t="s">
        <v>378</v>
      </c>
      <c r="AW96" s="11" t="s">
        <v>379</v>
      </c>
      <c r="AX96" s="103" t="s">
        <v>357</v>
      </c>
      <c r="AY96" s="104" t="s">
        <v>360</v>
      </c>
      <c r="AZ96" s="104" t="s">
        <v>362</v>
      </c>
      <c r="BA96" s="104" t="s">
        <v>364</v>
      </c>
      <c r="BB96" s="105" t="s">
        <v>55</v>
      </c>
      <c r="BC96" s="105" t="s">
        <v>367</v>
      </c>
      <c r="BD96" s="105" t="s">
        <v>375</v>
      </c>
      <c r="BE96" s="105" t="s">
        <v>376</v>
      </c>
      <c r="BF96" s="105" t="s">
        <v>377</v>
      </c>
      <c r="BG96" s="105" t="s">
        <v>378</v>
      </c>
      <c r="BH96" s="105" t="s">
        <v>379</v>
      </c>
    </row>
    <row r="97" spans="1:60">
      <c r="A97" s="440">
        <v>5</v>
      </c>
      <c r="B97" s="3" t="s">
        <v>380</v>
      </c>
      <c r="C97" s="80">
        <f>6026+((180)*30)</f>
        <v>11426</v>
      </c>
      <c r="D97" s="81">
        <v>13207</v>
      </c>
      <c r="E97" s="439">
        <v>20330</v>
      </c>
      <c r="F97" s="80">
        <f>6026+((180)*(30+$F$105))</f>
        <v>12326</v>
      </c>
      <c r="G97" s="81">
        <v>13207</v>
      </c>
      <c r="H97" s="86">
        <f>+E97+500</f>
        <v>20830</v>
      </c>
      <c r="I97" s="80">
        <f>6026+((180)*(30+I$105))</f>
        <v>13226</v>
      </c>
      <c r="J97" s="81">
        <v>13207</v>
      </c>
      <c r="K97" s="86">
        <f>+H97+500</f>
        <v>21330</v>
      </c>
      <c r="L97" s="80">
        <f>6026+((180)*(30+L$105))</f>
        <v>14126</v>
      </c>
      <c r="M97" s="81">
        <v>13307</v>
      </c>
      <c r="N97" s="86">
        <f>+K97+500</f>
        <v>21830</v>
      </c>
      <c r="O97" s="80">
        <f>6026+((180)*(30+O$105))</f>
        <v>15026</v>
      </c>
      <c r="P97" s="80">
        <v>13468</v>
      </c>
      <c r="Q97" s="86">
        <f>+N97+1000</f>
        <v>22830</v>
      </c>
      <c r="R97" s="80">
        <f>6026+((180)*(30+R$105))</f>
        <v>16826</v>
      </c>
      <c r="S97" s="80">
        <v>14105</v>
      </c>
      <c r="T97" s="86">
        <f>+Q97+1500</f>
        <v>24330</v>
      </c>
      <c r="U97" s="80">
        <f>6026+((180)*(30+U$105))</f>
        <v>18626</v>
      </c>
      <c r="V97" s="80">
        <v>15200</v>
      </c>
      <c r="W97" s="86">
        <f>+T97+3500</f>
        <v>27830</v>
      </c>
      <c r="X97" s="80">
        <f>6026+((180)*(30+X$105))</f>
        <v>20426</v>
      </c>
      <c r="Y97" s="80">
        <v>15200</v>
      </c>
      <c r="Z97" s="86">
        <f>+W97+3000</f>
        <v>30830</v>
      </c>
      <c r="AA97" s="80">
        <f>6026+((180)*(30+AA$105))</f>
        <v>22226</v>
      </c>
      <c r="AB97" s="80">
        <v>15200</v>
      </c>
      <c r="AC97" s="86">
        <f>+Z97+2500</f>
        <v>33330</v>
      </c>
      <c r="AD97" s="80">
        <f>6026+((180)*(30+AD$105))</f>
        <v>24026</v>
      </c>
      <c r="AE97" s="80">
        <v>15200</v>
      </c>
      <c r="AF97" s="86">
        <f>+AC97+2500</f>
        <v>35830</v>
      </c>
      <c r="AG97" s="80">
        <f>6026+((180)*(30+AG$105))</f>
        <v>25826</v>
      </c>
      <c r="AH97" s="80">
        <v>15200</v>
      </c>
      <c r="AI97" s="86">
        <f>+AF97+2500</f>
        <v>38330</v>
      </c>
      <c r="AL97" s="3" t="s">
        <v>380</v>
      </c>
      <c r="AM97" s="3"/>
      <c r="AN97" s="80">
        <f>+H97-E97</f>
        <v>500</v>
      </c>
      <c r="AO97" s="80">
        <f>+K97-H97</f>
        <v>500</v>
      </c>
      <c r="AP97" s="80">
        <f>+N97-K97</f>
        <v>500</v>
      </c>
      <c r="AQ97" s="80">
        <f>+Q97-N97</f>
        <v>1000</v>
      </c>
      <c r="AR97" s="80">
        <f t="shared" ref="AR97:AR99" si="114">+T97-Q97</f>
        <v>1500</v>
      </c>
      <c r="AS97" s="80">
        <f t="shared" ref="AS97:AS99" si="115">+W97-T97</f>
        <v>3500</v>
      </c>
      <c r="AT97" s="80">
        <f t="shared" ref="AT97:AT99" si="116">+Z97-W97</f>
        <v>3000</v>
      </c>
      <c r="AU97" s="80">
        <f t="shared" ref="AU97:AU99" si="117">+AC97-Z97</f>
        <v>2500</v>
      </c>
      <c r="AV97" s="80">
        <f t="shared" ref="AV97:AV99" si="118">+AF97-AC97</f>
        <v>2500</v>
      </c>
      <c r="AW97" s="80">
        <f t="shared" ref="AW97:AW99" si="119">+AI97-AF97</f>
        <v>2500</v>
      </c>
      <c r="AX97" s="88"/>
      <c r="AY97" s="88"/>
      <c r="AZ97" s="88"/>
      <c r="BA97" s="88"/>
      <c r="BB97" s="88"/>
      <c r="BC97" s="88"/>
      <c r="BD97" s="88"/>
      <c r="BE97" s="88"/>
      <c r="BF97" s="88"/>
      <c r="BG97" s="88"/>
      <c r="BH97" s="88"/>
    </row>
    <row r="98" spans="1:60">
      <c r="A98" s="440">
        <v>10</v>
      </c>
      <c r="B98" s="3" t="s">
        <v>39</v>
      </c>
      <c r="C98" s="80">
        <f>6026+((180)*40)</f>
        <v>13226</v>
      </c>
      <c r="D98" s="81">
        <v>13207</v>
      </c>
      <c r="E98" s="86">
        <f>+E97+1000</f>
        <v>21330</v>
      </c>
      <c r="F98" s="80">
        <f>6026+((180)*(40+$F$105))</f>
        <v>14126</v>
      </c>
      <c r="G98" s="81">
        <v>13207</v>
      </c>
      <c r="H98" s="86">
        <f t="shared" ref="H98:H104" si="120">+E98+500</f>
        <v>21830</v>
      </c>
      <c r="I98" s="80">
        <f>6026+((180)*(40+I$105))</f>
        <v>15026</v>
      </c>
      <c r="J98" s="81">
        <v>13207</v>
      </c>
      <c r="K98" s="86">
        <f t="shared" ref="K98:K104" si="121">+H98+500</f>
        <v>22330</v>
      </c>
      <c r="L98" s="80">
        <f>6026+((180)*(40+L$105))</f>
        <v>15926</v>
      </c>
      <c r="M98" s="81">
        <v>13307</v>
      </c>
      <c r="N98" s="86">
        <f t="shared" ref="N98:N104" si="122">+K98+500</f>
        <v>22830</v>
      </c>
      <c r="O98" s="80">
        <f>6026+((180)*(40+O$105))</f>
        <v>16826</v>
      </c>
      <c r="P98" s="80">
        <v>13468</v>
      </c>
      <c r="Q98" s="86">
        <f t="shared" ref="Q98:Q104" si="123">+N98+1000</f>
        <v>23830</v>
      </c>
      <c r="R98" s="80">
        <f>6026+((180)*(40+R$105))</f>
        <v>18626</v>
      </c>
      <c r="S98" s="80">
        <v>14105</v>
      </c>
      <c r="T98" s="86">
        <f t="shared" ref="T98:T104" si="124">+Q98+1500</f>
        <v>25330</v>
      </c>
      <c r="U98" s="80">
        <f>6026+((180)*(40+U$105))</f>
        <v>20426</v>
      </c>
      <c r="V98" s="80">
        <v>15200</v>
      </c>
      <c r="W98" s="86">
        <f t="shared" ref="W98:W104" si="125">+T98+3500</f>
        <v>28830</v>
      </c>
      <c r="X98" s="80">
        <f>6026+((180)*(40+X$105))</f>
        <v>22226</v>
      </c>
      <c r="Y98" s="80">
        <v>15200</v>
      </c>
      <c r="Z98" s="86">
        <f>+Z97+2000</f>
        <v>32830</v>
      </c>
      <c r="AA98" s="80">
        <f>6026+((180)*(40+AA$105))</f>
        <v>24026</v>
      </c>
      <c r="AB98" s="80">
        <v>15200</v>
      </c>
      <c r="AC98" s="86">
        <f>+AC97+2000</f>
        <v>35330</v>
      </c>
      <c r="AD98" s="80">
        <f>6026+((180)*(40+AD$105))</f>
        <v>25826</v>
      </c>
      <c r="AE98" s="80">
        <v>15200</v>
      </c>
      <c r="AF98" s="86">
        <f>+AF97+2000</f>
        <v>37830</v>
      </c>
      <c r="AG98" s="80">
        <f>6026+((180)*(40+AG$105))</f>
        <v>27626</v>
      </c>
      <c r="AH98" s="80">
        <v>15200</v>
      </c>
      <c r="AI98" s="86">
        <f>+AI97+2000</f>
        <v>40330</v>
      </c>
      <c r="AL98" s="3" t="s">
        <v>39</v>
      </c>
      <c r="AM98" s="3"/>
      <c r="AN98" s="80">
        <f t="shared" ref="AN98:AN99" si="126">+H98-E98</f>
        <v>500</v>
      </c>
      <c r="AO98" s="80">
        <f t="shared" ref="AO98:AO99" si="127">+K98-H98</f>
        <v>500</v>
      </c>
      <c r="AP98" s="80">
        <f t="shared" ref="AP98:AP99" si="128">+N98-K98</f>
        <v>500</v>
      </c>
      <c r="AQ98" s="80">
        <f t="shared" ref="AQ98:AQ99" si="129">+Q98-N98</f>
        <v>1000</v>
      </c>
      <c r="AR98" s="80">
        <f t="shared" si="114"/>
        <v>1500</v>
      </c>
      <c r="AS98" s="80">
        <f t="shared" si="115"/>
        <v>3500</v>
      </c>
      <c r="AT98" s="80">
        <f t="shared" si="116"/>
        <v>4000</v>
      </c>
      <c r="AU98" s="80">
        <f t="shared" si="117"/>
        <v>2500</v>
      </c>
      <c r="AV98" s="80">
        <f t="shared" si="118"/>
        <v>2500</v>
      </c>
      <c r="AW98" s="80">
        <f t="shared" si="119"/>
        <v>2500</v>
      </c>
      <c r="AX98" s="88">
        <f>+E98-E97</f>
        <v>1000</v>
      </c>
      <c r="AY98" s="88">
        <f>+H98-H97</f>
        <v>1000</v>
      </c>
      <c r="AZ98" s="88">
        <f>+K98-K97</f>
        <v>1000</v>
      </c>
      <c r="BA98" s="88">
        <f>+N98-N97</f>
        <v>1000</v>
      </c>
      <c r="BB98" s="88">
        <f>+Q98-Q97</f>
        <v>1000</v>
      </c>
      <c r="BC98" s="88">
        <f>+T98-T97</f>
        <v>1000</v>
      </c>
      <c r="BD98" s="88">
        <f>+W98-W97</f>
        <v>1000</v>
      </c>
      <c r="BE98" s="88">
        <f t="shared" ref="BE98:BE99" si="130">+Z98-Z97</f>
        <v>2000</v>
      </c>
      <c r="BF98" s="88">
        <f t="shared" ref="BF98:BF99" si="131">+AC98-AC97</f>
        <v>2000</v>
      </c>
      <c r="BG98" s="88">
        <f t="shared" ref="BG98:BG99" si="132">+AF98-AF97</f>
        <v>2000</v>
      </c>
      <c r="BH98" s="88">
        <f t="shared" ref="BH98:BH99" si="133">+AI98-AI97</f>
        <v>2000</v>
      </c>
    </row>
    <row r="99" spans="1:60">
      <c r="A99" s="440">
        <v>15</v>
      </c>
      <c r="B99" s="5" t="s">
        <v>534</v>
      </c>
      <c r="C99" s="84">
        <f>6026+((180)*50)</f>
        <v>15026</v>
      </c>
      <c r="D99" s="84">
        <v>13207</v>
      </c>
      <c r="E99" s="86">
        <f>+E98+1500</f>
        <v>22830</v>
      </c>
      <c r="F99" s="84">
        <f>6026+((180)*(50+$F$105))</f>
        <v>15926</v>
      </c>
      <c r="G99" s="84">
        <v>13207</v>
      </c>
      <c r="H99" s="86">
        <f t="shared" si="120"/>
        <v>23330</v>
      </c>
      <c r="I99" s="84">
        <f>6026+((180)*(50+I$105))</f>
        <v>16826</v>
      </c>
      <c r="J99" s="84">
        <v>13207</v>
      </c>
      <c r="K99" s="86">
        <f t="shared" si="121"/>
        <v>23830</v>
      </c>
      <c r="L99" s="84">
        <f>6026+((180)*(50+L$105))</f>
        <v>17726</v>
      </c>
      <c r="M99" s="84">
        <v>13307</v>
      </c>
      <c r="N99" s="86">
        <f t="shared" si="122"/>
        <v>24330</v>
      </c>
      <c r="O99" s="84">
        <f>6026+((180)*(50+O$105))</f>
        <v>18626</v>
      </c>
      <c r="P99" s="84">
        <v>13468</v>
      </c>
      <c r="Q99" s="86">
        <f t="shared" si="123"/>
        <v>25330</v>
      </c>
      <c r="R99" s="84">
        <f>6026+((180)*(50+R$105))</f>
        <v>20426</v>
      </c>
      <c r="S99" s="84">
        <v>14105</v>
      </c>
      <c r="T99" s="86">
        <f t="shared" si="124"/>
        <v>26830</v>
      </c>
      <c r="U99" s="84">
        <f>6026+((180)*(50+U$105))</f>
        <v>22226</v>
      </c>
      <c r="V99" s="84">
        <v>15200</v>
      </c>
      <c r="W99" s="86">
        <f t="shared" si="125"/>
        <v>30330</v>
      </c>
      <c r="X99" s="84">
        <f>6026+((180)*(50+X$105))</f>
        <v>24026</v>
      </c>
      <c r="Y99" s="84">
        <v>15200</v>
      </c>
      <c r="Z99" s="86">
        <f t="shared" ref="Z99:Z102" si="134">+Z98+2000</f>
        <v>34830</v>
      </c>
      <c r="AA99" s="84">
        <f>6026+((180)*(50+AA$105))</f>
        <v>25826</v>
      </c>
      <c r="AB99" s="84">
        <v>15200</v>
      </c>
      <c r="AC99" s="86">
        <f t="shared" ref="AC99:AC102" si="135">+AC98+2000</f>
        <v>37330</v>
      </c>
      <c r="AD99" s="84">
        <f>6026+((180)*(50+AD$105))</f>
        <v>27626</v>
      </c>
      <c r="AE99" s="84">
        <v>15200</v>
      </c>
      <c r="AF99" s="86">
        <f t="shared" ref="AF99:AF102" si="136">+AF98+2000</f>
        <v>39830</v>
      </c>
      <c r="AG99" s="84">
        <f>6026+((180)*(50+AG$105))</f>
        <v>29426</v>
      </c>
      <c r="AH99" s="84">
        <v>15200</v>
      </c>
      <c r="AI99" s="86">
        <f t="shared" ref="AI99:AI102" si="137">+AI98+2000</f>
        <v>42330</v>
      </c>
      <c r="AL99" s="5" t="s">
        <v>381</v>
      </c>
      <c r="AM99" s="3"/>
      <c r="AN99" s="80">
        <f t="shared" si="126"/>
        <v>500</v>
      </c>
      <c r="AO99" s="80">
        <f t="shared" si="127"/>
        <v>500</v>
      </c>
      <c r="AP99" s="80">
        <f t="shared" si="128"/>
        <v>500</v>
      </c>
      <c r="AQ99" s="80">
        <f t="shared" si="129"/>
        <v>1000</v>
      </c>
      <c r="AR99" s="80">
        <f t="shared" si="114"/>
        <v>1500</v>
      </c>
      <c r="AS99" s="80">
        <f t="shared" si="115"/>
        <v>3500</v>
      </c>
      <c r="AT99" s="80">
        <f t="shared" si="116"/>
        <v>4500</v>
      </c>
      <c r="AU99" s="80">
        <f t="shared" si="117"/>
        <v>2500</v>
      </c>
      <c r="AV99" s="80">
        <f t="shared" si="118"/>
        <v>2500</v>
      </c>
      <c r="AW99" s="80">
        <f t="shared" si="119"/>
        <v>2500</v>
      </c>
      <c r="AX99" s="88">
        <f t="shared" ref="AX99" si="138">+E99-E98</f>
        <v>1500</v>
      </c>
      <c r="AY99" s="88">
        <f t="shared" ref="AY99" si="139">+H99-H98</f>
        <v>1500</v>
      </c>
      <c r="AZ99" s="88">
        <f t="shared" ref="AZ99" si="140">+K99-K98</f>
        <v>1500</v>
      </c>
      <c r="BA99" s="88">
        <f t="shared" ref="BA99" si="141">+N99-N98</f>
        <v>1500</v>
      </c>
      <c r="BB99" s="88">
        <f t="shared" ref="BB99" si="142">+Q99-Q98</f>
        <v>1500</v>
      </c>
      <c r="BC99" s="88">
        <f t="shared" ref="BC99" si="143">+T99-T98</f>
        <v>1500</v>
      </c>
      <c r="BD99" s="88">
        <f t="shared" ref="BD99" si="144">+W99-W98</f>
        <v>1500</v>
      </c>
      <c r="BE99" s="88">
        <f t="shared" si="130"/>
        <v>2000</v>
      </c>
      <c r="BF99" s="88">
        <f t="shared" si="131"/>
        <v>2000</v>
      </c>
      <c r="BG99" s="88">
        <f t="shared" si="132"/>
        <v>2000</v>
      </c>
      <c r="BH99" s="88">
        <f t="shared" si="133"/>
        <v>2000</v>
      </c>
    </row>
    <row r="100" spans="1:60">
      <c r="A100" s="440">
        <v>20</v>
      </c>
      <c r="B100" s="5" t="s">
        <v>535</v>
      </c>
      <c r="C100" s="84">
        <f>6026+((180)*60)</f>
        <v>16826</v>
      </c>
      <c r="D100" s="84">
        <v>13207</v>
      </c>
      <c r="E100" s="86">
        <f>+E99+2000</f>
        <v>24830</v>
      </c>
      <c r="F100" s="84">
        <f>6026+((180)*(60+$F$105))</f>
        <v>17726</v>
      </c>
      <c r="G100" s="84">
        <v>13207</v>
      </c>
      <c r="H100" s="86">
        <f t="shared" si="120"/>
        <v>25330</v>
      </c>
      <c r="I100" s="84">
        <f>6026+((180)*(60+I$105))</f>
        <v>18626</v>
      </c>
      <c r="K100" s="86">
        <f t="shared" si="121"/>
        <v>25830</v>
      </c>
      <c r="L100" s="84">
        <f>6026+((180)*(60+L$105))</f>
        <v>19526</v>
      </c>
      <c r="M100" s="84">
        <v>13307</v>
      </c>
      <c r="N100" s="86">
        <f t="shared" si="122"/>
        <v>26330</v>
      </c>
      <c r="O100" s="84">
        <f>6026+((180)*(60+O$105))</f>
        <v>20426</v>
      </c>
      <c r="P100" s="84">
        <v>13468</v>
      </c>
      <c r="Q100" s="86">
        <f t="shared" si="123"/>
        <v>27330</v>
      </c>
      <c r="R100" s="84">
        <f>6026+((180)*(60+R$105))</f>
        <v>22226</v>
      </c>
      <c r="S100" s="84">
        <v>14105</v>
      </c>
      <c r="T100" s="86">
        <f t="shared" si="124"/>
        <v>28830</v>
      </c>
      <c r="U100" s="84">
        <f>6026+((180)*(60+U$105))</f>
        <v>24026</v>
      </c>
      <c r="V100" s="84">
        <v>15200</v>
      </c>
      <c r="W100" s="86">
        <f t="shared" si="125"/>
        <v>32330</v>
      </c>
      <c r="X100" s="84">
        <f>6026+((180)*(60+X$105))</f>
        <v>25826</v>
      </c>
      <c r="Y100" s="84">
        <v>15200</v>
      </c>
      <c r="Z100" s="86">
        <f t="shared" si="134"/>
        <v>36830</v>
      </c>
      <c r="AA100" s="84">
        <f>6026+((180)*(60+AA$105))</f>
        <v>27626</v>
      </c>
      <c r="AB100" s="84">
        <v>15200</v>
      </c>
      <c r="AC100" s="86">
        <f t="shared" si="135"/>
        <v>39330</v>
      </c>
      <c r="AD100" s="84">
        <f>6026+((180)*(60+AD$105))</f>
        <v>29426</v>
      </c>
      <c r="AE100" s="84">
        <v>15200</v>
      </c>
      <c r="AF100" s="86">
        <f t="shared" si="136"/>
        <v>41830</v>
      </c>
      <c r="AG100" s="84">
        <f>6026+((180)*(60+AG$105))</f>
        <v>31226</v>
      </c>
      <c r="AH100" s="84">
        <v>15200</v>
      </c>
      <c r="AI100" s="86">
        <f t="shared" si="137"/>
        <v>44330</v>
      </c>
      <c r="AL100" s="5"/>
      <c r="AM100" s="3"/>
      <c r="AN100" s="80"/>
      <c r="AO100" s="80"/>
      <c r="AP100" s="80"/>
      <c r="AQ100" s="80"/>
      <c r="AR100" s="80"/>
      <c r="AS100" s="80"/>
      <c r="AT100" s="80"/>
      <c r="AU100" s="80"/>
      <c r="AV100" s="80"/>
      <c r="AW100" s="80"/>
      <c r="AX100" s="88"/>
      <c r="AY100" s="88"/>
      <c r="AZ100" s="88"/>
      <c r="BA100" s="88"/>
      <c r="BB100" s="88"/>
      <c r="BC100" s="88"/>
      <c r="BD100" s="88"/>
      <c r="BE100" s="88"/>
      <c r="BF100" s="88"/>
      <c r="BG100" s="88"/>
      <c r="BH100" s="88"/>
    </row>
    <row r="101" spans="1:60">
      <c r="A101" s="440">
        <v>30</v>
      </c>
      <c r="B101" s="5" t="s">
        <v>382</v>
      </c>
      <c r="C101" s="84">
        <f>6026+((180)*70)</f>
        <v>18626</v>
      </c>
      <c r="D101" s="84">
        <v>13207</v>
      </c>
      <c r="E101" s="86">
        <f>+E100+2500</f>
        <v>27330</v>
      </c>
      <c r="F101" s="84">
        <f>6026+((180)*(70+$F$105))</f>
        <v>19526</v>
      </c>
      <c r="G101" s="84">
        <v>13207</v>
      </c>
      <c r="H101" s="86">
        <f t="shared" si="120"/>
        <v>27830</v>
      </c>
      <c r="I101" s="84">
        <f>6026+((180)*(70+I$105))</f>
        <v>20426</v>
      </c>
      <c r="J101" s="650">
        <v>1.9854166666666666</v>
      </c>
      <c r="K101" s="86">
        <f t="shared" si="121"/>
        <v>28330</v>
      </c>
      <c r="L101" s="84">
        <f>6026+((180)*(70+L$105))</f>
        <v>21326</v>
      </c>
      <c r="M101" s="84">
        <v>13307</v>
      </c>
      <c r="N101" s="86">
        <f t="shared" si="122"/>
        <v>28830</v>
      </c>
      <c r="O101" s="84">
        <f>6026+((180)*(70+O$105))</f>
        <v>22226</v>
      </c>
      <c r="P101" s="84">
        <v>13468</v>
      </c>
      <c r="Q101" s="86">
        <f t="shared" si="123"/>
        <v>29830</v>
      </c>
      <c r="R101" s="84">
        <f>6026+((180)*(70+R$105))</f>
        <v>24026</v>
      </c>
      <c r="S101" s="84">
        <v>14105</v>
      </c>
      <c r="T101" s="86">
        <f t="shared" si="124"/>
        <v>31330</v>
      </c>
      <c r="U101" s="84">
        <f>6026+((180)*(70+U$105))</f>
        <v>25826</v>
      </c>
      <c r="V101" s="84">
        <v>15200</v>
      </c>
      <c r="W101" s="86">
        <f t="shared" si="125"/>
        <v>34830</v>
      </c>
      <c r="X101" s="84">
        <f>6026+((180)*(70+X$105))</f>
        <v>27626</v>
      </c>
      <c r="Y101" s="84">
        <v>15200</v>
      </c>
      <c r="Z101" s="86">
        <f>+Z99+2000</f>
        <v>36830</v>
      </c>
      <c r="AA101" s="84">
        <f>6026+((180)*(70+AA$105))</f>
        <v>29426</v>
      </c>
      <c r="AB101" s="84">
        <v>15200</v>
      </c>
      <c r="AC101" s="86">
        <f>+AC99+2000</f>
        <v>39330</v>
      </c>
      <c r="AD101" s="84">
        <f>6026+((180)*(70+AD$105))</f>
        <v>31226</v>
      </c>
      <c r="AE101" s="84">
        <v>15200</v>
      </c>
      <c r="AF101" s="86">
        <f>+AF99+2000</f>
        <v>41830</v>
      </c>
      <c r="AG101" s="84">
        <f>6026+((180)*(70+AG$105))</f>
        <v>33026</v>
      </c>
      <c r="AH101" s="84">
        <v>15200</v>
      </c>
      <c r="AI101" s="86">
        <f>+AI99+2000</f>
        <v>44330</v>
      </c>
      <c r="AL101" s="5" t="s">
        <v>382</v>
      </c>
      <c r="AM101" s="3"/>
      <c r="AN101" s="80">
        <f t="shared" ref="AN101:AN104" si="145">+H101-E101</f>
        <v>500</v>
      </c>
      <c r="AO101" s="80">
        <f t="shared" ref="AO101:AO104" si="146">+K101-H101</f>
        <v>500</v>
      </c>
      <c r="AP101" s="80">
        <f t="shared" ref="AP101:AP104" si="147">+N101-K101</f>
        <v>500</v>
      </c>
      <c r="AQ101" s="80">
        <f t="shared" ref="AQ101:AQ104" si="148">+Q101-N101</f>
        <v>1000</v>
      </c>
      <c r="AR101" s="80">
        <f t="shared" ref="AR101:AR104" si="149">+T101-Q101</f>
        <v>1500</v>
      </c>
      <c r="AS101" s="80">
        <f t="shared" ref="AS101:AS104" si="150">+W101-T101</f>
        <v>3500</v>
      </c>
      <c r="AT101" s="80">
        <f t="shared" ref="AT101:AT104" si="151">+Z101-W101</f>
        <v>2000</v>
      </c>
      <c r="AU101" s="80">
        <f t="shared" ref="AU101:AU104" si="152">+AC101-Z101</f>
        <v>2500</v>
      </c>
      <c r="AV101" s="80">
        <f t="shared" ref="AV101:AV104" si="153">+AF101-AC101</f>
        <v>2500</v>
      </c>
      <c r="AW101" s="80">
        <f t="shared" ref="AW101:AW104" si="154">+AI101-AF101</f>
        <v>2500</v>
      </c>
      <c r="AX101" s="88">
        <f>+E101-E99</f>
        <v>4500</v>
      </c>
      <c r="AY101" s="88">
        <f>+H101-H99</f>
        <v>4500</v>
      </c>
      <c r="AZ101" s="88">
        <f>+K101-K99</f>
        <v>4500</v>
      </c>
      <c r="BA101" s="88">
        <f>+N101-N99</f>
        <v>4500</v>
      </c>
      <c r="BB101" s="88">
        <f>+Q101-Q99</f>
        <v>4500</v>
      </c>
      <c r="BC101" s="88">
        <f>+T101-T99</f>
        <v>4500</v>
      </c>
      <c r="BD101" s="88">
        <f>+W101-W99</f>
        <v>4500</v>
      </c>
      <c r="BE101" s="88">
        <f>+Z101-Z99</f>
        <v>2000</v>
      </c>
      <c r="BF101" s="88">
        <f>+AC101-AC99</f>
        <v>2000</v>
      </c>
      <c r="BG101" s="88">
        <f>+AF101-AF99</f>
        <v>2000</v>
      </c>
      <c r="BH101" s="88">
        <f>+AI101-AI99</f>
        <v>2000</v>
      </c>
    </row>
    <row r="102" spans="1:60" s="643" customFormat="1">
      <c r="A102" s="643">
        <v>40</v>
      </c>
      <c r="B102" s="644" t="s">
        <v>383</v>
      </c>
      <c r="C102" s="646">
        <f>6026+((180)*80)</f>
        <v>20426</v>
      </c>
      <c r="D102" s="646">
        <v>13207</v>
      </c>
      <c r="E102" s="647">
        <f>+E101+3000</f>
        <v>30330</v>
      </c>
      <c r="F102" s="646">
        <f>6026+((180)*(80+$F$105))</f>
        <v>21326</v>
      </c>
      <c r="G102" s="646">
        <v>13207</v>
      </c>
      <c r="H102" s="647">
        <f t="shared" si="120"/>
        <v>30830</v>
      </c>
      <c r="I102" s="646">
        <f>6026+((180)*(80+I$105))</f>
        <v>22226</v>
      </c>
      <c r="J102" s="646">
        <v>13207</v>
      </c>
      <c r="K102" s="647">
        <f t="shared" si="121"/>
        <v>31330</v>
      </c>
      <c r="L102" s="646">
        <f>6026+((180)*(80+L$105))</f>
        <v>23126</v>
      </c>
      <c r="M102" s="646">
        <v>13307</v>
      </c>
      <c r="N102" s="647">
        <f t="shared" si="122"/>
        <v>31830</v>
      </c>
      <c r="O102" s="646">
        <f>6026+((180)*(80+O$105))</f>
        <v>24026</v>
      </c>
      <c r="P102" s="646">
        <v>13468</v>
      </c>
      <c r="Q102" s="647">
        <f t="shared" si="123"/>
        <v>32830</v>
      </c>
      <c r="R102" s="646">
        <f>6026+((180)*(80+R$105))</f>
        <v>25826</v>
      </c>
      <c r="S102" s="646">
        <v>14105</v>
      </c>
      <c r="T102" s="647">
        <f t="shared" si="124"/>
        <v>34330</v>
      </c>
      <c r="U102" s="646">
        <f>6026+((180)*(80+U$105))</f>
        <v>27626</v>
      </c>
      <c r="V102" s="646">
        <v>15200</v>
      </c>
      <c r="W102" s="647">
        <f t="shared" si="125"/>
        <v>37830</v>
      </c>
      <c r="X102" s="646">
        <f>6026+((180)*(80+X$105))</f>
        <v>29426</v>
      </c>
      <c r="Y102" s="646">
        <v>15200</v>
      </c>
      <c r="Z102" s="647">
        <f t="shared" si="134"/>
        <v>38830</v>
      </c>
      <c r="AA102" s="646">
        <f>6026+((180)*(80+AA$105))</f>
        <v>31226</v>
      </c>
      <c r="AB102" s="646">
        <v>15200</v>
      </c>
      <c r="AC102" s="647">
        <f t="shared" si="135"/>
        <v>41330</v>
      </c>
      <c r="AD102" s="646">
        <f>6026+((180)*(80+AD$105))</f>
        <v>33026</v>
      </c>
      <c r="AE102" s="646">
        <v>15200</v>
      </c>
      <c r="AF102" s="647">
        <f t="shared" si="136"/>
        <v>43830</v>
      </c>
      <c r="AG102" s="646">
        <f>6026+((180)*(80+AG$105))</f>
        <v>34826</v>
      </c>
      <c r="AH102" s="646">
        <v>15200</v>
      </c>
      <c r="AI102" s="647">
        <f t="shared" si="137"/>
        <v>46330</v>
      </c>
      <c r="AL102" s="644" t="s">
        <v>383</v>
      </c>
      <c r="AM102" s="644"/>
      <c r="AN102" s="646">
        <f t="shared" si="145"/>
        <v>500</v>
      </c>
      <c r="AO102" s="646">
        <f t="shared" si="146"/>
        <v>500</v>
      </c>
      <c r="AP102" s="646">
        <f t="shared" si="147"/>
        <v>500</v>
      </c>
      <c r="AQ102" s="646">
        <f t="shared" si="148"/>
        <v>1000</v>
      </c>
      <c r="AR102" s="646">
        <f t="shared" si="149"/>
        <v>1500</v>
      </c>
      <c r="AS102" s="646">
        <f t="shared" si="150"/>
        <v>3500</v>
      </c>
      <c r="AT102" s="646">
        <f t="shared" si="151"/>
        <v>1000</v>
      </c>
      <c r="AU102" s="646">
        <f t="shared" si="152"/>
        <v>2500</v>
      </c>
      <c r="AV102" s="646">
        <f t="shared" si="153"/>
        <v>2500</v>
      </c>
      <c r="AW102" s="646">
        <f t="shared" si="154"/>
        <v>2500</v>
      </c>
      <c r="AX102" s="648">
        <f t="shared" ref="AX102:AX104" si="155">+E102-E101</f>
        <v>3000</v>
      </c>
      <c r="AY102" s="648">
        <f t="shared" ref="AY102:AY104" si="156">+H102-H101</f>
        <v>3000</v>
      </c>
      <c r="AZ102" s="648">
        <f t="shared" ref="AZ102:AZ104" si="157">+K102-K101</f>
        <v>3000</v>
      </c>
      <c r="BA102" s="648">
        <f t="shared" ref="BA102:BA104" si="158">+N102-N101</f>
        <v>3000</v>
      </c>
      <c r="BB102" s="648">
        <f t="shared" ref="BB102:BB104" si="159">+Q102-Q101</f>
        <v>3000</v>
      </c>
      <c r="BC102" s="648">
        <f t="shared" ref="BC102:BC104" si="160">+T102-T101</f>
        <v>3000</v>
      </c>
      <c r="BD102" s="648">
        <f t="shared" ref="BD102:BD104" si="161">+W102-W101</f>
        <v>3000</v>
      </c>
      <c r="BE102" s="648">
        <f t="shared" ref="BE102:BE104" si="162">+Z102-Z101</f>
        <v>2000</v>
      </c>
      <c r="BF102" s="648">
        <f t="shared" ref="BF102:BF104" si="163">+AC102-AC101</f>
        <v>2000</v>
      </c>
      <c r="BG102" s="648">
        <f t="shared" ref="BG102:BG104" si="164">+AF102-AF101</f>
        <v>2000</v>
      </c>
      <c r="BH102" s="648">
        <f t="shared" ref="BH102:BH104" si="165">+AI102-AI101</f>
        <v>2000</v>
      </c>
    </row>
    <row r="103" spans="1:60" s="643" customFormat="1">
      <c r="A103" s="643">
        <v>50</v>
      </c>
      <c r="B103" s="644" t="s">
        <v>384</v>
      </c>
      <c r="C103" s="646">
        <f>6026+((180)*90)</f>
        <v>22226</v>
      </c>
      <c r="D103" s="646">
        <v>13207</v>
      </c>
      <c r="E103" s="647">
        <f>+E102+3000</f>
        <v>33330</v>
      </c>
      <c r="F103" s="646">
        <f>6026+((180)*(90+$F$105))</f>
        <v>23126</v>
      </c>
      <c r="G103" s="646">
        <v>13207</v>
      </c>
      <c r="H103" s="647">
        <f t="shared" si="120"/>
        <v>33830</v>
      </c>
      <c r="I103" s="646">
        <f>6026+((180)*(90+I$105))</f>
        <v>24026</v>
      </c>
      <c r="J103" s="646">
        <v>13207</v>
      </c>
      <c r="K103" s="647">
        <f t="shared" si="121"/>
        <v>34330</v>
      </c>
      <c r="L103" s="646">
        <f>6026+((180)*(90+L$105))</f>
        <v>24926</v>
      </c>
      <c r="M103" s="646">
        <v>13307</v>
      </c>
      <c r="N103" s="647">
        <f t="shared" si="122"/>
        <v>34830</v>
      </c>
      <c r="O103" s="646">
        <f>6026+((180)*(90+O$105))</f>
        <v>25826</v>
      </c>
      <c r="P103" s="646">
        <v>13468</v>
      </c>
      <c r="Q103" s="647">
        <f t="shared" si="123"/>
        <v>35830</v>
      </c>
      <c r="R103" s="646">
        <f>6026+((180)*(90+R$105))</f>
        <v>27626</v>
      </c>
      <c r="S103" s="646">
        <v>14105</v>
      </c>
      <c r="T103" s="647">
        <f t="shared" si="124"/>
        <v>37330</v>
      </c>
      <c r="U103" s="646">
        <f>6026+((180)*(90+U$105))</f>
        <v>29426</v>
      </c>
      <c r="V103" s="646">
        <v>15200</v>
      </c>
      <c r="W103" s="647">
        <f t="shared" si="125"/>
        <v>40830</v>
      </c>
      <c r="X103" s="646">
        <f>6026+((180)*(90+X$105))</f>
        <v>31226</v>
      </c>
      <c r="Y103" s="646">
        <v>15200</v>
      </c>
      <c r="Z103" s="647">
        <f>+Z102+4000</f>
        <v>42830</v>
      </c>
      <c r="AA103" s="646">
        <f>6026+((180)*(90+AA$105))</f>
        <v>33026</v>
      </c>
      <c r="AB103" s="646">
        <v>15200</v>
      </c>
      <c r="AC103" s="647">
        <f>+AC102+4000</f>
        <v>45330</v>
      </c>
      <c r="AD103" s="646">
        <f>6026+((180)*(90+AD$105))</f>
        <v>34826</v>
      </c>
      <c r="AE103" s="646">
        <v>15200</v>
      </c>
      <c r="AF103" s="647">
        <f>+AF102+4000</f>
        <v>47830</v>
      </c>
      <c r="AG103" s="646">
        <f>6026+((180)*(90+AG$105))</f>
        <v>36626</v>
      </c>
      <c r="AH103" s="646">
        <v>15200</v>
      </c>
      <c r="AI103" s="647">
        <f>+AI102+4000</f>
        <v>50330</v>
      </c>
      <c r="AL103" s="644" t="s">
        <v>384</v>
      </c>
      <c r="AM103" s="644"/>
      <c r="AN103" s="646">
        <f t="shared" si="145"/>
        <v>500</v>
      </c>
      <c r="AO103" s="646">
        <f t="shared" si="146"/>
        <v>500</v>
      </c>
      <c r="AP103" s="646">
        <f t="shared" si="147"/>
        <v>500</v>
      </c>
      <c r="AQ103" s="646">
        <f t="shared" si="148"/>
        <v>1000</v>
      </c>
      <c r="AR103" s="646">
        <f t="shared" si="149"/>
        <v>1500</v>
      </c>
      <c r="AS103" s="646">
        <f t="shared" si="150"/>
        <v>3500</v>
      </c>
      <c r="AT103" s="646">
        <f t="shared" si="151"/>
        <v>2000</v>
      </c>
      <c r="AU103" s="646">
        <f t="shared" si="152"/>
        <v>2500</v>
      </c>
      <c r="AV103" s="646">
        <f t="shared" si="153"/>
        <v>2500</v>
      </c>
      <c r="AW103" s="646">
        <f t="shared" si="154"/>
        <v>2500</v>
      </c>
      <c r="AX103" s="648">
        <f t="shared" si="155"/>
        <v>3000</v>
      </c>
      <c r="AY103" s="648">
        <f t="shared" si="156"/>
        <v>3000</v>
      </c>
      <c r="AZ103" s="648">
        <f t="shared" si="157"/>
        <v>3000</v>
      </c>
      <c r="BA103" s="648">
        <f t="shared" si="158"/>
        <v>3000</v>
      </c>
      <c r="BB103" s="648">
        <f t="shared" si="159"/>
        <v>3000</v>
      </c>
      <c r="BC103" s="648">
        <f t="shared" si="160"/>
        <v>3000</v>
      </c>
      <c r="BD103" s="648">
        <f t="shared" si="161"/>
        <v>3000</v>
      </c>
      <c r="BE103" s="648">
        <f t="shared" si="162"/>
        <v>4000</v>
      </c>
      <c r="BF103" s="648">
        <f t="shared" si="163"/>
        <v>4000</v>
      </c>
      <c r="BG103" s="648">
        <f t="shared" si="164"/>
        <v>4000</v>
      </c>
      <c r="BH103" s="648">
        <f t="shared" si="165"/>
        <v>4000</v>
      </c>
    </row>
    <row r="104" spans="1:60" s="643" customFormat="1">
      <c r="A104" s="643">
        <v>60</v>
      </c>
      <c r="B104" s="644" t="s">
        <v>385</v>
      </c>
      <c r="C104" s="646">
        <f>6026+((180)*100)</f>
        <v>24026</v>
      </c>
      <c r="D104" s="646">
        <v>13207</v>
      </c>
      <c r="E104" s="647">
        <f>+E103+5000</f>
        <v>38330</v>
      </c>
      <c r="F104" s="646">
        <f>6026+((180)*(100+$F$105))</f>
        <v>24926</v>
      </c>
      <c r="G104" s="646">
        <v>13207</v>
      </c>
      <c r="H104" s="647">
        <f t="shared" si="120"/>
        <v>38830</v>
      </c>
      <c r="I104" s="646">
        <f>6026+((180)*(100+I$105))</f>
        <v>25826</v>
      </c>
      <c r="J104" s="646">
        <v>13207</v>
      </c>
      <c r="K104" s="647">
        <f t="shared" si="121"/>
        <v>39330</v>
      </c>
      <c r="L104" s="646">
        <f>6026+((180)*(100+L$105))</f>
        <v>26726</v>
      </c>
      <c r="M104" s="646">
        <v>13307</v>
      </c>
      <c r="N104" s="647">
        <f t="shared" si="122"/>
        <v>39830</v>
      </c>
      <c r="O104" s="646">
        <f>6026+((180)*(100+O$105))</f>
        <v>27626</v>
      </c>
      <c r="P104" s="646">
        <v>13468</v>
      </c>
      <c r="Q104" s="647">
        <f t="shared" si="123"/>
        <v>40830</v>
      </c>
      <c r="R104" s="646">
        <f>6026+((180)*(100+R$105))</f>
        <v>29426</v>
      </c>
      <c r="S104" s="646">
        <v>14105</v>
      </c>
      <c r="T104" s="647">
        <f t="shared" si="124"/>
        <v>42330</v>
      </c>
      <c r="U104" s="646">
        <f>6026+((180)*(100+U$105))</f>
        <v>31226</v>
      </c>
      <c r="V104" s="646">
        <v>15200</v>
      </c>
      <c r="W104" s="647">
        <f t="shared" si="125"/>
        <v>45830</v>
      </c>
      <c r="X104" s="646">
        <f>6026+((180)*(100+X$105))</f>
        <v>33026</v>
      </c>
      <c r="Y104" s="646">
        <v>15200</v>
      </c>
      <c r="Z104" s="647">
        <f>+Z103+4000</f>
        <v>46830</v>
      </c>
      <c r="AA104" s="646">
        <f>6026+((180)*(100+AA$105))</f>
        <v>34826</v>
      </c>
      <c r="AB104" s="646">
        <v>15200</v>
      </c>
      <c r="AC104" s="647">
        <f>+AC103+4000</f>
        <v>49330</v>
      </c>
      <c r="AD104" s="646">
        <f>6026+((180)*(100+AD$105))</f>
        <v>36626</v>
      </c>
      <c r="AE104" s="646">
        <v>15200</v>
      </c>
      <c r="AF104" s="647">
        <f>+AF103+4000</f>
        <v>51830</v>
      </c>
      <c r="AG104" s="646">
        <f>6026+((180)*(100+AG$105))</f>
        <v>38426</v>
      </c>
      <c r="AH104" s="646">
        <v>15200</v>
      </c>
      <c r="AI104" s="647">
        <f>+AI103+4000</f>
        <v>54330</v>
      </c>
      <c r="AL104" s="644" t="s">
        <v>385</v>
      </c>
      <c r="AM104" s="644"/>
      <c r="AN104" s="646">
        <f t="shared" si="145"/>
        <v>500</v>
      </c>
      <c r="AO104" s="646">
        <f t="shared" si="146"/>
        <v>500</v>
      </c>
      <c r="AP104" s="646">
        <f t="shared" si="147"/>
        <v>500</v>
      </c>
      <c r="AQ104" s="646">
        <f t="shared" si="148"/>
        <v>1000</v>
      </c>
      <c r="AR104" s="646">
        <f t="shared" si="149"/>
        <v>1500</v>
      </c>
      <c r="AS104" s="646">
        <f t="shared" si="150"/>
        <v>3500</v>
      </c>
      <c r="AT104" s="646">
        <f t="shared" si="151"/>
        <v>1000</v>
      </c>
      <c r="AU104" s="646">
        <f t="shared" si="152"/>
        <v>2500</v>
      </c>
      <c r="AV104" s="646">
        <f t="shared" si="153"/>
        <v>2500</v>
      </c>
      <c r="AW104" s="646">
        <f t="shared" si="154"/>
        <v>2500</v>
      </c>
      <c r="AX104" s="648">
        <f t="shared" si="155"/>
        <v>5000</v>
      </c>
      <c r="AY104" s="648">
        <f t="shared" si="156"/>
        <v>5000</v>
      </c>
      <c r="AZ104" s="648">
        <f t="shared" si="157"/>
        <v>5000</v>
      </c>
      <c r="BA104" s="648">
        <f t="shared" si="158"/>
        <v>5000</v>
      </c>
      <c r="BB104" s="648">
        <f t="shared" si="159"/>
        <v>5000</v>
      </c>
      <c r="BC104" s="648">
        <f t="shared" si="160"/>
        <v>5000</v>
      </c>
      <c r="BD104" s="648">
        <f t="shared" si="161"/>
        <v>5000</v>
      </c>
      <c r="BE104" s="648">
        <f t="shared" si="162"/>
        <v>4000</v>
      </c>
      <c r="BF104" s="648">
        <f t="shared" si="163"/>
        <v>4000</v>
      </c>
      <c r="BG104" s="648">
        <f t="shared" si="164"/>
        <v>4000</v>
      </c>
      <c r="BH104" s="648">
        <f t="shared" si="165"/>
        <v>4000</v>
      </c>
    </row>
    <row r="105" spans="1:60" ht="18.75">
      <c r="A105" s="583"/>
      <c r="B105" s="583"/>
      <c r="C105" s="583"/>
      <c r="D105" s="583"/>
      <c r="E105" s="583"/>
      <c r="F105" s="651">
        <v>5</v>
      </c>
      <c r="G105" s="583"/>
      <c r="H105" s="583"/>
      <c r="I105" s="583">
        <v>10</v>
      </c>
      <c r="J105" s="583"/>
      <c r="L105">
        <v>15</v>
      </c>
      <c r="O105">
        <v>20</v>
      </c>
      <c r="R105">
        <v>30</v>
      </c>
      <c r="U105">
        <v>40</v>
      </c>
      <c r="X105">
        <v>50</v>
      </c>
      <c r="AA105">
        <v>60</v>
      </c>
      <c r="AD105">
        <v>70</v>
      </c>
      <c r="AG105">
        <v>80</v>
      </c>
    </row>
    <row r="106" spans="1:60" ht="18.75">
      <c r="A106" s="583"/>
      <c r="B106" s="583"/>
      <c r="C106" s="583"/>
      <c r="D106" s="583"/>
      <c r="E106" s="583"/>
      <c r="F106" s="649"/>
      <c r="G106" s="583"/>
      <c r="H106" s="583"/>
      <c r="I106" s="649"/>
      <c r="J106" s="583"/>
    </row>
    <row r="107" spans="1:60" ht="28.5">
      <c r="A107" s="1364" t="s">
        <v>1395</v>
      </c>
      <c r="B107" s="1364"/>
      <c r="C107" s="1364"/>
      <c r="D107" s="1364"/>
      <c r="E107" s="1364"/>
      <c r="F107" s="1364"/>
      <c r="G107" s="1364"/>
      <c r="H107" s="1364"/>
      <c r="I107" s="1364"/>
      <c r="J107" s="1364"/>
      <c r="K107" s="1364"/>
      <c r="L107" s="1364"/>
      <c r="M107" s="1364"/>
    </row>
    <row r="108" spans="1:60" ht="28.5">
      <c r="B108" s="641"/>
      <c r="C108" s="641"/>
      <c r="D108" s="641"/>
      <c r="E108" s="641"/>
      <c r="F108" s="641"/>
      <c r="G108" s="641"/>
      <c r="H108" s="641"/>
      <c r="I108" s="641"/>
      <c r="J108" s="641"/>
      <c r="K108" s="641"/>
      <c r="L108" s="641"/>
      <c r="M108" s="641"/>
      <c r="N108" s="641"/>
    </row>
    <row r="109" spans="1:60" ht="45">
      <c r="B109" s="757" t="s">
        <v>1487</v>
      </c>
      <c r="C109" s="757" t="s">
        <v>1488</v>
      </c>
      <c r="D109" s="757" t="s">
        <v>1489</v>
      </c>
      <c r="E109" s="756" t="s">
        <v>1490</v>
      </c>
      <c r="F109" s="756" t="s">
        <v>1491</v>
      </c>
      <c r="I109" s="751"/>
      <c r="J109" s="1358" t="s">
        <v>1475</v>
      </c>
      <c r="K109" s="1358"/>
    </row>
    <row r="110" spans="1:60">
      <c r="B110" s="766" t="s">
        <v>1492</v>
      </c>
      <c r="C110" s="758">
        <v>22000</v>
      </c>
      <c r="D110" s="759">
        <v>35000</v>
      </c>
      <c r="E110" s="3" t="s">
        <v>1493</v>
      </c>
      <c r="F110" s="1360" t="s">
        <v>1494</v>
      </c>
      <c r="I110" s="751"/>
      <c r="J110" s="752" t="s">
        <v>1476</v>
      </c>
      <c r="K110" s="752" t="s">
        <v>1477</v>
      </c>
    </row>
    <row r="111" spans="1:60">
      <c r="B111" s="766" t="s">
        <v>1495</v>
      </c>
      <c r="C111" s="758">
        <v>28001</v>
      </c>
      <c r="D111" s="759">
        <v>35000</v>
      </c>
      <c r="E111" s="3" t="s">
        <v>1496</v>
      </c>
      <c r="F111" s="1360"/>
      <c r="I111" s="753" t="s">
        <v>1478</v>
      </c>
      <c r="J111" s="754">
        <v>220000</v>
      </c>
      <c r="K111" s="754">
        <v>283000</v>
      </c>
    </row>
    <row r="112" spans="1:60">
      <c r="B112" s="766" t="s">
        <v>1497</v>
      </c>
      <c r="C112" s="758">
        <v>35001</v>
      </c>
      <c r="D112" s="759">
        <v>50000</v>
      </c>
      <c r="E112" s="3" t="s">
        <v>1498</v>
      </c>
      <c r="F112" s="1360"/>
      <c r="I112" s="753" t="s">
        <v>1479</v>
      </c>
      <c r="J112" s="754">
        <v>283001</v>
      </c>
      <c r="K112" s="754">
        <v>355000</v>
      </c>
    </row>
    <row r="113" spans="1:18">
      <c r="B113" s="766" t="s">
        <v>1499</v>
      </c>
      <c r="C113" s="758">
        <v>45001</v>
      </c>
      <c r="D113" s="759">
        <v>52000</v>
      </c>
      <c r="E113" s="3" t="s">
        <v>1500</v>
      </c>
      <c r="F113" s="1360"/>
      <c r="I113" s="753" t="s">
        <v>1480</v>
      </c>
      <c r="J113" s="754">
        <v>355001</v>
      </c>
      <c r="K113" s="754">
        <v>480000</v>
      </c>
    </row>
    <row r="114" spans="1:18">
      <c r="B114" s="766" t="s">
        <v>1501</v>
      </c>
      <c r="C114" s="758">
        <v>52001</v>
      </c>
      <c r="D114" s="759">
        <v>60000</v>
      </c>
      <c r="E114" s="3" t="s">
        <v>1502</v>
      </c>
      <c r="F114" s="1360"/>
    </row>
    <row r="115" spans="1:18">
      <c r="B115" s="766" t="s">
        <v>1503</v>
      </c>
      <c r="C115" s="758">
        <v>60001</v>
      </c>
      <c r="D115" s="759">
        <v>90000</v>
      </c>
      <c r="E115" s="3" t="s">
        <v>1504</v>
      </c>
      <c r="F115" s="1360"/>
    </row>
    <row r="116" spans="1:18">
      <c r="B116" s="766" t="s">
        <v>1564</v>
      </c>
      <c r="C116" s="758">
        <v>20000</v>
      </c>
      <c r="D116" s="759">
        <v>24000</v>
      </c>
      <c r="E116" s="3" t="s">
        <v>1505</v>
      </c>
      <c r="F116" s="1360"/>
    </row>
    <row r="117" spans="1:18">
      <c r="B117" s="766" t="s">
        <v>1563</v>
      </c>
      <c r="C117" s="758">
        <v>20000</v>
      </c>
      <c r="D117" s="759">
        <v>24000</v>
      </c>
      <c r="E117" s="3" t="s">
        <v>1505</v>
      </c>
      <c r="F117" s="1360"/>
    </row>
    <row r="118" spans="1:18">
      <c r="B118" s="806" t="s">
        <v>1506</v>
      </c>
      <c r="C118" s="807">
        <v>28001</v>
      </c>
      <c r="D118" s="808">
        <v>35000</v>
      </c>
      <c r="E118" s="58" t="s">
        <v>1507</v>
      </c>
      <c r="F118" s="1300"/>
    </row>
    <row r="119" spans="1:18">
      <c r="B119" s="766" t="s">
        <v>1565</v>
      </c>
      <c r="C119" s="759">
        <v>0</v>
      </c>
      <c r="D119" s="759">
        <v>0</v>
      </c>
      <c r="E119" s="3"/>
      <c r="F119" s="3"/>
    </row>
    <row r="120" spans="1:18">
      <c r="B120" s="765">
        <v>1</v>
      </c>
      <c r="C120" s="760">
        <v>2</v>
      </c>
      <c r="D120" s="760">
        <v>3</v>
      </c>
      <c r="E120">
        <v>4</v>
      </c>
      <c r="F120">
        <v>5</v>
      </c>
      <c r="G120">
        <v>6</v>
      </c>
      <c r="H120">
        <v>1</v>
      </c>
      <c r="I120">
        <v>2</v>
      </c>
      <c r="J120">
        <v>3</v>
      </c>
      <c r="K120">
        <v>4</v>
      </c>
      <c r="L120">
        <v>5</v>
      </c>
      <c r="M120">
        <v>6</v>
      </c>
    </row>
    <row r="121" spans="1:18" ht="79.5" customHeight="1">
      <c r="B121" s="805"/>
      <c r="C121" s="1377" t="s">
        <v>1566</v>
      </c>
      <c r="D121" s="1377"/>
      <c r="E121" s="641"/>
      <c r="F121" s="1375" t="s">
        <v>1555</v>
      </c>
      <c r="G121" s="1375" t="s">
        <v>92</v>
      </c>
      <c r="H121" s="819" t="s">
        <v>79</v>
      </c>
      <c r="I121" s="820" t="s">
        <v>1569</v>
      </c>
      <c r="J121" s="820" t="s">
        <v>1570</v>
      </c>
      <c r="K121" s="821" t="s">
        <v>1571</v>
      </c>
      <c r="L121" s="821" t="s">
        <v>1537</v>
      </c>
      <c r="M121" s="821" t="s">
        <v>1554</v>
      </c>
      <c r="N121" s="812"/>
      <c r="O121" s="1359" t="s">
        <v>1481</v>
      </c>
      <c r="P121" s="1362" t="s">
        <v>1482</v>
      </c>
      <c r="Q121" s="1362"/>
      <c r="R121" s="1362"/>
    </row>
    <row r="122" spans="1:18" ht="28.5">
      <c r="A122" s="641"/>
      <c r="B122" s="82" t="s">
        <v>1436</v>
      </c>
      <c r="C122" s="749" t="s">
        <v>1471</v>
      </c>
      <c r="D122" s="749" t="s">
        <v>1472</v>
      </c>
      <c r="E122" s="641"/>
      <c r="F122" s="1376"/>
      <c r="G122" s="1376"/>
      <c r="H122" s="3">
        <v>50</v>
      </c>
      <c r="I122" s="3">
        <v>10</v>
      </c>
      <c r="J122" s="3">
        <v>8</v>
      </c>
      <c r="K122" s="3">
        <v>1</v>
      </c>
      <c r="L122" s="811">
        <v>30000</v>
      </c>
      <c r="M122" s="817">
        <f>1*300000</f>
        <v>300000</v>
      </c>
      <c r="N122" s="813"/>
      <c r="O122" s="1359"/>
      <c r="P122" s="1362" t="s">
        <v>1483</v>
      </c>
      <c r="Q122" s="1362"/>
      <c r="R122" s="1362"/>
    </row>
    <row r="123" spans="1:18" ht="18.75">
      <c r="A123" s="804">
        <v>1</v>
      </c>
      <c r="B123" s="3" t="s">
        <v>1492</v>
      </c>
      <c r="C123" s="750">
        <v>2</v>
      </c>
      <c r="D123" s="750">
        <v>1</v>
      </c>
      <c r="E123" s="804">
        <v>1</v>
      </c>
      <c r="F123" s="818">
        <v>30000</v>
      </c>
      <c r="G123" s="818">
        <v>20000</v>
      </c>
      <c r="H123" s="3">
        <v>100</v>
      </c>
      <c r="I123" s="3">
        <v>12</v>
      </c>
      <c r="J123" s="3">
        <v>10</v>
      </c>
      <c r="K123" s="3">
        <v>1</v>
      </c>
      <c r="L123" s="811">
        <v>50000</v>
      </c>
      <c r="M123" s="817">
        <f>2*300000</f>
        <v>600000</v>
      </c>
      <c r="N123" s="813"/>
      <c r="O123" s="1359"/>
      <c r="P123" s="1362" t="s">
        <v>1484</v>
      </c>
      <c r="Q123" s="1362"/>
      <c r="R123" s="1362"/>
    </row>
    <row r="124" spans="1:18" ht="28.5">
      <c r="A124" s="804">
        <v>1</v>
      </c>
      <c r="B124" s="3" t="s">
        <v>1499</v>
      </c>
      <c r="C124" s="750">
        <v>2</v>
      </c>
      <c r="D124" s="750">
        <v>1</v>
      </c>
      <c r="E124" s="804">
        <v>1</v>
      </c>
      <c r="F124" s="818">
        <v>35000</v>
      </c>
      <c r="G124" s="818">
        <v>20000</v>
      </c>
      <c r="H124" s="3">
        <v>200</v>
      </c>
      <c r="I124" s="3">
        <v>20</v>
      </c>
      <c r="J124" s="3">
        <v>20</v>
      </c>
      <c r="K124" s="3">
        <v>1.5</v>
      </c>
      <c r="L124" s="811">
        <v>100000</v>
      </c>
      <c r="M124" s="817">
        <f>3*300000</f>
        <v>900000</v>
      </c>
      <c r="N124" s="641"/>
      <c r="O124" s="1361" t="s">
        <v>470</v>
      </c>
      <c r="P124" s="1362" t="s">
        <v>1482</v>
      </c>
      <c r="Q124" s="1362"/>
      <c r="R124" s="1362"/>
    </row>
    <row r="125" spans="1:18" ht="28.5">
      <c r="A125" s="804">
        <v>1</v>
      </c>
      <c r="B125" s="3" t="s">
        <v>1564</v>
      </c>
      <c r="C125" s="750">
        <v>2</v>
      </c>
      <c r="D125" s="750">
        <v>1</v>
      </c>
      <c r="E125" s="804">
        <v>1</v>
      </c>
      <c r="F125" s="818">
        <v>15000</v>
      </c>
      <c r="G125" s="818">
        <v>20000</v>
      </c>
      <c r="H125" s="3">
        <v>300</v>
      </c>
      <c r="I125" s="3">
        <v>30</v>
      </c>
      <c r="J125" s="3">
        <v>30</v>
      </c>
      <c r="K125" s="3">
        <v>2</v>
      </c>
      <c r="L125" s="811">
        <v>100000</v>
      </c>
      <c r="M125" s="817">
        <f>4*300000</f>
        <v>1200000</v>
      </c>
      <c r="N125" s="641"/>
      <c r="O125" s="1361"/>
      <c r="P125" s="1362" t="s">
        <v>1485</v>
      </c>
      <c r="Q125" s="1362"/>
      <c r="R125" s="1362"/>
    </row>
    <row r="126" spans="1:18" ht="28.5" customHeight="1">
      <c r="A126" s="804">
        <v>2</v>
      </c>
      <c r="B126" s="3" t="s">
        <v>1495</v>
      </c>
      <c r="C126" s="750">
        <v>3</v>
      </c>
      <c r="D126" s="750" t="s">
        <v>1473</v>
      </c>
      <c r="E126" s="804">
        <v>2</v>
      </c>
      <c r="F126" s="818">
        <v>35000</v>
      </c>
      <c r="G126" s="818">
        <v>30000</v>
      </c>
      <c r="H126" s="1300" t="s">
        <v>1556</v>
      </c>
      <c r="J126">
        <f>+H123/J123</f>
        <v>10</v>
      </c>
      <c r="L126" s="641"/>
      <c r="M126" s="641"/>
      <c r="N126" s="641"/>
      <c r="O126" s="1361"/>
      <c r="P126" s="1362" t="s">
        <v>1486</v>
      </c>
      <c r="Q126" s="1362"/>
      <c r="R126" s="1362"/>
    </row>
    <row r="127" spans="1:18" ht="48">
      <c r="A127" s="804">
        <v>2</v>
      </c>
      <c r="B127" s="3" t="s">
        <v>1501</v>
      </c>
      <c r="C127" s="750">
        <v>3</v>
      </c>
      <c r="D127" s="750" t="s">
        <v>1473</v>
      </c>
      <c r="E127" s="804">
        <v>2</v>
      </c>
      <c r="F127" s="818">
        <v>45000</v>
      </c>
      <c r="G127" s="818">
        <v>30000</v>
      </c>
      <c r="H127" s="1301"/>
      <c r="L127" s="641"/>
      <c r="M127" s="641"/>
      <c r="N127" s="641"/>
      <c r="O127" s="1361" t="s">
        <v>1512</v>
      </c>
      <c r="P127" s="762" t="s">
        <v>1513</v>
      </c>
      <c r="Q127" s="762" t="s">
        <v>1514</v>
      </c>
      <c r="R127" s="761" t="s">
        <v>1510</v>
      </c>
    </row>
    <row r="128" spans="1:18" ht="28.5">
      <c r="A128" s="804">
        <v>2</v>
      </c>
      <c r="B128" s="3" t="s">
        <v>1563</v>
      </c>
      <c r="C128" s="750">
        <v>3</v>
      </c>
      <c r="D128" s="750" t="s">
        <v>1473</v>
      </c>
      <c r="E128" s="804">
        <v>2</v>
      </c>
      <c r="F128" s="818">
        <v>20000</v>
      </c>
      <c r="G128" s="818">
        <v>30000</v>
      </c>
      <c r="H128" s="1301"/>
      <c r="L128" s="641"/>
      <c r="M128" s="641"/>
      <c r="N128" s="641"/>
      <c r="O128" s="1361"/>
      <c r="P128" s="1360" t="s">
        <v>1515</v>
      </c>
      <c r="Q128" s="1360" t="s">
        <v>1516</v>
      </c>
      <c r="R128" s="3" t="s">
        <v>1517</v>
      </c>
    </row>
    <row r="129" spans="1:18" ht="28.5">
      <c r="A129" s="804">
        <v>3</v>
      </c>
      <c r="B129" s="3" t="s">
        <v>1497</v>
      </c>
      <c r="C129" s="750">
        <v>4</v>
      </c>
      <c r="D129" s="750" t="s">
        <v>1474</v>
      </c>
      <c r="E129" s="804">
        <v>3</v>
      </c>
      <c r="F129" s="818">
        <v>45000</v>
      </c>
      <c r="G129" s="818">
        <v>40000</v>
      </c>
      <c r="H129" s="1301"/>
      <c r="L129" s="641"/>
      <c r="M129" s="641"/>
      <c r="N129" s="641"/>
      <c r="O129" s="1361"/>
      <c r="P129" s="1360"/>
      <c r="Q129" s="1360"/>
      <c r="R129" s="3" t="s">
        <v>1518</v>
      </c>
    </row>
    <row r="130" spans="1:18" ht="28.5">
      <c r="A130" s="804">
        <v>3</v>
      </c>
      <c r="B130" s="3" t="s">
        <v>1503</v>
      </c>
      <c r="C130" s="750">
        <v>4</v>
      </c>
      <c r="D130" s="750" t="s">
        <v>1474</v>
      </c>
      <c r="E130" s="804">
        <v>3</v>
      </c>
      <c r="F130" s="818">
        <v>60000</v>
      </c>
      <c r="G130" s="818">
        <v>40000</v>
      </c>
      <c r="H130" s="1301"/>
      <c r="L130" s="641"/>
      <c r="M130" s="641"/>
      <c r="N130" s="641"/>
      <c r="O130" s="1361"/>
      <c r="P130" s="1360"/>
      <c r="Q130" s="1360"/>
      <c r="R130" s="3" t="s">
        <v>1519</v>
      </c>
    </row>
    <row r="131" spans="1:18" ht="28.5">
      <c r="A131" s="804">
        <v>3</v>
      </c>
      <c r="B131" s="3" t="s">
        <v>1506</v>
      </c>
      <c r="C131" s="750">
        <v>4</v>
      </c>
      <c r="D131" s="750" t="s">
        <v>1474</v>
      </c>
      <c r="E131" s="804">
        <v>3</v>
      </c>
      <c r="F131" s="818">
        <v>25000</v>
      </c>
      <c r="G131" s="818">
        <v>40000</v>
      </c>
      <c r="H131" s="1301"/>
      <c r="L131" s="641"/>
      <c r="M131" s="641"/>
      <c r="N131" s="641"/>
      <c r="O131" s="1361" t="s">
        <v>1520</v>
      </c>
      <c r="P131" s="761" t="s">
        <v>1513</v>
      </c>
      <c r="Q131" s="761" t="s">
        <v>1521</v>
      </c>
      <c r="R131" s="641"/>
    </row>
    <row r="132" spans="1:18" ht="28.5">
      <c r="A132" s="804">
        <v>0</v>
      </c>
      <c r="B132" s="3" t="s">
        <v>1565</v>
      </c>
      <c r="C132" s="750"/>
      <c r="D132" s="750"/>
      <c r="E132" s="804">
        <v>0</v>
      </c>
      <c r="F132" s="818">
        <v>0</v>
      </c>
      <c r="G132" s="823"/>
      <c r="H132" s="1302"/>
      <c r="I132" s="641"/>
      <c r="J132" s="641"/>
      <c r="K132" s="641"/>
      <c r="L132" s="641"/>
      <c r="M132" s="641"/>
      <c r="N132" s="641"/>
      <c r="O132" s="1361" t="s">
        <v>1522</v>
      </c>
      <c r="P132" s="20" t="s">
        <v>1523</v>
      </c>
      <c r="Q132" s="20" t="s">
        <v>1524</v>
      </c>
      <c r="R132" s="641"/>
    </row>
    <row r="133" spans="1:18" ht="15" customHeight="1">
      <c r="A133" s="755"/>
      <c r="G133" s="641"/>
      <c r="H133" s="641"/>
      <c r="I133" s="641"/>
      <c r="J133" s="641"/>
      <c r="K133" s="641"/>
      <c r="L133" s="641"/>
      <c r="N133" s="757" t="s">
        <v>1525</v>
      </c>
      <c r="O133" s="761" t="s">
        <v>1513</v>
      </c>
      <c r="P133" s="761" t="s">
        <v>1526</v>
      </c>
      <c r="Q133" s="761" t="s">
        <v>1510</v>
      </c>
    </row>
    <row r="134" spans="1:18">
      <c r="A134" s="765"/>
      <c r="M134" s="757"/>
      <c r="N134" s="1300" t="s">
        <v>1515</v>
      </c>
      <c r="O134" s="1300" t="s">
        <v>1516</v>
      </c>
      <c r="P134" s="3" t="s">
        <v>1517</v>
      </c>
    </row>
    <row r="135" spans="1:18">
      <c r="B135" s="757" t="s">
        <v>1572</v>
      </c>
      <c r="C135" s="761" t="s">
        <v>1508</v>
      </c>
      <c r="D135" s="761" t="s">
        <v>1509</v>
      </c>
      <c r="E135" s="761" t="s">
        <v>1510</v>
      </c>
      <c r="M135" s="757"/>
      <c r="N135" s="1302"/>
      <c r="O135" s="1302"/>
      <c r="P135" s="3" t="s">
        <v>1527</v>
      </c>
    </row>
    <row r="136" spans="1:18">
      <c r="B136" s="809" t="s">
        <v>1511</v>
      </c>
      <c r="C136" s="80">
        <v>22000</v>
      </c>
      <c r="D136" s="80">
        <v>18000</v>
      </c>
      <c r="E136" s="20"/>
    </row>
    <row r="137" spans="1:18" ht="105">
      <c r="B137" s="809" t="s">
        <v>1574</v>
      </c>
      <c r="C137" s="80">
        <v>18000</v>
      </c>
      <c r="D137" s="80">
        <v>16000</v>
      </c>
      <c r="E137" s="810" t="s">
        <v>1573</v>
      </c>
    </row>
    <row r="138" spans="1:18">
      <c r="B138" s="765"/>
    </row>
    <row r="139" spans="1:18">
      <c r="B139" s="765"/>
    </row>
    <row r="140" spans="1:18">
      <c r="B140" s="765"/>
      <c r="C140" s="763" t="s">
        <v>1469</v>
      </c>
      <c r="D140" s="763" t="s">
        <v>1470</v>
      </c>
    </row>
    <row r="141" spans="1:18" ht="30">
      <c r="B141" s="767" t="s">
        <v>1528</v>
      </c>
      <c r="C141" s="20" t="s">
        <v>1529</v>
      </c>
      <c r="D141" s="20" t="s">
        <v>1530</v>
      </c>
    </row>
    <row r="142" spans="1:18">
      <c r="B142" s="765"/>
    </row>
    <row r="143" spans="1:18">
      <c r="B143" s="767" t="s">
        <v>1531</v>
      </c>
      <c r="C143" s="1363" t="s">
        <v>1532</v>
      </c>
      <c r="D143" s="1363"/>
      <c r="E143" t="s">
        <v>1533</v>
      </c>
    </row>
    <row r="144" spans="1:18">
      <c r="B144" s="765"/>
    </row>
    <row r="145" spans="2:6">
      <c r="B145" s="765"/>
    </row>
    <row r="146" spans="2:6">
      <c r="B146" s="765"/>
      <c r="E146" s="814" t="s">
        <v>1510</v>
      </c>
    </row>
    <row r="147" spans="2:6" ht="66" customHeight="1">
      <c r="B147" s="757" t="s">
        <v>1534</v>
      </c>
      <c r="C147" s="3" t="s">
        <v>1535</v>
      </c>
      <c r="D147" s="3"/>
      <c r="E147" s="816" t="s">
        <v>1536</v>
      </c>
      <c r="F147" s="815"/>
    </row>
    <row r="148" spans="2:6">
      <c r="B148" s="765"/>
      <c r="F148" s="802"/>
    </row>
    <row r="149" spans="2:6">
      <c r="B149" s="765"/>
    </row>
    <row r="150" spans="2:6">
      <c r="B150" s="1361" t="s">
        <v>1538</v>
      </c>
      <c r="C150" s="748" t="s">
        <v>1539</v>
      </c>
      <c r="D150" s="748" t="s">
        <v>1540</v>
      </c>
      <c r="E150" s="129"/>
    </row>
    <row r="151" spans="2:6">
      <c r="B151" s="1361"/>
      <c r="C151" s="764">
        <v>0.48</v>
      </c>
      <c r="D151" s="764">
        <v>0.55000000000000004</v>
      </c>
      <c r="E151" t="s">
        <v>1541</v>
      </c>
    </row>
    <row r="152" spans="2:6">
      <c r="B152" s="765"/>
    </row>
    <row r="153" spans="2:6">
      <c r="B153" s="1378" t="s">
        <v>1542</v>
      </c>
      <c r="C153" s="756" t="s">
        <v>1543</v>
      </c>
      <c r="D153" s="756" t="s">
        <v>1544</v>
      </c>
    </row>
    <row r="154" spans="2:6">
      <c r="B154" s="1378"/>
      <c r="C154" s="20">
        <v>400</v>
      </c>
      <c r="D154" s="748"/>
    </row>
    <row r="155" spans="2:6">
      <c r="B155" s="765"/>
    </row>
    <row r="156" spans="2:6">
      <c r="B156" s="757" t="s">
        <v>1545</v>
      </c>
      <c r="C156" s="756" t="s">
        <v>1543</v>
      </c>
      <c r="D156" s="756" t="s">
        <v>1544</v>
      </c>
      <c r="E156" s="761" t="s">
        <v>1510</v>
      </c>
    </row>
    <row r="157" spans="2:6" ht="30">
      <c r="B157" s="768" t="s">
        <v>1546</v>
      </c>
      <c r="C157" s="3">
        <v>898</v>
      </c>
      <c r="D157" s="3">
        <v>3030</v>
      </c>
      <c r="E157" s="3"/>
    </row>
    <row r="158" spans="2:6">
      <c r="B158" s="768" t="s">
        <v>1547</v>
      </c>
      <c r="C158" s="3">
        <v>500</v>
      </c>
      <c r="D158" s="3">
        <v>2400</v>
      </c>
      <c r="E158" s="3"/>
    </row>
    <row r="159" spans="2:6">
      <c r="B159" s="768" t="s">
        <v>1548</v>
      </c>
      <c r="C159" s="3">
        <v>500</v>
      </c>
      <c r="D159" s="3">
        <v>2400</v>
      </c>
      <c r="E159" s="3" t="s">
        <v>1549</v>
      </c>
    </row>
    <row r="160" spans="2:6">
      <c r="B160" s="768" t="s">
        <v>1550</v>
      </c>
      <c r="C160" s="3">
        <v>654</v>
      </c>
      <c r="D160" s="3">
        <v>3380</v>
      </c>
      <c r="E160" s="3" t="s">
        <v>1551</v>
      </c>
    </row>
    <row r="161" spans="1:13">
      <c r="B161" s="768" t="s">
        <v>1552</v>
      </c>
      <c r="C161" s="3">
        <v>654</v>
      </c>
      <c r="D161" s="3">
        <v>3380</v>
      </c>
      <c r="E161" s="54" t="s">
        <v>1553</v>
      </c>
    </row>
    <row r="162" spans="1:13">
      <c r="B162" s="765"/>
    </row>
    <row r="163" spans="1:13">
      <c r="B163" s="765"/>
    </row>
    <row r="164" spans="1:13" ht="18.75">
      <c r="A164" s="583"/>
      <c r="B164" s="583"/>
      <c r="C164" s="583"/>
      <c r="D164" s="583"/>
      <c r="E164" s="583"/>
      <c r="F164" s="583"/>
      <c r="G164" s="583"/>
      <c r="H164" s="583"/>
      <c r="I164" s="583"/>
      <c r="J164" s="583"/>
    </row>
    <row r="165" spans="1:13" ht="18.75">
      <c r="A165" s="583"/>
      <c r="B165" s="583"/>
      <c r="C165" s="583"/>
      <c r="D165" s="583"/>
      <c r="E165" s="583"/>
      <c r="F165" s="583"/>
      <c r="G165" s="583"/>
      <c r="H165" s="583"/>
      <c r="I165" s="583"/>
      <c r="J165" s="583"/>
    </row>
    <row r="166" spans="1:13" ht="26.25">
      <c r="A166" s="1372" t="s">
        <v>1372</v>
      </c>
      <c r="B166" s="1373"/>
      <c r="C166" s="1373"/>
      <c r="D166" s="1373"/>
      <c r="E166" s="1373"/>
      <c r="F166" s="1373"/>
      <c r="G166" s="1373"/>
      <c r="H166" s="1373"/>
      <c r="I166" s="1373"/>
      <c r="J166" s="1373"/>
      <c r="K166" s="1373"/>
      <c r="L166" s="1373"/>
      <c r="M166" s="1374"/>
    </row>
    <row r="167" spans="1:13" ht="18.75">
      <c r="A167" s="583"/>
      <c r="B167" s="583"/>
      <c r="C167" s="583"/>
      <c r="D167" s="583"/>
      <c r="E167" s="583"/>
      <c r="F167" s="583"/>
      <c r="G167" s="583"/>
      <c r="H167" s="583"/>
      <c r="I167" s="583"/>
      <c r="J167" s="583"/>
    </row>
    <row r="168" spans="1:13">
      <c r="B168" s="1356" t="s">
        <v>434</v>
      </c>
      <c r="C168" s="1357"/>
      <c r="D168" s="539" t="s">
        <v>48</v>
      </c>
      <c r="E168" s="539" t="s">
        <v>893</v>
      </c>
      <c r="F168" s="539" t="s">
        <v>895</v>
      </c>
    </row>
    <row r="169" spans="1:13">
      <c r="B169" s="534" t="s">
        <v>380</v>
      </c>
      <c r="C169" s="534">
        <v>28</v>
      </c>
      <c r="D169" s="534">
        <v>18</v>
      </c>
      <c r="E169" s="534">
        <v>9</v>
      </c>
      <c r="F169" s="534">
        <v>27</v>
      </c>
    </row>
    <row r="170" spans="1:13">
      <c r="B170" s="534" t="s">
        <v>39</v>
      </c>
      <c r="C170" s="534">
        <v>28</v>
      </c>
      <c r="D170" s="534">
        <v>18</v>
      </c>
      <c r="E170" s="534">
        <v>9</v>
      </c>
      <c r="F170" s="534">
        <v>27</v>
      </c>
    </row>
    <row r="171" spans="1:13">
      <c r="B171" s="534" t="s">
        <v>534</v>
      </c>
      <c r="C171" s="534">
        <v>28</v>
      </c>
      <c r="D171" s="534">
        <v>18</v>
      </c>
      <c r="E171" s="534">
        <v>9</v>
      </c>
      <c r="F171" s="534">
        <v>27</v>
      </c>
    </row>
    <row r="172" spans="1:13">
      <c r="B172" s="534" t="s">
        <v>535</v>
      </c>
      <c r="C172" s="534">
        <v>41</v>
      </c>
      <c r="D172" s="534">
        <v>18</v>
      </c>
      <c r="E172" s="534">
        <v>9</v>
      </c>
      <c r="F172" s="534">
        <v>27</v>
      </c>
    </row>
    <row r="173" spans="1:13">
      <c r="B173" s="534" t="s">
        <v>382</v>
      </c>
      <c r="C173" s="534">
        <v>41</v>
      </c>
      <c r="D173" s="534">
        <v>18</v>
      </c>
      <c r="E173" s="534">
        <v>9</v>
      </c>
      <c r="F173" s="534">
        <v>36</v>
      </c>
    </row>
    <row r="174" spans="1:13">
      <c r="B174" s="534" t="s">
        <v>383</v>
      </c>
      <c r="C174" s="534">
        <v>52</v>
      </c>
      <c r="D174" s="534">
        <v>18</v>
      </c>
      <c r="E174" s="534">
        <v>9</v>
      </c>
      <c r="F174" s="534">
        <v>36</v>
      </c>
    </row>
    <row r="175" spans="1:13">
      <c r="B175" s="534" t="s">
        <v>384</v>
      </c>
      <c r="C175" s="534">
        <v>63</v>
      </c>
      <c r="D175" s="534">
        <v>18</v>
      </c>
      <c r="E175" s="534">
        <v>9</v>
      </c>
      <c r="F175" s="534">
        <v>45</v>
      </c>
    </row>
    <row r="176" spans="1:13">
      <c r="B176" s="534" t="s">
        <v>385</v>
      </c>
      <c r="C176" s="534">
        <v>63</v>
      </c>
      <c r="D176" s="534">
        <v>18</v>
      </c>
      <c r="E176" s="534">
        <v>9</v>
      </c>
      <c r="F176" s="534">
        <v>45</v>
      </c>
    </row>
    <row r="177" spans="1:20">
      <c r="B177" s="535" t="s">
        <v>854</v>
      </c>
      <c r="C177" s="536">
        <v>1</v>
      </c>
    </row>
    <row r="178" spans="1:20">
      <c r="B178" s="535" t="s">
        <v>850</v>
      </c>
      <c r="C178" s="536">
        <v>4</v>
      </c>
    </row>
    <row r="179" spans="1:20">
      <c r="B179" s="535" t="s">
        <v>936</v>
      </c>
      <c r="C179" s="536">
        <v>2</v>
      </c>
    </row>
    <row r="180" spans="1:20">
      <c r="E180" s="696">
        <v>1509064</v>
      </c>
    </row>
    <row r="181" spans="1:20">
      <c r="E181">
        <f>+E180/28</f>
        <v>53895.142857142855</v>
      </c>
    </row>
    <row r="182" spans="1:20">
      <c r="E182" s="697">
        <v>976238</v>
      </c>
    </row>
    <row r="183" spans="1:20">
      <c r="E183">
        <f>+E182/18</f>
        <v>54235.444444444445</v>
      </c>
    </row>
    <row r="186" spans="1:20" ht="23.25">
      <c r="A186" s="1369" t="s">
        <v>406</v>
      </c>
      <c r="B186" s="1370"/>
      <c r="C186" s="1370"/>
      <c r="D186" s="1370"/>
      <c r="E186" s="1370"/>
      <c r="F186" s="1370"/>
      <c r="G186" s="1370"/>
      <c r="H186" s="1370"/>
      <c r="I186" s="1370"/>
      <c r="J186" s="1370"/>
      <c r="K186" s="1370"/>
      <c r="L186" s="1370"/>
      <c r="M186" s="1371"/>
      <c r="Q186" s="587"/>
      <c r="R186" s="587"/>
      <c r="T186" s="83"/>
    </row>
    <row r="187" spans="1:20">
      <c r="A187">
        <v>0</v>
      </c>
      <c r="C187" s="87"/>
      <c r="D187" s="87"/>
      <c r="E187" s="87"/>
      <c r="F187" s="87"/>
      <c r="G187" s="87"/>
      <c r="H187" s="87"/>
      <c r="I187" s="87"/>
      <c r="J187" s="87"/>
      <c r="K187" s="87"/>
      <c r="Q187" s="87"/>
      <c r="R187" s="87"/>
      <c r="T187" s="83"/>
    </row>
    <row r="188" spans="1:20">
      <c r="A188">
        <v>1</v>
      </c>
      <c r="B188" s="3" t="s">
        <v>357</v>
      </c>
      <c r="C188" s="3" t="s">
        <v>380</v>
      </c>
      <c r="D188" s="87"/>
      <c r="E188" s="87"/>
      <c r="F188" s="87"/>
      <c r="G188" s="87"/>
      <c r="H188" s="87"/>
      <c r="I188" s="87"/>
      <c r="J188" s="87"/>
      <c r="K188" s="87"/>
      <c r="Q188" s="87"/>
      <c r="R188" s="87"/>
      <c r="T188" s="83"/>
    </row>
    <row r="189" spans="1:20">
      <c r="A189">
        <v>2</v>
      </c>
      <c r="B189" s="3" t="s">
        <v>360</v>
      </c>
      <c r="C189" s="3" t="s">
        <v>39</v>
      </c>
      <c r="D189" s="87"/>
      <c r="E189" s="87"/>
      <c r="F189" s="87"/>
      <c r="G189" s="87"/>
      <c r="H189" s="87"/>
      <c r="I189" s="87"/>
      <c r="J189" s="87"/>
      <c r="K189" s="87"/>
      <c r="Q189" s="87"/>
      <c r="R189" s="87"/>
      <c r="T189" s="83"/>
    </row>
    <row r="190" spans="1:20">
      <c r="A190">
        <v>3</v>
      </c>
      <c r="B190" s="3" t="s">
        <v>362</v>
      </c>
      <c r="C190" s="5" t="s">
        <v>534</v>
      </c>
      <c r="D190" s="87"/>
      <c r="E190" s="87"/>
      <c r="F190" s="87"/>
      <c r="G190" s="87"/>
      <c r="H190" s="87"/>
      <c r="I190" s="87"/>
      <c r="J190" s="87"/>
      <c r="K190" s="87"/>
      <c r="Q190" s="87"/>
      <c r="R190" s="87"/>
      <c r="T190" s="83"/>
    </row>
    <row r="191" spans="1:20">
      <c r="A191">
        <v>4</v>
      </c>
      <c r="B191" s="3" t="s">
        <v>364</v>
      </c>
      <c r="C191" s="5" t="s">
        <v>535</v>
      </c>
      <c r="D191" s="87"/>
      <c r="E191" s="87"/>
      <c r="F191" s="87"/>
      <c r="G191" s="87"/>
      <c r="H191" s="87"/>
      <c r="I191" s="87"/>
      <c r="J191" s="87"/>
      <c r="K191" s="87"/>
      <c r="Q191" s="87"/>
      <c r="R191" s="87"/>
      <c r="T191" s="83"/>
    </row>
    <row r="192" spans="1:20">
      <c r="A192">
        <v>5</v>
      </c>
      <c r="B192" s="3" t="s">
        <v>55</v>
      </c>
      <c r="C192" s="5" t="s">
        <v>382</v>
      </c>
      <c r="D192" s="87"/>
      <c r="E192" s="87"/>
      <c r="F192" s="87"/>
      <c r="G192" s="87"/>
      <c r="H192" s="87"/>
      <c r="I192" s="87"/>
      <c r="J192" s="87"/>
      <c r="K192" s="87"/>
      <c r="Q192" s="87"/>
      <c r="R192" s="87"/>
      <c r="T192" s="83"/>
    </row>
    <row r="193" spans="1:20">
      <c r="A193">
        <v>6</v>
      </c>
      <c r="B193" s="11" t="s">
        <v>367</v>
      </c>
      <c r="C193" s="5" t="s">
        <v>383</v>
      </c>
      <c r="D193" s="87"/>
      <c r="E193" s="87"/>
      <c r="F193" s="87"/>
      <c r="G193" s="87"/>
      <c r="H193" s="87"/>
      <c r="I193" s="87"/>
      <c r="J193" s="87"/>
      <c r="K193" s="87"/>
      <c r="Q193" s="87"/>
      <c r="R193" s="87"/>
      <c r="T193" s="83"/>
    </row>
    <row r="194" spans="1:20">
      <c r="A194">
        <v>7</v>
      </c>
      <c r="B194" s="11" t="s">
        <v>400</v>
      </c>
      <c r="C194" s="3" t="s">
        <v>384</v>
      </c>
      <c r="D194" s="87"/>
      <c r="E194" s="87"/>
      <c r="F194" s="87"/>
      <c r="G194" s="87"/>
      <c r="H194" s="87"/>
      <c r="I194" s="87"/>
      <c r="J194" s="87"/>
      <c r="K194" s="87"/>
      <c r="Q194" s="87"/>
      <c r="R194" s="87"/>
      <c r="T194" s="83"/>
    </row>
    <row r="195" spans="1:20">
      <c r="A195">
        <v>8</v>
      </c>
      <c r="B195" s="11" t="s">
        <v>376</v>
      </c>
      <c r="C195" s="3" t="s">
        <v>385</v>
      </c>
      <c r="D195" s="87"/>
      <c r="E195" s="87"/>
      <c r="F195" s="87"/>
      <c r="G195" s="87"/>
      <c r="H195" s="87"/>
      <c r="I195" s="87"/>
      <c r="J195" s="87"/>
      <c r="K195" s="87"/>
      <c r="Q195" s="87"/>
      <c r="R195" s="87"/>
      <c r="T195" s="83"/>
    </row>
    <row r="196" spans="1:20">
      <c r="A196">
        <v>9</v>
      </c>
      <c r="B196" s="11" t="s">
        <v>377</v>
      </c>
      <c r="C196" s="87"/>
      <c r="D196" s="87"/>
      <c r="E196" s="87"/>
      <c r="F196" s="87"/>
      <c r="G196" s="87"/>
      <c r="H196" s="87"/>
      <c r="I196" s="87"/>
      <c r="J196" s="87"/>
      <c r="K196" s="87"/>
      <c r="Q196" s="87"/>
      <c r="R196" s="87"/>
      <c r="T196" s="83"/>
    </row>
    <row r="197" spans="1:20">
      <c r="A197">
        <v>10</v>
      </c>
      <c r="B197" s="11" t="s">
        <v>378</v>
      </c>
      <c r="C197" s="87"/>
      <c r="D197" s="87"/>
      <c r="E197" s="87"/>
      <c r="F197" s="87"/>
      <c r="G197" s="87"/>
      <c r="H197" s="87"/>
      <c r="I197" s="87"/>
      <c r="J197" s="87"/>
      <c r="K197" s="87"/>
      <c r="Q197" s="87"/>
      <c r="R197" s="87"/>
      <c r="T197" s="83"/>
    </row>
    <row r="198" spans="1:20">
      <c r="A198">
        <v>11</v>
      </c>
      <c r="B198" s="11" t="s">
        <v>379</v>
      </c>
      <c r="C198" s="87"/>
      <c r="D198" s="87"/>
      <c r="E198" s="87"/>
      <c r="F198" s="87"/>
      <c r="G198" s="87"/>
      <c r="H198" s="87"/>
      <c r="I198" s="87"/>
      <c r="J198" s="87"/>
      <c r="K198" s="87"/>
      <c r="Q198" s="87"/>
      <c r="R198" s="87"/>
      <c r="T198" s="83"/>
    </row>
    <row r="199" spans="1:20">
      <c r="A199">
        <v>12</v>
      </c>
      <c r="C199" s="87"/>
      <c r="D199" s="87"/>
      <c r="E199" s="87"/>
      <c r="F199" s="87"/>
      <c r="G199" s="87"/>
      <c r="H199" s="87"/>
      <c r="I199" s="87"/>
      <c r="J199" s="87"/>
      <c r="K199" s="87"/>
      <c r="Q199" s="87"/>
      <c r="R199" s="87"/>
      <c r="T199" s="83"/>
    </row>
    <row r="200" spans="1:20">
      <c r="A200">
        <v>13</v>
      </c>
      <c r="B200" s="769" t="s">
        <v>407</v>
      </c>
      <c r="C200" s="769"/>
      <c r="D200" s="769"/>
      <c r="E200" s="769"/>
      <c r="F200" s="769"/>
      <c r="G200" s="87"/>
      <c r="H200" s="87"/>
      <c r="I200" s="87"/>
      <c r="J200" s="87"/>
      <c r="K200" s="87"/>
      <c r="Q200" s="87"/>
      <c r="R200" s="87"/>
      <c r="T200" s="83"/>
    </row>
    <row r="201" spans="1:20">
      <c r="A201">
        <v>14</v>
      </c>
      <c r="B201" s="144" t="s">
        <v>37</v>
      </c>
      <c r="C201">
        <v>2</v>
      </c>
      <c r="D201" s="87"/>
      <c r="E201" s="87" t="s">
        <v>2</v>
      </c>
      <c r="F201">
        <v>0</v>
      </c>
      <c r="G201" s="87"/>
      <c r="H201" s="87"/>
      <c r="I201" s="87"/>
      <c r="J201" s="87"/>
      <c r="K201" s="87"/>
      <c r="Q201" s="87"/>
      <c r="R201" s="87"/>
      <c r="T201" s="83"/>
    </row>
    <row r="202" spans="1:20">
      <c r="A202">
        <v>15</v>
      </c>
      <c r="B202" s="144" t="s">
        <v>65</v>
      </c>
      <c r="C202">
        <v>1</v>
      </c>
      <c r="D202" s="87"/>
      <c r="E202" s="87" t="s">
        <v>935</v>
      </c>
      <c r="F202">
        <v>1</v>
      </c>
      <c r="G202" s="87"/>
      <c r="H202" s="87"/>
      <c r="I202" s="87"/>
      <c r="J202" s="87"/>
      <c r="K202" s="87"/>
      <c r="Q202" s="87"/>
      <c r="R202" s="87"/>
      <c r="T202" s="83"/>
    </row>
    <row r="203" spans="1:20">
      <c r="C203" s="87"/>
      <c r="D203" s="87"/>
      <c r="E203" s="87" t="s">
        <v>514</v>
      </c>
      <c r="F203">
        <v>0</v>
      </c>
      <c r="G203" s="87"/>
      <c r="H203" s="87"/>
      <c r="I203" s="87"/>
      <c r="J203" s="87"/>
      <c r="K203" s="87"/>
      <c r="Q203" s="87"/>
      <c r="R203" s="87"/>
      <c r="T203" s="83"/>
    </row>
    <row r="204" spans="1:20">
      <c r="B204" s="144" t="s">
        <v>927</v>
      </c>
      <c r="C204" s="145"/>
      <c r="D204" s="87"/>
      <c r="E204" s="144" t="s">
        <v>956</v>
      </c>
      <c r="F204" s="87"/>
      <c r="G204" s="87"/>
      <c r="H204" s="87"/>
      <c r="I204" s="87"/>
      <c r="J204" s="87"/>
      <c r="K204" s="87"/>
      <c r="Q204" s="87"/>
      <c r="R204" s="87"/>
      <c r="T204" s="83"/>
    </row>
    <row r="205" spans="1:20">
      <c r="B205" s="48" t="s">
        <v>928</v>
      </c>
      <c r="C205" s="48">
        <v>1</v>
      </c>
      <c r="D205" s="87"/>
      <c r="E205" s="87" t="s">
        <v>957</v>
      </c>
      <c r="F205">
        <v>1</v>
      </c>
      <c r="G205" s="87"/>
      <c r="H205" s="87"/>
      <c r="I205" s="87"/>
      <c r="J205" s="87"/>
      <c r="K205" s="87"/>
      <c r="Q205" s="87"/>
      <c r="R205" s="87"/>
      <c r="T205" s="83"/>
    </row>
    <row r="206" spans="1:20">
      <c r="B206" s="48" t="s">
        <v>929</v>
      </c>
      <c r="C206" s="48">
        <v>2</v>
      </c>
      <c r="D206" s="87"/>
      <c r="E206" s="87" t="s">
        <v>958</v>
      </c>
      <c r="F206">
        <v>2</v>
      </c>
      <c r="G206" s="87"/>
      <c r="H206" s="87"/>
      <c r="I206" s="87"/>
      <c r="J206" s="87"/>
      <c r="K206" s="87"/>
      <c r="Q206" s="87"/>
      <c r="R206" s="87"/>
      <c r="T206" s="83"/>
    </row>
    <row r="207" spans="1:20">
      <c r="B207" s="48" t="s">
        <v>930</v>
      </c>
      <c r="C207" s="48">
        <v>3</v>
      </c>
      <c r="D207" s="87"/>
      <c r="E207" s="87" t="s">
        <v>959</v>
      </c>
      <c r="F207">
        <v>0</v>
      </c>
      <c r="G207" s="87"/>
      <c r="H207" s="87"/>
      <c r="I207" s="87"/>
      <c r="J207" s="87"/>
      <c r="K207" s="87"/>
      <c r="Q207" s="87"/>
      <c r="R207" s="87"/>
      <c r="T207" s="83"/>
    </row>
    <row r="208" spans="1:20">
      <c r="B208" s="48"/>
      <c r="C208" s="48"/>
      <c r="D208" s="87"/>
      <c r="E208" s="87"/>
      <c r="F208" s="87"/>
      <c r="G208" s="87"/>
      <c r="H208" s="87"/>
      <c r="I208" s="87"/>
      <c r="J208" s="87"/>
      <c r="K208" s="87"/>
      <c r="Q208" s="87"/>
      <c r="R208" s="87"/>
      <c r="T208" s="83"/>
    </row>
    <row r="209" spans="2:20">
      <c r="C209" s="87"/>
      <c r="D209" s="87"/>
      <c r="E209" s="87"/>
      <c r="F209" s="87"/>
      <c r="G209" s="87"/>
      <c r="H209" s="87"/>
      <c r="I209" s="87"/>
      <c r="J209" s="87"/>
      <c r="K209" s="87"/>
      <c r="Q209" s="87"/>
      <c r="R209" s="87"/>
      <c r="T209" s="83"/>
    </row>
    <row r="210" spans="2:20">
      <c r="C210" s="87"/>
      <c r="D210" s="87"/>
      <c r="E210" s="87"/>
      <c r="F210" s="87"/>
      <c r="G210" s="87"/>
      <c r="H210" s="87"/>
      <c r="I210" s="87"/>
      <c r="J210" s="87"/>
      <c r="K210" s="87"/>
      <c r="Q210" s="87"/>
      <c r="R210" s="87"/>
      <c r="T210" s="83"/>
    </row>
    <row r="211" spans="2:20">
      <c r="B211" s="146" t="s">
        <v>408</v>
      </c>
      <c r="C211" s="147"/>
      <c r="D211" s="87"/>
      <c r="E211" s="87"/>
      <c r="F211" s="87"/>
      <c r="G211" s="87"/>
      <c r="H211" s="87"/>
      <c r="I211" s="87"/>
      <c r="J211" s="87"/>
      <c r="K211" s="87"/>
      <c r="Q211" s="87"/>
      <c r="R211" s="87"/>
      <c r="T211" s="83"/>
    </row>
    <row r="212" spans="2:20">
      <c r="B212" s="144" t="s">
        <v>37</v>
      </c>
      <c r="C212">
        <v>0.8</v>
      </c>
      <c r="D212" s="87"/>
      <c r="E212" s="87"/>
      <c r="F212" s="87"/>
      <c r="G212" s="87"/>
      <c r="H212" s="87"/>
      <c r="I212" s="87"/>
      <c r="J212" s="87"/>
      <c r="K212" s="87"/>
      <c r="Q212" s="87"/>
      <c r="R212" s="87"/>
      <c r="T212" s="83"/>
    </row>
    <row r="213" spans="2:20">
      <c r="B213" s="144" t="s">
        <v>65</v>
      </c>
      <c r="C213">
        <v>1</v>
      </c>
      <c r="D213" s="87"/>
      <c r="E213" s="87"/>
      <c r="F213" s="87"/>
      <c r="G213" s="87"/>
      <c r="H213" s="87"/>
      <c r="I213" s="87"/>
      <c r="J213" s="87"/>
      <c r="K213" s="87"/>
      <c r="Q213" s="87"/>
      <c r="R213" s="87"/>
      <c r="T213" s="83"/>
    </row>
    <row r="214" spans="2:20">
      <c r="B214" s="144" t="s">
        <v>409</v>
      </c>
      <c r="C214">
        <v>0</v>
      </c>
      <c r="D214" s="87"/>
      <c r="E214" s="87"/>
      <c r="F214" s="87"/>
      <c r="G214" s="87"/>
      <c r="H214" s="87"/>
      <c r="I214" s="87"/>
      <c r="J214" s="87"/>
      <c r="K214" s="87"/>
      <c r="Q214" s="87"/>
      <c r="R214" s="87"/>
      <c r="T214" s="83"/>
    </row>
    <row r="215" spans="2:20">
      <c r="B215" t="s">
        <v>42</v>
      </c>
      <c r="C215" s="87"/>
      <c r="D215" s="87"/>
      <c r="E215" s="87"/>
      <c r="F215" s="87"/>
      <c r="G215" s="87"/>
      <c r="H215" s="87"/>
      <c r="I215" s="87"/>
      <c r="J215" s="87"/>
      <c r="K215" s="87"/>
      <c r="Q215" s="87"/>
      <c r="R215" s="87"/>
      <c r="T215" s="83"/>
    </row>
    <row r="216" spans="2:20">
      <c r="B216" t="s">
        <v>35</v>
      </c>
      <c r="C216">
        <v>1</v>
      </c>
      <c r="D216" s="87"/>
      <c r="E216" s="87"/>
      <c r="F216" s="87"/>
      <c r="G216" s="87"/>
      <c r="H216" s="87"/>
      <c r="I216" s="87"/>
      <c r="J216" s="87"/>
      <c r="K216" s="87"/>
      <c r="Q216" s="87"/>
      <c r="R216" s="87"/>
      <c r="T216" s="83"/>
    </row>
    <row r="217" spans="2:20">
      <c r="B217" t="s">
        <v>12</v>
      </c>
      <c r="C217">
        <v>0</v>
      </c>
      <c r="D217" s="87"/>
      <c r="E217" s="87"/>
      <c r="F217" s="87"/>
      <c r="G217" s="87"/>
      <c r="H217" s="87"/>
      <c r="I217" s="87"/>
      <c r="J217" s="87"/>
      <c r="K217" s="87"/>
      <c r="Q217" s="87"/>
      <c r="R217" s="87"/>
      <c r="T217" s="83"/>
    </row>
    <row r="218" spans="2:20">
      <c r="B218" s="769" t="s">
        <v>407</v>
      </c>
      <c r="C218" s="769"/>
      <c r="D218" s="769"/>
      <c r="E218" s="769"/>
      <c r="F218" s="769"/>
      <c r="G218" s="87"/>
      <c r="H218" s="87"/>
      <c r="I218" s="87"/>
      <c r="J218" s="87"/>
      <c r="K218" s="87"/>
      <c r="Q218" s="87"/>
      <c r="R218" s="87"/>
      <c r="T218" s="83"/>
    </row>
    <row r="219" spans="2:20">
      <c r="B219" t="s">
        <v>35</v>
      </c>
      <c r="C219" s="87" t="s">
        <v>37</v>
      </c>
      <c r="D219" s="87"/>
      <c r="E219" s="87"/>
      <c r="F219" s="87"/>
      <c r="G219" s="87"/>
      <c r="H219" s="87"/>
      <c r="I219" s="87"/>
      <c r="J219" s="87"/>
      <c r="K219" s="87"/>
      <c r="Q219" s="87"/>
      <c r="R219" s="87"/>
      <c r="T219" s="83"/>
    </row>
    <row r="220" spans="2:20">
      <c r="B220" t="s">
        <v>12</v>
      </c>
      <c r="C220" s="87" t="s">
        <v>65</v>
      </c>
      <c r="D220" s="87"/>
      <c r="E220" s="87"/>
      <c r="F220" s="87"/>
      <c r="G220" s="87"/>
      <c r="H220" s="87"/>
      <c r="I220" s="87"/>
      <c r="J220" s="87"/>
      <c r="K220" s="87"/>
      <c r="Q220" s="87"/>
      <c r="R220" s="87"/>
      <c r="T220" s="83"/>
    </row>
    <row r="221" spans="2:20">
      <c r="C221" s="87"/>
      <c r="D221" s="87"/>
      <c r="E221" s="87"/>
      <c r="F221" s="87"/>
      <c r="G221" s="87"/>
      <c r="H221" s="87"/>
      <c r="I221" s="87"/>
      <c r="J221" s="87"/>
      <c r="K221" s="87"/>
      <c r="Q221" s="87"/>
      <c r="R221" s="87"/>
      <c r="T221" s="83"/>
    </row>
    <row r="222" spans="2:20">
      <c r="B222" s="87"/>
      <c r="C222" s="87"/>
      <c r="D222" s="87"/>
      <c r="E222" s="87"/>
      <c r="F222" s="87"/>
      <c r="G222" s="87"/>
      <c r="H222" s="87"/>
      <c r="I222" s="87"/>
      <c r="J222" s="87"/>
      <c r="K222" s="87"/>
      <c r="Q222" s="87"/>
      <c r="R222" s="87"/>
      <c r="T222" s="83"/>
    </row>
    <row r="223" spans="2:20">
      <c r="B223" s="87"/>
      <c r="C223" s="87"/>
      <c r="D223" s="87"/>
      <c r="E223" s="87"/>
      <c r="F223" s="87"/>
      <c r="G223" s="87"/>
      <c r="H223" s="87"/>
      <c r="I223" s="87"/>
      <c r="J223" s="87"/>
      <c r="K223" s="87"/>
      <c r="Q223" s="87"/>
      <c r="R223" s="87"/>
      <c r="T223" s="83"/>
    </row>
    <row r="224" spans="2:20">
      <c r="B224" s="87"/>
      <c r="C224" s="87"/>
      <c r="D224" s="87"/>
      <c r="E224" s="87"/>
      <c r="F224" s="87"/>
      <c r="G224" s="87"/>
      <c r="H224" s="87"/>
      <c r="I224" s="87"/>
      <c r="J224" s="87"/>
      <c r="K224" s="87"/>
      <c r="Q224" s="87"/>
      <c r="R224" s="87"/>
      <c r="T224" s="83"/>
    </row>
    <row r="225" spans="1:20" ht="15.75">
      <c r="B225" s="304" t="s">
        <v>29</v>
      </c>
      <c r="C225" s="252">
        <v>3484</v>
      </c>
      <c r="D225" s="582">
        <v>1</v>
      </c>
      <c r="E225" s="87"/>
      <c r="F225" s="87"/>
      <c r="G225" s="87"/>
      <c r="H225" s="87"/>
      <c r="I225" s="87"/>
      <c r="J225" s="87"/>
      <c r="K225" s="87"/>
      <c r="Q225" s="87"/>
      <c r="R225" s="87"/>
      <c r="T225" s="83"/>
    </row>
    <row r="226" spans="1:20" ht="15.75">
      <c r="B226" s="304" t="s">
        <v>412</v>
      </c>
      <c r="C226" s="252">
        <v>3484</v>
      </c>
      <c r="D226" s="582">
        <v>1</v>
      </c>
      <c r="E226" s="87"/>
      <c r="F226" s="87"/>
      <c r="G226" s="87"/>
      <c r="H226" s="87"/>
      <c r="I226" s="87"/>
      <c r="J226" s="87"/>
      <c r="K226" s="87"/>
      <c r="Q226" s="87"/>
      <c r="R226" s="87"/>
      <c r="T226" s="83"/>
    </row>
    <row r="227" spans="1:20" ht="15.75">
      <c r="B227" s="305" t="s">
        <v>413</v>
      </c>
      <c r="C227" s="252">
        <v>2400</v>
      </c>
      <c r="D227" s="582">
        <v>1</v>
      </c>
      <c r="E227" s="87"/>
      <c r="F227" s="87"/>
      <c r="G227" s="87"/>
      <c r="H227" s="87"/>
      <c r="I227" s="87"/>
      <c r="J227" s="87"/>
      <c r="K227" s="87"/>
      <c r="Q227" s="87"/>
      <c r="R227" s="87"/>
      <c r="T227" s="83"/>
    </row>
    <row r="228" spans="1:20" ht="15.75">
      <c r="B228" s="305" t="s">
        <v>514</v>
      </c>
      <c r="C228" s="252">
        <v>0</v>
      </c>
      <c r="D228" s="582">
        <v>0</v>
      </c>
      <c r="E228" s="87"/>
      <c r="F228" s="87"/>
      <c r="G228" s="87"/>
      <c r="H228" s="87"/>
      <c r="I228" s="87"/>
      <c r="J228" s="87"/>
      <c r="K228" s="87"/>
      <c r="Q228" s="87"/>
      <c r="R228" s="87"/>
      <c r="T228" s="83"/>
    </row>
    <row r="229" spans="1:20">
      <c r="B229" s="470" t="s">
        <v>918</v>
      </c>
      <c r="C229" s="443">
        <v>1</v>
      </c>
      <c r="D229" s="87"/>
      <c r="E229" s="87"/>
      <c r="F229" s="471" t="s">
        <v>921</v>
      </c>
      <c r="G229" s="472">
        <v>1</v>
      </c>
      <c r="H229" s="87"/>
      <c r="I229" s="87"/>
      <c r="J229" s="87"/>
      <c r="K229" s="87"/>
      <c r="Q229" s="87"/>
      <c r="R229" s="87"/>
      <c r="T229" s="83"/>
    </row>
    <row r="230" spans="1:20">
      <c r="B230" s="470" t="s">
        <v>414</v>
      </c>
      <c r="C230" s="443">
        <v>0</v>
      </c>
      <c r="D230" s="87"/>
      <c r="E230" s="87"/>
      <c r="F230" s="471" t="s">
        <v>881</v>
      </c>
      <c r="G230" s="472">
        <v>2</v>
      </c>
      <c r="H230" s="87"/>
      <c r="I230" s="87"/>
      <c r="J230" s="87"/>
      <c r="K230" s="87"/>
      <c r="Q230" s="87"/>
      <c r="R230" s="87"/>
      <c r="T230" s="83"/>
    </row>
    <row r="231" spans="1:20">
      <c r="B231" s="470" t="s">
        <v>415</v>
      </c>
      <c r="C231" s="443">
        <v>0</v>
      </c>
      <c r="D231" s="87"/>
      <c r="E231" s="87"/>
      <c r="F231" s="471" t="s">
        <v>922</v>
      </c>
      <c r="G231" s="472">
        <v>3</v>
      </c>
      <c r="H231" s="87"/>
      <c r="I231" s="87"/>
      <c r="J231" s="87"/>
      <c r="K231" s="87"/>
      <c r="Q231" s="87"/>
      <c r="R231" s="87"/>
      <c r="T231" s="83"/>
    </row>
    <row r="232" spans="1:20">
      <c r="B232" s="470" t="s">
        <v>853</v>
      </c>
      <c r="C232" s="443">
        <v>0</v>
      </c>
      <c r="D232" s="87"/>
      <c r="E232" s="87"/>
      <c r="F232" s="471" t="s">
        <v>1403</v>
      </c>
      <c r="G232" s="472">
        <v>3</v>
      </c>
      <c r="H232" s="87"/>
      <c r="I232" s="87"/>
      <c r="J232" s="87"/>
      <c r="K232" s="87"/>
      <c r="Q232" s="87"/>
      <c r="R232" s="87"/>
      <c r="T232" s="83"/>
    </row>
    <row r="233" spans="1:20">
      <c r="B233" s="470" t="s">
        <v>851</v>
      </c>
      <c r="C233" s="443">
        <v>0</v>
      </c>
      <c r="D233" s="87"/>
      <c r="E233" s="87"/>
      <c r="F233" s="471" t="s">
        <v>1399</v>
      </c>
      <c r="G233" s="472">
        <v>4</v>
      </c>
      <c r="H233" s="87"/>
      <c r="I233" s="87"/>
      <c r="J233" s="87"/>
      <c r="K233" s="87"/>
      <c r="Q233" s="87"/>
      <c r="R233" s="87"/>
      <c r="T233" s="83"/>
    </row>
    <row r="234" spans="1:20">
      <c r="B234" s="470" t="s">
        <v>852</v>
      </c>
      <c r="C234" s="443">
        <v>0</v>
      </c>
      <c r="D234" s="87"/>
      <c r="E234" s="87"/>
      <c r="F234" s="471" t="s">
        <v>923</v>
      </c>
      <c r="G234" s="472">
        <v>5</v>
      </c>
      <c r="H234" s="87"/>
      <c r="I234" s="87"/>
      <c r="J234" s="87"/>
      <c r="K234" s="87"/>
      <c r="Q234" s="87"/>
      <c r="R234" s="87"/>
      <c r="T234" s="83"/>
    </row>
    <row r="235" spans="1:20">
      <c r="B235" s="470" t="s">
        <v>919</v>
      </c>
      <c r="C235" s="443">
        <v>0</v>
      </c>
      <c r="D235" s="87"/>
      <c r="E235" s="87"/>
      <c r="F235" s="471" t="s">
        <v>1401</v>
      </c>
      <c r="G235" s="472">
        <v>6</v>
      </c>
      <c r="H235" s="87"/>
      <c r="I235" s="87"/>
      <c r="J235" s="87"/>
      <c r="K235" s="87"/>
      <c r="Q235" s="87"/>
      <c r="R235" s="87"/>
      <c r="T235" s="83"/>
    </row>
    <row r="236" spans="1:20">
      <c r="B236" s="470" t="s">
        <v>924</v>
      </c>
      <c r="C236" s="443">
        <v>0</v>
      </c>
      <c r="D236" s="87"/>
      <c r="E236" s="87"/>
      <c r="F236" s="471" t="s">
        <v>992</v>
      </c>
      <c r="G236" s="472">
        <v>7</v>
      </c>
      <c r="H236" s="87"/>
      <c r="I236" s="87"/>
      <c r="J236" s="87"/>
      <c r="K236" s="87"/>
      <c r="Q236" s="87"/>
      <c r="R236" s="87"/>
      <c r="T236" s="83"/>
    </row>
    <row r="237" spans="1:20">
      <c r="B237" s="470" t="s">
        <v>920</v>
      </c>
      <c r="C237" s="443">
        <v>0</v>
      </c>
      <c r="D237" s="87"/>
      <c r="E237" s="87"/>
      <c r="F237" s="471" t="s">
        <v>1404</v>
      </c>
      <c r="G237" s="472">
        <v>0</v>
      </c>
      <c r="H237" s="87"/>
      <c r="I237" s="87"/>
      <c r="J237" s="87"/>
      <c r="K237" s="87"/>
      <c r="Q237" s="87"/>
      <c r="R237" s="87"/>
      <c r="T237" s="83"/>
    </row>
    <row r="238" spans="1:20">
      <c r="B238" s="470" t="s">
        <v>1394</v>
      </c>
      <c r="C238" s="443">
        <v>0</v>
      </c>
      <c r="D238" s="87"/>
      <c r="I238" s="87"/>
      <c r="J238" s="87"/>
      <c r="K238" s="87"/>
      <c r="Q238" s="87"/>
      <c r="R238" s="87"/>
      <c r="T238" s="83"/>
    </row>
    <row r="240" spans="1:20">
      <c r="A240" s="440">
        <v>1</v>
      </c>
      <c r="B240" s="3" t="s">
        <v>418</v>
      </c>
      <c r="C240" s="444" t="s">
        <v>504</v>
      </c>
      <c r="D240">
        <v>1</v>
      </c>
    </row>
    <row r="241" spans="1:4">
      <c r="A241" s="440">
        <v>2</v>
      </c>
      <c r="B241" s="3" t="s">
        <v>428</v>
      </c>
      <c r="C241" s="444" t="s">
        <v>503</v>
      </c>
      <c r="D241">
        <v>2</v>
      </c>
    </row>
    <row r="242" spans="1:4">
      <c r="A242" s="440">
        <v>3</v>
      </c>
      <c r="B242" s="3" t="s">
        <v>429</v>
      </c>
      <c r="C242" s="444" t="s">
        <v>517</v>
      </c>
      <c r="D242">
        <v>3</v>
      </c>
    </row>
    <row r="243" spans="1:4">
      <c r="A243" s="440">
        <v>4</v>
      </c>
      <c r="B243" s="3"/>
      <c r="C243" s="444" t="s">
        <v>518</v>
      </c>
      <c r="D243">
        <v>4</v>
      </c>
    </row>
    <row r="244" spans="1:4">
      <c r="A244" s="440">
        <v>5</v>
      </c>
      <c r="B244" s="3"/>
      <c r="C244" s="317" t="s">
        <v>519</v>
      </c>
      <c r="D244">
        <v>5</v>
      </c>
    </row>
    <row r="245" spans="1:4">
      <c r="A245" s="440">
        <v>6</v>
      </c>
      <c r="B245" s="3" t="s">
        <v>416</v>
      </c>
      <c r="C245" s="317" t="s">
        <v>496</v>
      </c>
      <c r="D245">
        <v>6</v>
      </c>
    </row>
    <row r="246" spans="1:4">
      <c r="A246" s="440">
        <v>7</v>
      </c>
      <c r="B246" s="3" t="s">
        <v>417</v>
      </c>
      <c r="C246" s="317" t="s">
        <v>497</v>
      </c>
      <c r="D246">
        <v>7</v>
      </c>
    </row>
    <row r="247" spans="1:4">
      <c r="A247" s="440">
        <v>8</v>
      </c>
      <c r="B247" s="3" t="s">
        <v>10</v>
      </c>
      <c r="C247" s="317" t="s">
        <v>505</v>
      </c>
      <c r="D247">
        <v>8</v>
      </c>
    </row>
    <row r="248" spans="1:4">
      <c r="A248" s="440">
        <v>9</v>
      </c>
      <c r="B248" s="3" t="s">
        <v>510</v>
      </c>
      <c r="C248" s="317" t="s">
        <v>511</v>
      </c>
      <c r="D248">
        <v>9</v>
      </c>
    </row>
    <row r="249" spans="1:4">
      <c r="A249" s="440">
        <v>10</v>
      </c>
      <c r="B249" s="3" t="s">
        <v>513</v>
      </c>
      <c r="C249" s="317" t="s">
        <v>512</v>
      </c>
      <c r="D249">
        <v>10</v>
      </c>
    </row>
    <row r="250" spans="1:4">
      <c r="A250" s="440">
        <v>11</v>
      </c>
      <c r="B250" s="3" t="s">
        <v>419</v>
      </c>
      <c r="C250" s="317" t="s">
        <v>507</v>
      </c>
      <c r="D250">
        <v>11</v>
      </c>
    </row>
    <row r="251" spans="1:4">
      <c r="A251" s="440">
        <v>12</v>
      </c>
      <c r="B251" s="3" t="s">
        <v>420</v>
      </c>
      <c r="C251" s="317" t="s">
        <v>498</v>
      </c>
      <c r="D251">
        <v>12</v>
      </c>
    </row>
    <row r="252" spans="1:4">
      <c r="A252" s="440">
        <v>13</v>
      </c>
      <c r="B252" s="3" t="s">
        <v>421</v>
      </c>
      <c r="C252" s="317" t="s">
        <v>520</v>
      </c>
      <c r="D252">
        <v>13</v>
      </c>
    </row>
    <row r="253" spans="1:4">
      <c r="A253" s="440">
        <v>14</v>
      </c>
      <c r="B253" s="3" t="s">
        <v>422</v>
      </c>
      <c r="C253" s="316" t="s">
        <v>499</v>
      </c>
      <c r="D253">
        <v>14</v>
      </c>
    </row>
    <row r="254" spans="1:4">
      <c r="A254" s="440">
        <v>15</v>
      </c>
      <c r="B254" s="3" t="s">
        <v>423</v>
      </c>
      <c r="C254" s="316" t="s">
        <v>500</v>
      </c>
      <c r="D254">
        <v>15</v>
      </c>
    </row>
    <row r="255" spans="1:4">
      <c r="A255" s="440">
        <v>16</v>
      </c>
      <c r="B255" s="3"/>
      <c r="C255" s="317" t="s">
        <v>521</v>
      </c>
      <c r="D255">
        <v>16</v>
      </c>
    </row>
    <row r="256" spans="1:4">
      <c r="A256" s="440">
        <v>17</v>
      </c>
      <c r="B256" s="3" t="s">
        <v>427</v>
      </c>
      <c r="C256" s="317" t="s">
        <v>502</v>
      </c>
      <c r="D256">
        <v>17</v>
      </c>
    </row>
    <row r="257" spans="1:13">
      <c r="A257" s="440">
        <v>18</v>
      </c>
      <c r="B257" s="3" t="s">
        <v>506</v>
      </c>
      <c r="C257" s="4" t="s">
        <v>522</v>
      </c>
      <c r="D257">
        <v>18</v>
      </c>
    </row>
    <row r="258" spans="1:13">
      <c r="A258" s="440">
        <v>19</v>
      </c>
      <c r="B258" s="3" t="s">
        <v>508</v>
      </c>
      <c r="C258" s="4" t="s">
        <v>509</v>
      </c>
      <c r="D258">
        <v>19</v>
      </c>
    </row>
    <row r="259" spans="1:13">
      <c r="A259" s="440">
        <v>20</v>
      </c>
      <c r="B259" s="3"/>
      <c r="C259" s="4" t="s">
        <v>523</v>
      </c>
      <c r="D259">
        <v>20</v>
      </c>
    </row>
    <row r="260" spans="1:13">
      <c r="A260" s="440">
        <v>21</v>
      </c>
      <c r="B260" s="3"/>
      <c r="C260" s="4" t="s">
        <v>524</v>
      </c>
      <c r="D260">
        <v>21</v>
      </c>
    </row>
    <row r="261" spans="1:13">
      <c r="A261" s="440">
        <v>22</v>
      </c>
      <c r="B261" s="3"/>
      <c r="C261" s="4" t="s">
        <v>525</v>
      </c>
      <c r="D261">
        <v>22</v>
      </c>
    </row>
    <row r="262" spans="1:13">
      <c r="A262" s="440">
        <v>23</v>
      </c>
      <c r="B262" s="3"/>
      <c r="C262" s="4" t="s">
        <v>526</v>
      </c>
      <c r="D262">
        <v>23</v>
      </c>
    </row>
    <row r="263" spans="1:13">
      <c r="A263" s="440">
        <v>24</v>
      </c>
      <c r="B263" s="3" t="s">
        <v>424</v>
      </c>
      <c r="C263" s="4" t="s">
        <v>527</v>
      </c>
      <c r="D263">
        <v>24</v>
      </c>
    </row>
    <row r="264" spans="1:13">
      <c r="A264" s="440">
        <v>25</v>
      </c>
      <c r="B264" s="3"/>
      <c r="C264" s="4" t="s">
        <v>528</v>
      </c>
      <c r="D264">
        <v>25</v>
      </c>
    </row>
    <row r="265" spans="1:13">
      <c r="A265" s="440">
        <v>26</v>
      </c>
      <c r="B265" s="3"/>
      <c r="C265" s="4" t="s">
        <v>529</v>
      </c>
      <c r="D265">
        <v>26</v>
      </c>
    </row>
    <row r="266" spans="1:13">
      <c r="A266" s="440">
        <v>27</v>
      </c>
      <c r="B266" s="3" t="s">
        <v>425</v>
      </c>
      <c r="C266" s="4" t="s">
        <v>501</v>
      </c>
      <c r="D266">
        <v>27</v>
      </c>
    </row>
    <row r="267" spans="1:13">
      <c r="A267" s="440">
        <v>28</v>
      </c>
      <c r="B267" s="3" t="s">
        <v>426</v>
      </c>
      <c r="C267" s="4" t="s">
        <v>530</v>
      </c>
      <c r="D267">
        <v>28</v>
      </c>
    </row>
    <row r="268" spans="1:13">
      <c r="A268" s="440">
        <v>29</v>
      </c>
      <c r="B268" s="3"/>
      <c r="C268" s="441" t="s">
        <v>884</v>
      </c>
      <c r="D268">
        <v>29</v>
      </c>
    </row>
    <row r="269" spans="1:13">
      <c r="A269" s="440">
        <v>30</v>
      </c>
      <c r="B269" s="3"/>
      <c r="C269" s="441" t="s">
        <v>531</v>
      </c>
      <c r="D269">
        <v>0</v>
      </c>
    </row>
    <row r="270" spans="1:13" ht="18.75">
      <c r="A270" s="583"/>
      <c r="B270" s="583"/>
      <c r="C270" s="583"/>
      <c r="D270" s="583"/>
      <c r="E270" s="583"/>
      <c r="F270" s="583"/>
      <c r="G270" s="583"/>
      <c r="H270" s="583"/>
      <c r="I270" s="583"/>
      <c r="J270" s="583"/>
    </row>
    <row r="271" spans="1:13" ht="26.25">
      <c r="A271" s="1372" t="s">
        <v>1373</v>
      </c>
      <c r="B271" s="1373"/>
      <c r="C271" s="1373"/>
      <c r="D271" s="1373"/>
      <c r="E271" s="1373"/>
      <c r="F271" s="1373"/>
      <c r="G271" s="1373"/>
      <c r="H271" s="1373"/>
      <c r="I271" s="1373"/>
      <c r="J271" s="1373"/>
      <c r="K271" s="1373"/>
      <c r="L271" s="1373"/>
      <c r="M271" s="1374"/>
    </row>
    <row r="272" spans="1:13" ht="26.25">
      <c r="A272" s="612"/>
      <c r="B272" s="612"/>
      <c r="C272" s="612"/>
      <c r="D272" s="612"/>
      <c r="E272" s="612"/>
      <c r="F272" s="612"/>
      <c r="G272" s="612"/>
      <c r="H272" s="612"/>
      <c r="I272" s="612"/>
      <c r="J272" s="612"/>
      <c r="K272" s="612"/>
      <c r="L272" s="612"/>
      <c r="M272" s="612"/>
    </row>
    <row r="273" spans="2:20">
      <c r="B273" s="588" t="s">
        <v>3</v>
      </c>
      <c r="C273" s="87"/>
      <c r="D273" s="87"/>
      <c r="E273" s="87"/>
      <c r="F273" s="87"/>
      <c r="G273" s="87"/>
      <c r="H273" s="87"/>
      <c r="I273" s="87"/>
      <c r="J273" s="87"/>
      <c r="K273" s="87"/>
      <c r="Q273" s="87"/>
      <c r="R273" s="87"/>
      <c r="T273" s="83"/>
    </row>
    <row r="274" spans="2:20">
      <c r="B274" s="3" t="s">
        <v>4</v>
      </c>
      <c r="C274" s="87"/>
      <c r="D274" s="87"/>
      <c r="E274" s="87"/>
      <c r="F274" s="87"/>
      <c r="G274" s="87"/>
      <c r="H274" s="87"/>
      <c r="I274" s="87"/>
      <c r="J274" s="87"/>
      <c r="K274" s="87"/>
      <c r="Q274" s="87"/>
      <c r="R274" s="87"/>
      <c r="T274" s="83"/>
    </row>
    <row r="275" spans="2:20">
      <c r="B275" s="3" t="s">
        <v>231</v>
      </c>
      <c r="C275" s="87"/>
      <c r="D275" s="87"/>
      <c r="E275" s="87"/>
      <c r="F275" s="87"/>
      <c r="G275" s="87"/>
      <c r="H275" s="87"/>
      <c r="I275" s="87"/>
      <c r="J275" s="87"/>
      <c r="K275" s="87"/>
      <c r="Q275" s="87"/>
      <c r="R275" s="87"/>
      <c r="T275" s="83"/>
    </row>
    <row r="276" spans="2:20">
      <c r="B276" s="3" t="s">
        <v>174</v>
      </c>
      <c r="C276" s="87"/>
      <c r="D276" s="87"/>
      <c r="E276" s="87"/>
      <c r="F276" s="87"/>
      <c r="G276" s="87"/>
      <c r="H276" s="87"/>
      <c r="I276" s="87"/>
      <c r="J276" s="87"/>
      <c r="K276" s="87"/>
      <c r="Q276" s="87"/>
      <c r="R276" s="87"/>
      <c r="T276" s="83"/>
    </row>
    <row r="277" spans="2:20">
      <c r="B277" s="3" t="s">
        <v>234</v>
      </c>
      <c r="C277" s="87"/>
      <c r="D277" s="87"/>
      <c r="E277" s="87"/>
      <c r="F277" s="87"/>
      <c r="G277" s="87"/>
      <c r="H277" s="87"/>
      <c r="I277" s="87"/>
      <c r="J277" s="87"/>
      <c r="K277" s="87"/>
      <c r="Q277" s="87"/>
      <c r="R277" s="87"/>
      <c r="T277" s="83"/>
    </row>
    <row r="278" spans="2:20">
      <c r="B278" s="3" t="s">
        <v>232</v>
      </c>
      <c r="C278" s="87"/>
      <c r="D278" s="87"/>
      <c r="E278" s="87"/>
      <c r="F278" s="87"/>
      <c r="G278" s="87"/>
      <c r="H278" s="87"/>
      <c r="I278" s="87"/>
      <c r="J278" s="87"/>
      <c r="K278" s="87"/>
      <c r="Q278" s="87"/>
      <c r="R278" s="87"/>
      <c r="T278" s="83"/>
    </row>
    <row r="279" spans="2:20">
      <c r="B279" s="3" t="s">
        <v>236</v>
      </c>
      <c r="C279" s="87"/>
      <c r="D279" s="87"/>
      <c r="E279" s="87"/>
      <c r="F279" s="87"/>
      <c r="G279" s="87"/>
      <c r="H279" s="87"/>
      <c r="I279" s="87"/>
      <c r="J279" s="87"/>
      <c r="K279" s="87"/>
      <c r="Q279" s="87"/>
      <c r="R279" s="87"/>
      <c r="T279" s="83"/>
    </row>
    <row r="280" spans="2:20">
      <c r="B280" s="3" t="s">
        <v>411</v>
      </c>
      <c r="C280" s="87"/>
      <c r="D280" s="87"/>
      <c r="E280" s="87"/>
      <c r="F280" s="87"/>
      <c r="G280" s="87"/>
      <c r="H280" s="87"/>
      <c r="I280" s="87"/>
      <c r="J280" s="87"/>
      <c r="K280" s="87"/>
      <c r="Q280" s="87"/>
      <c r="R280" s="87"/>
      <c r="T280" s="83"/>
    </row>
    <row r="281" spans="2:20">
      <c r="B281" s="3" t="s">
        <v>233</v>
      </c>
      <c r="C281" s="87"/>
      <c r="D281" s="87"/>
      <c r="E281" s="87"/>
      <c r="F281" s="87"/>
      <c r="G281" s="87"/>
      <c r="H281" s="87"/>
      <c r="I281" s="87"/>
      <c r="J281" s="87"/>
      <c r="K281" s="87"/>
      <c r="Q281" s="87"/>
      <c r="R281" s="87"/>
      <c r="T281" s="83"/>
    </row>
    <row r="282" spans="2:20">
      <c r="B282" s="640" t="s">
        <v>1390</v>
      </c>
      <c r="C282" s="87"/>
      <c r="D282" s="87"/>
      <c r="E282" s="87"/>
      <c r="F282" s="87"/>
      <c r="G282" s="87"/>
      <c r="H282" s="87"/>
      <c r="I282" s="87"/>
      <c r="J282" s="87"/>
      <c r="K282" s="87"/>
      <c r="Q282" s="87"/>
      <c r="R282" s="87"/>
      <c r="T282" s="83"/>
    </row>
    <row r="283" spans="2:20">
      <c r="B283" s="168" t="s">
        <v>5</v>
      </c>
      <c r="C283" s="169"/>
      <c r="D283" s="169"/>
      <c r="E283" s="169"/>
      <c r="F283" s="169"/>
      <c r="G283" s="169"/>
      <c r="H283" s="169"/>
      <c r="I283" s="170"/>
      <c r="J283" s="87"/>
      <c r="K283" s="87"/>
      <c r="Q283" s="87"/>
      <c r="R283" s="87"/>
      <c r="T283" s="83"/>
    </row>
    <row r="284" spans="2:20">
      <c r="C284" s="5" t="s">
        <v>4</v>
      </c>
      <c r="D284" s="5" t="s">
        <v>231</v>
      </c>
      <c r="E284" s="3" t="s">
        <v>174</v>
      </c>
      <c r="F284" s="3" t="s">
        <v>234</v>
      </c>
      <c r="G284" s="3" t="s">
        <v>232</v>
      </c>
      <c r="H284" s="3" t="s">
        <v>236</v>
      </c>
      <c r="I284" s="3" t="s">
        <v>411</v>
      </c>
      <c r="J284" s="3" t="s">
        <v>233</v>
      </c>
      <c r="K284" s="80" t="s">
        <v>1390</v>
      </c>
      <c r="Q284" s="87"/>
      <c r="R284" s="87"/>
      <c r="T284" s="83"/>
    </row>
    <row r="285" spans="2:20" ht="45">
      <c r="B285" s="1351"/>
      <c r="C285" s="161" t="s">
        <v>6</v>
      </c>
      <c r="D285" s="161" t="s">
        <v>410</v>
      </c>
      <c r="E285" s="161" t="s">
        <v>888</v>
      </c>
      <c r="F285" s="80"/>
      <c r="G285" s="575" t="s">
        <v>982</v>
      </c>
      <c r="H285" s="80"/>
      <c r="I285" s="80"/>
      <c r="J285" s="80"/>
      <c r="K285" s="80" t="s">
        <v>1391</v>
      </c>
      <c r="Q285" s="87"/>
      <c r="R285" s="87"/>
      <c r="T285" s="83"/>
    </row>
    <row r="286" spans="2:20" ht="30">
      <c r="B286" s="1351"/>
      <c r="C286" s="161" t="s">
        <v>248</v>
      </c>
      <c r="D286" s="164" t="s">
        <v>275</v>
      </c>
      <c r="E286" s="161" t="s">
        <v>889</v>
      </c>
      <c r="F286" s="80"/>
      <c r="G286" s="575" t="s">
        <v>983</v>
      </c>
      <c r="H286" s="80"/>
      <c r="I286" s="80"/>
      <c r="J286" s="80"/>
      <c r="K286" s="161" t="s">
        <v>6</v>
      </c>
      <c r="Q286" s="87"/>
      <c r="R286" s="87"/>
      <c r="T286" s="83"/>
    </row>
    <row r="287" spans="2:20" ht="38.25">
      <c r="B287" s="1351"/>
      <c r="C287" s="161" t="s">
        <v>253</v>
      </c>
      <c r="D287" s="164" t="s">
        <v>276</v>
      </c>
      <c r="E287" s="161" t="s">
        <v>890</v>
      </c>
      <c r="F287" s="80"/>
      <c r="G287" s="575" t="s">
        <v>984</v>
      </c>
      <c r="H287" s="80"/>
      <c r="I287" s="80"/>
      <c r="J287" s="80"/>
      <c r="K287" s="80"/>
      <c r="Q287" s="87"/>
      <c r="R287" s="87"/>
      <c r="T287" s="83"/>
    </row>
    <row r="288" spans="2:20" ht="30">
      <c r="B288" s="1351"/>
      <c r="C288" s="161" t="s">
        <v>258</v>
      </c>
      <c r="D288" s="164" t="s">
        <v>277</v>
      </c>
      <c r="E288" s="161" t="s">
        <v>891</v>
      </c>
      <c r="F288" s="80"/>
      <c r="G288" s="575" t="s">
        <v>985</v>
      </c>
      <c r="H288" s="80"/>
      <c r="I288" s="80"/>
      <c r="J288" s="80"/>
      <c r="K288" s="3"/>
      <c r="Q288" s="87"/>
      <c r="R288" s="87"/>
      <c r="T288" s="83"/>
    </row>
    <row r="289" spans="1:27" ht="38.25">
      <c r="B289" s="1351"/>
      <c r="C289" s="161" t="s">
        <v>264</v>
      </c>
      <c r="D289" s="164" t="s">
        <v>278</v>
      </c>
      <c r="E289" s="161" t="s">
        <v>1392</v>
      </c>
      <c r="F289" s="80"/>
      <c r="G289" s="80"/>
      <c r="H289" s="80"/>
      <c r="I289" s="80"/>
      <c r="J289" s="80"/>
      <c r="K289" s="80"/>
      <c r="Q289" s="87"/>
      <c r="R289" s="87"/>
      <c r="T289" s="83"/>
    </row>
    <row r="290" spans="1:27" ht="25.5">
      <c r="B290" s="1351"/>
      <c r="C290" s="161" t="s">
        <v>265</v>
      </c>
      <c r="D290" s="164" t="s">
        <v>279</v>
      </c>
      <c r="E290" s="161"/>
      <c r="F290" s="80"/>
      <c r="G290" s="80"/>
      <c r="H290" s="80"/>
      <c r="I290" s="80"/>
      <c r="J290" s="80"/>
      <c r="K290" s="80"/>
      <c r="Q290" s="87"/>
      <c r="R290" s="87"/>
      <c r="T290" s="83"/>
    </row>
    <row r="291" spans="1:27" ht="25.5">
      <c r="B291" s="1351"/>
      <c r="C291" s="161" t="s">
        <v>266</v>
      </c>
      <c r="D291" s="164" t="s">
        <v>280</v>
      </c>
      <c r="E291" s="161"/>
      <c r="F291" s="80"/>
      <c r="G291" s="80"/>
      <c r="H291" s="80"/>
      <c r="I291" s="80"/>
      <c r="J291" s="80"/>
      <c r="K291" s="80"/>
      <c r="Q291" s="87"/>
      <c r="R291" s="87"/>
      <c r="T291" s="83"/>
    </row>
    <row r="292" spans="1:27">
      <c r="B292" s="1351"/>
      <c r="C292" s="161" t="s">
        <v>267</v>
      </c>
      <c r="D292" s="80"/>
      <c r="E292" s="161"/>
      <c r="F292" s="80"/>
      <c r="G292" s="80"/>
      <c r="H292" s="80"/>
      <c r="I292" s="80"/>
      <c r="J292" s="80"/>
      <c r="K292" s="80"/>
      <c r="L292" s="87"/>
      <c r="M292" s="87"/>
      <c r="P292" s="87"/>
      <c r="Q292" s="87"/>
      <c r="R292" s="87"/>
      <c r="X292" s="87"/>
      <c r="Y292" s="87"/>
      <c r="AA292" s="83"/>
    </row>
    <row r="293" spans="1:27">
      <c r="B293" s="1351"/>
      <c r="C293" s="161" t="s">
        <v>268</v>
      </c>
      <c r="D293" s="80"/>
      <c r="E293" s="161"/>
      <c r="F293" s="80"/>
      <c r="G293" s="80"/>
      <c r="H293" s="80"/>
      <c r="I293" s="80"/>
      <c r="J293" s="80"/>
      <c r="K293" s="80"/>
      <c r="L293" s="87"/>
      <c r="M293" s="87"/>
      <c r="N293" s="87"/>
      <c r="O293" s="87"/>
      <c r="P293" s="87"/>
      <c r="Q293" s="87"/>
      <c r="R293" s="87"/>
      <c r="X293" s="87"/>
      <c r="Y293" s="87"/>
      <c r="AA293" s="83"/>
    </row>
    <row r="294" spans="1:27">
      <c r="B294" s="1351"/>
      <c r="C294" s="161" t="s">
        <v>269</v>
      </c>
      <c r="D294" s="80"/>
      <c r="E294" s="161"/>
      <c r="F294" s="80"/>
      <c r="G294" s="80"/>
      <c r="H294" s="80"/>
      <c r="I294" s="80"/>
      <c r="J294" s="80"/>
      <c r="K294" s="80"/>
      <c r="L294" s="87"/>
      <c r="M294" s="87"/>
      <c r="N294" s="87"/>
      <c r="O294" s="87"/>
      <c r="U294" s="87"/>
      <c r="V294" s="87"/>
      <c r="X294" s="83"/>
    </row>
    <row r="295" spans="1:27" ht="25.5">
      <c r="B295" s="1351"/>
      <c r="C295" s="161" t="s">
        <v>270</v>
      </c>
      <c r="D295" s="80"/>
      <c r="E295" s="161"/>
      <c r="F295" s="80"/>
      <c r="G295" s="80"/>
      <c r="H295" s="80"/>
      <c r="I295" s="80"/>
      <c r="J295" s="80"/>
      <c r="K295" s="80"/>
      <c r="L295" s="87"/>
      <c r="M295" s="87"/>
      <c r="N295" s="87"/>
      <c r="O295" s="87"/>
      <c r="S295" s="87"/>
      <c r="T295" s="87"/>
      <c r="V295" s="83"/>
    </row>
    <row r="296" spans="1:27">
      <c r="B296" s="1351"/>
      <c r="C296" s="161" t="s">
        <v>271</v>
      </c>
      <c r="D296" s="80"/>
      <c r="E296" s="161"/>
      <c r="F296" s="80"/>
      <c r="G296" s="80"/>
      <c r="H296" s="80"/>
      <c r="I296" s="80"/>
      <c r="J296" s="80"/>
      <c r="K296" s="80"/>
      <c r="L296" s="87"/>
      <c r="R296" s="87"/>
      <c r="S296" s="87"/>
      <c r="U296" s="83"/>
    </row>
    <row r="297" spans="1:27">
      <c r="B297" s="1351"/>
      <c r="C297" s="161" t="s">
        <v>272</v>
      </c>
      <c r="D297" s="80"/>
      <c r="E297" s="161"/>
      <c r="F297" s="80"/>
      <c r="G297" s="80"/>
      <c r="H297" s="80"/>
      <c r="I297" s="80"/>
      <c r="J297" s="80"/>
      <c r="K297" s="80"/>
      <c r="Q297" s="87"/>
      <c r="R297" s="87"/>
      <c r="T297" s="83"/>
    </row>
    <row r="298" spans="1:27" ht="25.5">
      <c r="B298" s="1351"/>
      <c r="C298" s="161" t="s">
        <v>273</v>
      </c>
      <c r="D298" s="80"/>
      <c r="E298" s="161"/>
      <c r="F298" s="80"/>
      <c r="G298" s="80"/>
      <c r="H298" s="80"/>
      <c r="I298" s="80"/>
      <c r="J298" s="80"/>
      <c r="K298" s="80"/>
      <c r="Q298" s="87"/>
      <c r="R298" s="87"/>
      <c r="T298" s="83"/>
    </row>
    <row r="299" spans="1:27">
      <c r="B299" s="1351"/>
      <c r="C299" s="161" t="s">
        <v>274</v>
      </c>
      <c r="D299" s="80"/>
      <c r="E299" s="161"/>
      <c r="F299" s="80"/>
      <c r="G299" s="80"/>
      <c r="H299" s="80"/>
      <c r="I299" s="80"/>
      <c r="J299" s="80"/>
      <c r="K299" s="80"/>
      <c r="Q299" s="87"/>
      <c r="R299" s="87"/>
      <c r="T299" s="83"/>
    </row>
    <row r="300" spans="1:27">
      <c r="C300" s="87"/>
      <c r="D300" s="87"/>
      <c r="E300" s="87"/>
      <c r="F300" s="87"/>
      <c r="G300" s="87"/>
      <c r="H300" s="87"/>
      <c r="I300" s="87"/>
      <c r="J300" s="87"/>
      <c r="K300" s="87"/>
      <c r="Q300" s="87"/>
      <c r="R300" s="87"/>
      <c r="T300" s="83"/>
    </row>
    <row r="301" spans="1:27" ht="18.75">
      <c r="A301" s="583"/>
      <c r="B301" s="583"/>
      <c r="C301" s="583"/>
      <c r="D301" s="583"/>
      <c r="E301" s="583"/>
      <c r="F301" s="583"/>
      <c r="G301" s="583"/>
      <c r="H301" s="583"/>
      <c r="I301" s="583"/>
      <c r="J301" s="583"/>
    </row>
    <row r="302" spans="1:27" ht="18.75">
      <c r="A302" s="583"/>
      <c r="B302" s="583"/>
      <c r="C302" s="583"/>
      <c r="D302" s="583"/>
      <c r="E302" s="583"/>
      <c r="F302" s="583"/>
      <c r="G302" s="583"/>
      <c r="H302" s="583"/>
      <c r="I302" s="583"/>
      <c r="J302" s="583"/>
    </row>
    <row r="303" spans="1:27">
      <c r="B303" s="161" t="s">
        <v>6</v>
      </c>
      <c r="C303">
        <v>1</v>
      </c>
      <c r="E303" s="87"/>
      <c r="F303" s="87"/>
      <c r="G303" s="87"/>
      <c r="H303" s="87"/>
      <c r="I303" s="87"/>
      <c r="J303" s="87"/>
      <c r="K303" s="87"/>
      <c r="Q303" s="87"/>
      <c r="R303" s="87"/>
      <c r="T303" s="83"/>
    </row>
    <row r="304" spans="1:27">
      <c r="B304" s="161" t="s">
        <v>248</v>
      </c>
      <c r="C304">
        <v>0</v>
      </c>
      <c r="E304" s="87"/>
      <c r="F304" s="87"/>
      <c r="G304" s="87"/>
      <c r="H304" s="87"/>
      <c r="I304" s="87"/>
      <c r="J304" s="87"/>
      <c r="K304" s="87"/>
      <c r="Q304" s="87"/>
      <c r="R304" s="87"/>
      <c r="T304" s="83"/>
    </row>
    <row r="305" spans="2:27">
      <c r="B305" s="161" t="s">
        <v>253</v>
      </c>
      <c r="C305">
        <v>0</v>
      </c>
      <c r="E305" s="87"/>
      <c r="F305" s="87"/>
      <c r="G305" s="87"/>
      <c r="H305" s="87"/>
      <c r="I305" s="87"/>
      <c r="J305" s="87"/>
      <c r="K305" s="87"/>
      <c r="Q305" s="87"/>
      <c r="R305" s="87"/>
      <c r="T305" s="83"/>
    </row>
    <row r="306" spans="2:27">
      <c r="B306" s="161" t="s">
        <v>258</v>
      </c>
      <c r="C306">
        <v>0</v>
      </c>
      <c r="E306" s="87"/>
      <c r="F306" s="87"/>
      <c r="G306" s="87"/>
      <c r="H306" s="87"/>
      <c r="I306" s="87"/>
      <c r="J306" s="87"/>
      <c r="K306" s="87"/>
      <c r="Q306" s="87"/>
      <c r="R306" s="87"/>
      <c r="T306" s="83"/>
    </row>
    <row r="307" spans="2:27">
      <c r="B307" s="161" t="s">
        <v>264</v>
      </c>
      <c r="C307">
        <v>0</v>
      </c>
      <c r="E307" s="87"/>
      <c r="F307" s="87"/>
      <c r="G307" s="87"/>
      <c r="H307" s="87"/>
      <c r="I307" s="87"/>
      <c r="J307" s="87"/>
      <c r="K307" s="87"/>
      <c r="Q307" s="87"/>
      <c r="R307" s="87"/>
      <c r="T307" s="83"/>
    </row>
    <row r="308" spans="2:27">
      <c r="B308" s="161" t="s">
        <v>265</v>
      </c>
      <c r="C308">
        <v>0</v>
      </c>
      <c r="E308" s="87"/>
      <c r="F308" s="87"/>
      <c r="G308" s="87"/>
      <c r="H308" s="87"/>
      <c r="I308" s="87"/>
      <c r="J308" s="87"/>
      <c r="K308" s="87"/>
      <c r="Q308" s="87"/>
      <c r="R308" s="87"/>
      <c r="T308" s="83"/>
    </row>
    <row r="309" spans="2:27">
      <c r="B309" s="161" t="s">
        <v>266</v>
      </c>
      <c r="C309">
        <v>0</v>
      </c>
      <c r="E309" s="87"/>
      <c r="F309" s="87"/>
      <c r="G309" s="87"/>
      <c r="H309" s="87"/>
      <c r="I309" s="87"/>
      <c r="J309" s="87"/>
      <c r="K309" s="87"/>
      <c r="Q309" s="87"/>
      <c r="R309" s="87"/>
      <c r="T309" s="83"/>
    </row>
    <row r="310" spans="2:27">
      <c r="B310" s="161" t="s">
        <v>267</v>
      </c>
      <c r="C310">
        <v>0</v>
      </c>
      <c r="D310" s="87"/>
      <c r="E310" s="87"/>
      <c r="F310" s="87"/>
      <c r="G310" s="87"/>
      <c r="H310" s="87"/>
      <c r="I310" s="87"/>
      <c r="J310" s="87"/>
      <c r="K310" s="87"/>
      <c r="L310" s="87"/>
      <c r="M310" s="87"/>
      <c r="P310" s="87"/>
      <c r="Q310" s="87"/>
      <c r="R310" s="87"/>
      <c r="X310" s="87"/>
      <c r="Y310" s="87"/>
      <c r="AA310" s="83"/>
    </row>
    <row r="311" spans="2:27">
      <c r="B311" s="161" t="s">
        <v>268</v>
      </c>
      <c r="C311">
        <v>0</v>
      </c>
      <c r="D311" s="87"/>
      <c r="E311" s="87"/>
      <c r="F311" s="87"/>
      <c r="G311" s="87"/>
      <c r="H311" s="87"/>
      <c r="I311" s="87"/>
      <c r="J311" s="87"/>
      <c r="K311" s="87"/>
      <c r="L311" s="87"/>
      <c r="M311" s="87"/>
      <c r="N311" s="87"/>
      <c r="O311" s="87"/>
      <c r="P311" s="87"/>
      <c r="Q311" s="87"/>
      <c r="R311" s="87"/>
      <c r="X311" s="87"/>
      <c r="Y311" s="87"/>
      <c r="AA311" s="83"/>
    </row>
    <row r="312" spans="2:27">
      <c r="B312" s="161" t="s">
        <v>269</v>
      </c>
      <c r="C312">
        <v>0</v>
      </c>
      <c r="D312" s="87"/>
      <c r="E312" s="87"/>
      <c r="F312" s="87"/>
      <c r="G312" s="87"/>
      <c r="H312" s="87"/>
      <c r="I312" s="87"/>
      <c r="J312" s="87"/>
      <c r="K312" s="87"/>
      <c r="L312" s="87"/>
      <c r="M312" s="87"/>
      <c r="N312" s="87"/>
      <c r="O312" s="87"/>
      <c r="U312" s="87"/>
      <c r="V312" s="87"/>
      <c r="X312" s="83"/>
    </row>
    <row r="313" spans="2:27">
      <c r="B313" s="161" t="s">
        <v>270</v>
      </c>
      <c r="C313">
        <v>0</v>
      </c>
      <c r="D313" s="87"/>
      <c r="E313" s="87"/>
      <c r="F313" s="87"/>
      <c r="G313" s="87"/>
      <c r="H313" s="87"/>
      <c r="I313" s="87"/>
      <c r="J313" s="87"/>
      <c r="K313" s="87"/>
      <c r="L313" s="87"/>
      <c r="M313" s="87"/>
      <c r="N313" s="87"/>
      <c r="O313" s="87"/>
      <c r="S313" s="87"/>
      <c r="T313" s="87"/>
      <c r="V313" s="83"/>
    </row>
    <row r="314" spans="2:27">
      <c r="B314" s="161" t="s">
        <v>271</v>
      </c>
      <c r="C314">
        <v>0</v>
      </c>
      <c r="D314" s="87"/>
      <c r="E314" s="87"/>
      <c r="F314" s="87"/>
      <c r="G314" s="87"/>
      <c r="H314" s="87"/>
      <c r="I314" s="87"/>
      <c r="J314" s="87"/>
      <c r="K314" s="87"/>
      <c r="L314" s="87"/>
      <c r="R314" s="87"/>
      <c r="S314" s="87"/>
      <c r="U314" s="83"/>
    </row>
    <row r="315" spans="2:27">
      <c r="B315" s="161" t="s">
        <v>272</v>
      </c>
      <c r="C315">
        <v>0</v>
      </c>
      <c r="D315" s="87"/>
      <c r="E315" s="87"/>
      <c r="F315" s="87"/>
      <c r="G315" s="87"/>
      <c r="H315" s="87"/>
      <c r="I315" s="87"/>
      <c r="J315" s="87"/>
      <c r="K315" s="87"/>
      <c r="Q315" s="87"/>
      <c r="R315" s="87"/>
      <c r="T315" s="83"/>
    </row>
    <row r="316" spans="2:27">
      <c r="B316" s="161" t="s">
        <v>273</v>
      </c>
      <c r="C316">
        <v>0</v>
      </c>
      <c r="D316" s="87"/>
      <c r="E316" s="87"/>
      <c r="F316" s="87"/>
      <c r="G316" s="87"/>
      <c r="H316" s="87"/>
      <c r="I316" s="87"/>
      <c r="J316" s="87"/>
      <c r="K316" s="87"/>
      <c r="Q316" s="87"/>
      <c r="R316" s="87"/>
      <c r="T316" s="83"/>
    </row>
    <row r="317" spans="2:27">
      <c r="B317" s="161" t="s">
        <v>274</v>
      </c>
      <c r="C317">
        <v>0</v>
      </c>
      <c r="D317" s="87"/>
      <c r="E317" s="87"/>
      <c r="F317" s="87"/>
      <c r="G317" s="87"/>
      <c r="H317" s="87"/>
      <c r="I317" s="87"/>
      <c r="J317" s="87"/>
      <c r="K317" s="87"/>
      <c r="Q317" s="87"/>
      <c r="R317" s="87"/>
      <c r="T317" s="83"/>
    </row>
    <row r="318" spans="2:27">
      <c r="B318" s="163" t="s">
        <v>410</v>
      </c>
      <c r="C318">
        <v>0</v>
      </c>
      <c r="D318" s="87"/>
      <c r="E318" s="87"/>
      <c r="F318" s="87"/>
      <c r="G318" s="87"/>
      <c r="H318" s="87"/>
      <c r="I318" s="87"/>
      <c r="J318" s="87"/>
      <c r="K318" s="87"/>
      <c r="Q318" s="87"/>
      <c r="R318" s="87"/>
      <c r="T318" s="83"/>
    </row>
    <row r="319" spans="2:27">
      <c r="B319" s="164" t="s">
        <v>275</v>
      </c>
      <c r="C319">
        <v>0</v>
      </c>
      <c r="D319" s="87"/>
      <c r="E319" s="87"/>
      <c r="F319" s="87"/>
      <c r="G319" s="87"/>
      <c r="H319" s="87"/>
      <c r="I319" s="87"/>
      <c r="J319" s="87"/>
      <c r="K319" s="87"/>
      <c r="Q319" s="87"/>
      <c r="R319" s="87"/>
      <c r="T319" s="83"/>
    </row>
    <row r="320" spans="2:27">
      <c r="B320" s="164" t="s">
        <v>276</v>
      </c>
      <c r="C320">
        <v>0</v>
      </c>
      <c r="D320" s="87"/>
      <c r="E320" s="87"/>
      <c r="F320" s="87"/>
      <c r="G320" s="87"/>
      <c r="H320" s="87"/>
      <c r="I320" s="87"/>
      <c r="J320" s="87"/>
      <c r="K320" s="87"/>
      <c r="Q320" s="87"/>
      <c r="R320" s="87"/>
      <c r="T320" s="83"/>
    </row>
    <row r="321" spans="2:20" ht="26.25">
      <c r="B321" s="164" t="s">
        <v>277</v>
      </c>
      <c r="C321">
        <v>0</v>
      </c>
      <c r="D321" s="87"/>
      <c r="E321" s="87"/>
      <c r="F321" s="87"/>
      <c r="G321" s="87"/>
      <c r="H321" s="87"/>
      <c r="I321" s="87"/>
      <c r="J321" s="87"/>
      <c r="K321" s="87"/>
      <c r="Q321" s="87"/>
      <c r="R321" s="87"/>
      <c r="T321" s="83"/>
    </row>
    <row r="322" spans="2:20">
      <c r="B322" s="164" t="s">
        <v>278</v>
      </c>
      <c r="C322">
        <v>0</v>
      </c>
      <c r="D322" s="87"/>
      <c r="E322" s="87"/>
      <c r="F322" s="87"/>
      <c r="G322" s="87"/>
      <c r="H322" s="87"/>
      <c r="I322" s="87"/>
      <c r="J322" s="87"/>
      <c r="K322" s="87"/>
      <c r="Q322" s="87"/>
      <c r="R322" s="87"/>
      <c r="T322" s="83"/>
    </row>
    <row r="323" spans="2:20">
      <c r="B323" s="164" t="s">
        <v>279</v>
      </c>
      <c r="C323">
        <v>0</v>
      </c>
      <c r="D323" s="87"/>
      <c r="E323" s="87"/>
      <c r="F323" s="87"/>
      <c r="G323" s="87"/>
      <c r="H323" s="87"/>
      <c r="I323" s="87"/>
      <c r="J323" s="87"/>
      <c r="K323" s="87"/>
      <c r="Q323" s="87"/>
      <c r="R323" s="87"/>
      <c r="T323" s="83"/>
    </row>
    <row r="324" spans="2:20">
      <c r="B324" s="164" t="s">
        <v>280</v>
      </c>
      <c r="C324">
        <v>0</v>
      </c>
      <c r="D324" s="87"/>
      <c r="E324" s="87"/>
      <c r="F324" s="87"/>
      <c r="G324" s="87"/>
      <c r="H324" s="87"/>
      <c r="I324" s="87"/>
      <c r="J324" s="87"/>
      <c r="K324" s="87"/>
      <c r="Q324" s="87"/>
      <c r="R324" s="87"/>
      <c r="T324" s="83"/>
    </row>
    <row r="325" spans="2:20">
      <c r="B325" s="163" t="s">
        <v>888</v>
      </c>
      <c r="C325">
        <v>0</v>
      </c>
      <c r="D325" s="87"/>
      <c r="E325" s="87"/>
      <c r="F325" s="87"/>
      <c r="G325" s="87"/>
      <c r="H325" s="87"/>
      <c r="I325" s="87"/>
      <c r="J325" s="87"/>
      <c r="K325" s="87"/>
      <c r="Q325" s="87"/>
      <c r="R325" s="87"/>
      <c r="T325" s="83"/>
    </row>
    <row r="326" spans="2:20">
      <c r="B326" s="163" t="s">
        <v>889</v>
      </c>
      <c r="C326">
        <v>0</v>
      </c>
      <c r="D326" s="87"/>
      <c r="E326" s="87"/>
      <c r="F326" s="87"/>
      <c r="G326" s="87"/>
      <c r="H326" s="87"/>
      <c r="I326" s="87"/>
      <c r="J326" s="87"/>
      <c r="K326" s="87"/>
      <c r="Q326" s="87"/>
      <c r="R326" s="87"/>
      <c r="T326" s="83"/>
    </row>
    <row r="327" spans="2:20">
      <c r="B327" s="163" t="s">
        <v>890</v>
      </c>
      <c r="C327">
        <v>0</v>
      </c>
      <c r="D327" s="87"/>
      <c r="E327" s="87"/>
      <c r="F327" s="87"/>
      <c r="G327" s="87"/>
      <c r="H327" s="87"/>
      <c r="I327" s="87"/>
      <c r="J327" s="87"/>
      <c r="K327" s="87"/>
      <c r="Q327" s="87"/>
      <c r="R327" s="87"/>
      <c r="T327" s="83"/>
    </row>
    <row r="328" spans="2:20">
      <c r="B328" s="163" t="s">
        <v>891</v>
      </c>
      <c r="C328">
        <v>0</v>
      </c>
      <c r="D328" s="87"/>
      <c r="E328" s="87"/>
      <c r="F328" s="87"/>
      <c r="G328" s="87"/>
      <c r="H328" s="87"/>
      <c r="I328" s="87"/>
      <c r="J328" s="87"/>
      <c r="K328" s="87"/>
      <c r="Q328" s="87"/>
      <c r="R328" s="87"/>
      <c r="T328" s="83"/>
    </row>
    <row r="329" spans="2:20">
      <c r="B329" s="163" t="s">
        <v>1392</v>
      </c>
      <c r="C329">
        <v>0</v>
      </c>
      <c r="D329" s="87"/>
      <c r="E329" s="87"/>
      <c r="F329" s="87"/>
      <c r="G329" s="87"/>
      <c r="H329" s="87"/>
      <c r="I329" s="87"/>
      <c r="J329" s="87"/>
      <c r="K329" s="87"/>
      <c r="Q329" s="87"/>
      <c r="R329" s="87"/>
      <c r="T329" s="83"/>
    </row>
    <row r="330" spans="2:20" ht="30">
      <c r="B330" s="575" t="s">
        <v>982</v>
      </c>
      <c r="C330">
        <v>0</v>
      </c>
      <c r="D330" s="87"/>
      <c r="E330" s="87"/>
      <c r="F330" s="87"/>
      <c r="G330" s="87"/>
      <c r="H330" s="87"/>
      <c r="I330" s="87"/>
      <c r="J330" s="87"/>
      <c r="K330" s="87"/>
      <c r="Q330" s="87"/>
      <c r="R330" s="87"/>
      <c r="T330" s="83"/>
    </row>
    <row r="331" spans="2:20">
      <c r="B331" s="575" t="s">
        <v>983</v>
      </c>
      <c r="C331">
        <v>0</v>
      </c>
      <c r="D331" s="87"/>
      <c r="E331" s="87"/>
      <c r="F331" s="87"/>
      <c r="G331" s="87"/>
      <c r="H331" s="87"/>
      <c r="I331" s="87"/>
      <c r="J331" s="87"/>
      <c r="K331" s="87"/>
      <c r="Q331" s="87"/>
      <c r="R331" s="87"/>
      <c r="T331" s="83"/>
    </row>
    <row r="332" spans="2:20">
      <c r="B332" s="575" t="s">
        <v>984</v>
      </c>
      <c r="C332">
        <v>0</v>
      </c>
      <c r="D332" s="87"/>
      <c r="E332" s="87"/>
      <c r="F332" s="87"/>
      <c r="G332" s="87"/>
      <c r="H332" s="87"/>
      <c r="I332" s="87"/>
      <c r="J332" s="87"/>
      <c r="K332" s="87"/>
      <c r="Q332" s="87"/>
      <c r="R332" s="87"/>
      <c r="T332" s="83"/>
    </row>
    <row r="333" spans="2:20">
      <c r="B333" s="575" t="s">
        <v>985</v>
      </c>
      <c r="C333">
        <v>0</v>
      </c>
      <c r="D333" s="87"/>
      <c r="E333" s="87"/>
      <c r="F333" s="87"/>
      <c r="G333" s="87"/>
      <c r="H333" s="87"/>
      <c r="I333" s="87"/>
      <c r="J333" s="87"/>
      <c r="K333" s="87"/>
      <c r="Q333" s="87"/>
      <c r="R333" s="87"/>
      <c r="T333" s="83"/>
    </row>
    <row r="334" spans="2:20">
      <c r="B334" s="586"/>
      <c r="D334" s="87"/>
      <c r="E334" s="87"/>
      <c r="F334" s="87"/>
      <c r="G334" s="87"/>
      <c r="H334" s="87"/>
      <c r="I334" s="87"/>
      <c r="J334" s="87"/>
      <c r="K334" s="87"/>
      <c r="Q334" s="87"/>
      <c r="R334" s="87"/>
      <c r="T334" s="83"/>
    </row>
    <row r="335" spans="2:20">
      <c r="B335" s="586"/>
      <c r="D335" s="87"/>
      <c r="E335" s="87"/>
      <c r="F335" s="87"/>
      <c r="G335" s="87"/>
      <c r="H335" s="87"/>
      <c r="I335" s="87"/>
      <c r="J335" s="87"/>
      <c r="K335" s="87"/>
      <c r="Q335" s="87"/>
      <c r="R335" s="87"/>
      <c r="T335" s="83"/>
    </row>
    <row r="336" spans="2:20">
      <c r="B336" s="586"/>
      <c r="D336" s="87"/>
      <c r="E336" s="87"/>
      <c r="F336" s="87"/>
      <c r="G336" s="87"/>
      <c r="H336" s="87"/>
      <c r="I336" s="87"/>
      <c r="J336" s="87"/>
      <c r="K336" s="87"/>
      <c r="Q336" s="87"/>
      <c r="R336" s="87"/>
      <c r="T336" s="83"/>
    </row>
    <row r="337" spans="1:20">
      <c r="B337" s="586"/>
      <c r="D337" s="87"/>
      <c r="E337" s="87"/>
      <c r="F337" s="87"/>
      <c r="G337" s="87"/>
      <c r="H337" s="87"/>
      <c r="I337" s="87"/>
      <c r="J337" s="87"/>
      <c r="K337" s="87"/>
      <c r="Q337" s="87"/>
      <c r="R337" s="87"/>
      <c r="T337" s="83"/>
    </row>
    <row r="338" spans="1:20">
      <c r="B338" s="586"/>
      <c r="D338" s="87"/>
      <c r="E338" s="87"/>
      <c r="F338" s="87"/>
      <c r="G338" s="87"/>
      <c r="H338" s="87"/>
      <c r="I338" s="87"/>
      <c r="J338" s="87"/>
      <c r="K338" s="87"/>
      <c r="Q338" s="87"/>
      <c r="R338" s="87"/>
      <c r="T338" s="83"/>
    </row>
    <row r="339" spans="1:20">
      <c r="B339" s="586"/>
      <c r="D339" s="87"/>
      <c r="E339" s="87"/>
      <c r="F339" s="87"/>
      <c r="G339" s="87"/>
      <c r="H339" s="87"/>
      <c r="I339" s="87"/>
      <c r="J339" s="87"/>
      <c r="K339" s="87"/>
      <c r="Q339" s="87"/>
      <c r="R339" s="87"/>
      <c r="T339" s="83"/>
    </row>
    <row r="340" spans="1:20">
      <c r="B340" s="586"/>
      <c r="D340" s="87"/>
      <c r="E340" s="87"/>
      <c r="F340" s="87"/>
      <c r="G340" s="87"/>
      <c r="H340" s="87"/>
      <c r="I340" s="87"/>
      <c r="J340" s="87"/>
      <c r="K340" s="87"/>
      <c r="Q340" s="87"/>
      <c r="R340" s="87"/>
      <c r="T340" s="83"/>
    </row>
    <row r="342" spans="1:20" ht="23.25">
      <c r="A342" s="653" t="s">
        <v>996</v>
      </c>
      <c r="B342" s="653"/>
      <c r="C342" s="653"/>
      <c r="D342" s="653"/>
      <c r="E342" s="653"/>
      <c r="F342" s="653"/>
      <c r="G342" s="653"/>
      <c r="H342" s="653"/>
      <c r="I342" s="653"/>
      <c r="J342" s="653"/>
      <c r="K342" s="653"/>
      <c r="L342" s="653"/>
      <c r="M342" s="653"/>
    </row>
    <row r="343" spans="1:20">
      <c r="B343" t="s">
        <v>1124</v>
      </c>
    </row>
    <row r="344" spans="1:20">
      <c r="B344" t="s">
        <v>1360</v>
      </c>
    </row>
    <row r="345" spans="1:20">
      <c r="B345" t="s">
        <v>1329</v>
      </c>
    </row>
    <row r="346" spans="1:20">
      <c r="B346" t="s">
        <v>1095</v>
      </c>
    </row>
    <row r="347" spans="1:20">
      <c r="B347" t="s">
        <v>1260</v>
      </c>
    </row>
    <row r="348" spans="1:20">
      <c r="B348" t="s">
        <v>1222</v>
      </c>
    </row>
    <row r="349" spans="1:20">
      <c r="B349" t="s">
        <v>1231</v>
      </c>
    </row>
    <row r="350" spans="1:20">
      <c r="B350" t="s">
        <v>1356</v>
      </c>
    </row>
    <row r="351" spans="1:20">
      <c r="B351" t="s">
        <v>1228</v>
      </c>
    </row>
    <row r="352" spans="1:20">
      <c r="B352" t="s">
        <v>1107</v>
      </c>
    </row>
    <row r="353" spans="2:2">
      <c r="B353" t="s">
        <v>1050</v>
      </c>
    </row>
    <row r="354" spans="2:2">
      <c r="B354" t="s">
        <v>1252</v>
      </c>
    </row>
    <row r="355" spans="2:2">
      <c r="B355" t="s">
        <v>1055</v>
      </c>
    </row>
    <row r="356" spans="2:2">
      <c r="B356" t="s">
        <v>1125</v>
      </c>
    </row>
    <row r="357" spans="2:2">
      <c r="B357" t="s">
        <v>1304</v>
      </c>
    </row>
    <row r="358" spans="2:2">
      <c r="B358" t="s">
        <v>1064</v>
      </c>
    </row>
    <row r="359" spans="2:2">
      <c r="B359" t="s">
        <v>1341</v>
      </c>
    </row>
    <row r="360" spans="2:2">
      <c r="B360" t="s">
        <v>1111</v>
      </c>
    </row>
    <row r="361" spans="2:2">
      <c r="B361" t="s">
        <v>1159</v>
      </c>
    </row>
    <row r="362" spans="2:2">
      <c r="B362" t="s">
        <v>1167</v>
      </c>
    </row>
    <row r="363" spans="2:2">
      <c r="B363" t="s">
        <v>1355</v>
      </c>
    </row>
    <row r="364" spans="2:2">
      <c r="B364" t="s">
        <v>1131</v>
      </c>
    </row>
    <row r="365" spans="2:2">
      <c r="B365" t="s">
        <v>1091</v>
      </c>
    </row>
    <row r="366" spans="2:2">
      <c r="B366" t="s">
        <v>1340</v>
      </c>
    </row>
    <row r="367" spans="2:2">
      <c r="B367" t="s">
        <v>1176</v>
      </c>
    </row>
    <row r="368" spans="2:2">
      <c r="B368" t="s">
        <v>1097</v>
      </c>
    </row>
    <row r="369" spans="2:2">
      <c r="B369" t="s">
        <v>1230</v>
      </c>
    </row>
    <row r="370" spans="2:2">
      <c r="B370" t="s">
        <v>1004</v>
      </c>
    </row>
    <row r="371" spans="2:2">
      <c r="B371" t="s">
        <v>1191</v>
      </c>
    </row>
    <row r="372" spans="2:2">
      <c r="B372" t="s">
        <v>1263</v>
      </c>
    </row>
    <row r="373" spans="2:2">
      <c r="B373" t="s">
        <v>1022</v>
      </c>
    </row>
    <row r="374" spans="2:2">
      <c r="B374" t="s">
        <v>1150</v>
      </c>
    </row>
    <row r="375" spans="2:2">
      <c r="B375" t="s">
        <v>1021</v>
      </c>
    </row>
    <row r="376" spans="2:2">
      <c r="B376" t="s">
        <v>1001</v>
      </c>
    </row>
    <row r="377" spans="2:2">
      <c r="B377" t="s">
        <v>1083</v>
      </c>
    </row>
    <row r="378" spans="2:2">
      <c r="B378" t="s">
        <v>1000</v>
      </c>
    </row>
    <row r="379" spans="2:2">
      <c r="B379" t="s">
        <v>1052</v>
      </c>
    </row>
    <row r="380" spans="2:2">
      <c r="B380" t="s">
        <v>1170</v>
      </c>
    </row>
    <row r="381" spans="2:2">
      <c r="B381" t="s">
        <v>1134</v>
      </c>
    </row>
    <row r="382" spans="2:2">
      <c r="B382" t="s">
        <v>1115</v>
      </c>
    </row>
    <row r="383" spans="2:2">
      <c r="B383" t="s">
        <v>1276</v>
      </c>
    </row>
    <row r="384" spans="2:2">
      <c r="B384" t="s">
        <v>1020</v>
      </c>
    </row>
    <row r="385" spans="2:2">
      <c r="B385" t="s">
        <v>1057</v>
      </c>
    </row>
    <row r="386" spans="2:2">
      <c r="B386" t="s">
        <v>1039</v>
      </c>
    </row>
    <row r="387" spans="2:2">
      <c r="B387" t="s">
        <v>1081</v>
      </c>
    </row>
    <row r="388" spans="2:2">
      <c r="B388" t="s">
        <v>1215</v>
      </c>
    </row>
    <row r="389" spans="2:2">
      <c r="B389" t="s">
        <v>1046</v>
      </c>
    </row>
    <row r="390" spans="2:2">
      <c r="B390" t="s">
        <v>1128</v>
      </c>
    </row>
    <row r="391" spans="2:2">
      <c r="B391" t="s">
        <v>1051</v>
      </c>
    </row>
    <row r="392" spans="2:2">
      <c r="B392" t="s">
        <v>1318</v>
      </c>
    </row>
    <row r="393" spans="2:2">
      <c r="B393" t="s">
        <v>1068</v>
      </c>
    </row>
    <row r="394" spans="2:2">
      <c r="B394" t="s">
        <v>1151</v>
      </c>
    </row>
    <row r="395" spans="2:2">
      <c r="B395" t="s">
        <v>1157</v>
      </c>
    </row>
    <row r="396" spans="2:2">
      <c r="B396" t="s">
        <v>1334</v>
      </c>
    </row>
    <row r="397" spans="2:2">
      <c r="B397" t="s">
        <v>1209</v>
      </c>
    </row>
    <row r="398" spans="2:2">
      <c r="B398" t="s">
        <v>1129</v>
      </c>
    </row>
    <row r="399" spans="2:2">
      <c r="B399" t="s">
        <v>1306</v>
      </c>
    </row>
    <row r="400" spans="2:2">
      <c r="B400" t="s">
        <v>1211</v>
      </c>
    </row>
    <row r="401" spans="2:2">
      <c r="B401" t="s">
        <v>1342</v>
      </c>
    </row>
    <row r="402" spans="2:2">
      <c r="B402" t="s">
        <v>1337</v>
      </c>
    </row>
    <row r="403" spans="2:2">
      <c r="B403" t="s">
        <v>1220</v>
      </c>
    </row>
    <row r="404" spans="2:2">
      <c r="B404" t="s">
        <v>1100</v>
      </c>
    </row>
    <row r="405" spans="2:2">
      <c r="B405" t="s">
        <v>1271</v>
      </c>
    </row>
    <row r="406" spans="2:2">
      <c r="B406" t="s">
        <v>1073</v>
      </c>
    </row>
    <row r="407" spans="2:2">
      <c r="B407" t="s">
        <v>1214</v>
      </c>
    </row>
    <row r="408" spans="2:2">
      <c r="B408" t="s">
        <v>1047</v>
      </c>
    </row>
    <row r="409" spans="2:2">
      <c r="B409" t="s">
        <v>1013</v>
      </c>
    </row>
    <row r="410" spans="2:2">
      <c r="B410" t="s">
        <v>1037</v>
      </c>
    </row>
    <row r="411" spans="2:2">
      <c r="B411" t="s">
        <v>1205</v>
      </c>
    </row>
    <row r="412" spans="2:2">
      <c r="B412" t="s">
        <v>1216</v>
      </c>
    </row>
    <row r="413" spans="2:2">
      <c r="B413" t="s">
        <v>1218</v>
      </c>
    </row>
    <row r="414" spans="2:2">
      <c r="B414" t="s">
        <v>1241</v>
      </c>
    </row>
    <row r="415" spans="2:2">
      <c r="B415" t="s">
        <v>1011</v>
      </c>
    </row>
    <row r="416" spans="2:2">
      <c r="B416" t="s">
        <v>1108</v>
      </c>
    </row>
    <row r="417" spans="2:2">
      <c r="B417" t="s">
        <v>1262</v>
      </c>
    </row>
    <row r="418" spans="2:2">
      <c r="B418" t="s">
        <v>1293</v>
      </c>
    </row>
    <row r="419" spans="2:2">
      <c r="B419" t="s">
        <v>1042</v>
      </c>
    </row>
    <row r="420" spans="2:2">
      <c r="B420" t="s">
        <v>1116</v>
      </c>
    </row>
    <row r="421" spans="2:2">
      <c r="B421" t="s">
        <v>1109</v>
      </c>
    </row>
    <row r="422" spans="2:2">
      <c r="B422" t="s">
        <v>1002</v>
      </c>
    </row>
    <row r="423" spans="2:2">
      <c r="B423" t="s">
        <v>1014</v>
      </c>
    </row>
    <row r="424" spans="2:2">
      <c r="B424" t="s">
        <v>1142</v>
      </c>
    </row>
    <row r="425" spans="2:2">
      <c r="B425" t="s">
        <v>1114</v>
      </c>
    </row>
    <row r="426" spans="2:2">
      <c r="B426" t="s">
        <v>1018</v>
      </c>
    </row>
    <row r="427" spans="2:2">
      <c r="B427" t="s">
        <v>1348</v>
      </c>
    </row>
    <row r="428" spans="2:2">
      <c r="B428" t="s">
        <v>1043</v>
      </c>
    </row>
    <row r="429" spans="2:2">
      <c r="B429" t="s">
        <v>1090</v>
      </c>
    </row>
    <row r="430" spans="2:2">
      <c r="B430" t="s">
        <v>1085</v>
      </c>
    </row>
    <row r="431" spans="2:2">
      <c r="B431" t="s">
        <v>1291</v>
      </c>
    </row>
    <row r="432" spans="2:2">
      <c r="B432" t="s">
        <v>1104</v>
      </c>
    </row>
    <row r="433" spans="2:2">
      <c r="B433" t="s">
        <v>1313</v>
      </c>
    </row>
    <row r="434" spans="2:2">
      <c r="B434" t="s">
        <v>1098</v>
      </c>
    </row>
    <row r="435" spans="2:2">
      <c r="B435" t="s">
        <v>1077</v>
      </c>
    </row>
    <row r="436" spans="2:2">
      <c r="B436" t="s">
        <v>1136</v>
      </c>
    </row>
    <row r="437" spans="2:2">
      <c r="B437" t="s">
        <v>1201</v>
      </c>
    </row>
    <row r="438" spans="2:2">
      <c r="B438" t="s">
        <v>1118</v>
      </c>
    </row>
    <row r="439" spans="2:2">
      <c r="B439" t="s">
        <v>1275</v>
      </c>
    </row>
    <row r="440" spans="2:2">
      <c r="B440" t="s">
        <v>1178</v>
      </c>
    </row>
    <row r="441" spans="2:2">
      <c r="B441" t="s">
        <v>1289</v>
      </c>
    </row>
    <row r="442" spans="2:2">
      <c r="B442" t="s">
        <v>1033</v>
      </c>
    </row>
    <row r="443" spans="2:2">
      <c r="B443" t="s">
        <v>1074</v>
      </c>
    </row>
    <row r="444" spans="2:2">
      <c r="B444" t="s">
        <v>1227</v>
      </c>
    </row>
    <row r="445" spans="2:2">
      <c r="B445" t="s">
        <v>1133</v>
      </c>
    </row>
    <row r="446" spans="2:2">
      <c r="B446" t="s">
        <v>1099</v>
      </c>
    </row>
    <row r="447" spans="2:2">
      <c r="B447" t="s">
        <v>1135</v>
      </c>
    </row>
    <row r="448" spans="2:2">
      <c r="B448" t="s">
        <v>1041</v>
      </c>
    </row>
    <row r="449" spans="2:2">
      <c r="B449" t="s">
        <v>1173</v>
      </c>
    </row>
    <row r="450" spans="2:2">
      <c r="B450" t="s">
        <v>1253</v>
      </c>
    </row>
    <row r="451" spans="2:2">
      <c r="B451" t="s">
        <v>1273</v>
      </c>
    </row>
    <row r="452" spans="2:2">
      <c r="B452" t="s">
        <v>1212</v>
      </c>
    </row>
    <row r="453" spans="2:2">
      <c r="B453" t="s">
        <v>1186</v>
      </c>
    </row>
    <row r="454" spans="2:2">
      <c r="B454" t="s">
        <v>1060</v>
      </c>
    </row>
    <row r="455" spans="2:2">
      <c r="B455" t="s">
        <v>1143</v>
      </c>
    </row>
    <row r="456" spans="2:2">
      <c r="B456" t="s">
        <v>1181</v>
      </c>
    </row>
    <row r="457" spans="2:2">
      <c r="B457" t="s">
        <v>1160</v>
      </c>
    </row>
    <row r="458" spans="2:2">
      <c r="B458" t="s">
        <v>1127</v>
      </c>
    </row>
    <row r="459" spans="2:2">
      <c r="B459" t="s">
        <v>1138</v>
      </c>
    </row>
    <row r="460" spans="2:2">
      <c r="B460" t="s">
        <v>1229</v>
      </c>
    </row>
    <row r="461" spans="2:2">
      <c r="B461" t="s">
        <v>1312</v>
      </c>
    </row>
    <row r="462" spans="2:2">
      <c r="B462" t="s">
        <v>1149</v>
      </c>
    </row>
    <row r="463" spans="2:2">
      <c r="B463" t="s">
        <v>1246</v>
      </c>
    </row>
    <row r="464" spans="2:2">
      <c r="B464" t="s">
        <v>1192</v>
      </c>
    </row>
    <row r="465" spans="2:2">
      <c r="B465" t="s">
        <v>1164</v>
      </c>
    </row>
    <row r="466" spans="2:2">
      <c r="B466" t="s">
        <v>1217</v>
      </c>
    </row>
    <row r="467" spans="2:2">
      <c r="B467" t="s">
        <v>1058</v>
      </c>
    </row>
    <row r="468" spans="2:2">
      <c r="B468" t="s">
        <v>1147</v>
      </c>
    </row>
    <row r="469" spans="2:2">
      <c r="B469" t="s">
        <v>1232</v>
      </c>
    </row>
    <row r="470" spans="2:2">
      <c r="B470" t="s">
        <v>1221</v>
      </c>
    </row>
    <row r="471" spans="2:2">
      <c r="B471" t="s">
        <v>1219</v>
      </c>
    </row>
    <row r="472" spans="2:2">
      <c r="B472" t="s">
        <v>1180</v>
      </c>
    </row>
    <row r="473" spans="2:2">
      <c r="B473" t="s">
        <v>1070</v>
      </c>
    </row>
    <row r="474" spans="2:2">
      <c r="B474" t="s">
        <v>1198</v>
      </c>
    </row>
    <row r="475" spans="2:2">
      <c r="B475" t="s">
        <v>1153</v>
      </c>
    </row>
    <row r="476" spans="2:2">
      <c r="B476" t="s">
        <v>1248</v>
      </c>
    </row>
    <row r="477" spans="2:2">
      <c r="B477" t="s">
        <v>1305</v>
      </c>
    </row>
    <row r="478" spans="2:2">
      <c r="B478" t="s">
        <v>998</v>
      </c>
    </row>
    <row r="479" spans="2:2">
      <c r="B479" t="s">
        <v>1015</v>
      </c>
    </row>
    <row r="480" spans="2:2">
      <c r="B480" t="s">
        <v>1270</v>
      </c>
    </row>
    <row r="481" spans="2:2">
      <c r="B481" t="s">
        <v>1101</v>
      </c>
    </row>
    <row r="482" spans="2:2">
      <c r="B482" t="s">
        <v>1092</v>
      </c>
    </row>
    <row r="483" spans="2:2">
      <c r="B483" t="s">
        <v>1168</v>
      </c>
    </row>
    <row r="484" spans="2:2">
      <c r="B484" t="s">
        <v>1121</v>
      </c>
    </row>
    <row r="485" spans="2:2">
      <c r="B485" t="s">
        <v>1144</v>
      </c>
    </row>
    <row r="486" spans="2:2">
      <c r="B486" t="s">
        <v>1237</v>
      </c>
    </row>
    <row r="487" spans="2:2">
      <c r="B487" t="s">
        <v>1353</v>
      </c>
    </row>
    <row r="488" spans="2:2">
      <c r="B488" t="s">
        <v>1339</v>
      </c>
    </row>
    <row r="489" spans="2:2">
      <c r="B489" t="s">
        <v>1182</v>
      </c>
    </row>
    <row r="490" spans="2:2">
      <c r="B490" t="s">
        <v>1239</v>
      </c>
    </row>
    <row r="491" spans="2:2">
      <c r="B491" t="s">
        <v>1056</v>
      </c>
    </row>
    <row r="492" spans="2:2">
      <c r="B492" t="s">
        <v>1350</v>
      </c>
    </row>
    <row r="493" spans="2:2">
      <c r="B493" t="s">
        <v>1285</v>
      </c>
    </row>
    <row r="494" spans="2:2">
      <c r="B494" t="s">
        <v>1250</v>
      </c>
    </row>
    <row r="495" spans="2:2">
      <c r="B495" t="s">
        <v>1061</v>
      </c>
    </row>
    <row r="496" spans="2:2">
      <c r="B496" t="s">
        <v>999</v>
      </c>
    </row>
    <row r="497" spans="2:2">
      <c r="B497" t="s">
        <v>1266</v>
      </c>
    </row>
    <row r="498" spans="2:2">
      <c r="B498" t="s">
        <v>1197</v>
      </c>
    </row>
    <row r="499" spans="2:2">
      <c r="B499" t="s">
        <v>1288</v>
      </c>
    </row>
    <row r="500" spans="2:2">
      <c r="B500" t="s">
        <v>1352</v>
      </c>
    </row>
    <row r="501" spans="2:2">
      <c r="B501" t="s">
        <v>1333</v>
      </c>
    </row>
    <row r="502" spans="2:2">
      <c r="B502" t="s">
        <v>1110</v>
      </c>
    </row>
    <row r="503" spans="2:2">
      <c r="B503" t="s">
        <v>1283</v>
      </c>
    </row>
    <row r="504" spans="2:2">
      <c r="B504" t="s">
        <v>1280</v>
      </c>
    </row>
    <row r="505" spans="2:2">
      <c r="B505" t="s">
        <v>1267</v>
      </c>
    </row>
    <row r="506" spans="2:2">
      <c r="B506" t="s">
        <v>1145</v>
      </c>
    </row>
    <row r="507" spans="2:2">
      <c r="B507" t="s">
        <v>1261</v>
      </c>
    </row>
    <row r="508" spans="2:2">
      <c r="B508" t="s">
        <v>1308</v>
      </c>
    </row>
    <row r="509" spans="2:2">
      <c r="B509" t="s">
        <v>1016</v>
      </c>
    </row>
    <row r="510" spans="2:2">
      <c r="B510" t="s">
        <v>1325</v>
      </c>
    </row>
    <row r="511" spans="2:2">
      <c r="B511" t="s">
        <v>1122</v>
      </c>
    </row>
    <row r="512" spans="2:2">
      <c r="B512" t="s">
        <v>1025</v>
      </c>
    </row>
    <row r="513" spans="2:2">
      <c r="B513" t="s">
        <v>1072</v>
      </c>
    </row>
    <row r="514" spans="2:2">
      <c r="B514" t="s">
        <v>1287</v>
      </c>
    </row>
    <row r="515" spans="2:2">
      <c r="B515" t="s">
        <v>1006</v>
      </c>
    </row>
    <row r="516" spans="2:2">
      <c r="B516" t="s">
        <v>1245</v>
      </c>
    </row>
    <row r="517" spans="2:2">
      <c r="B517" t="s">
        <v>1190</v>
      </c>
    </row>
    <row r="518" spans="2:2">
      <c r="B518" t="s">
        <v>1096</v>
      </c>
    </row>
    <row r="519" spans="2:2">
      <c r="B519" t="s">
        <v>1274</v>
      </c>
    </row>
    <row r="520" spans="2:2">
      <c r="B520" t="s">
        <v>1226</v>
      </c>
    </row>
    <row r="521" spans="2:2">
      <c r="B521" t="s">
        <v>1338</v>
      </c>
    </row>
    <row r="522" spans="2:2">
      <c r="B522" t="s">
        <v>1137</v>
      </c>
    </row>
    <row r="523" spans="2:2">
      <c r="B523" t="s">
        <v>1324</v>
      </c>
    </row>
    <row r="524" spans="2:2">
      <c r="B524" t="s">
        <v>1300</v>
      </c>
    </row>
    <row r="525" spans="2:2">
      <c r="B525" t="s">
        <v>1155</v>
      </c>
    </row>
    <row r="526" spans="2:2">
      <c r="B526" t="s">
        <v>1203</v>
      </c>
    </row>
    <row r="527" spans="2:2">
      <c r="B527" t="s">
        <v>1152</v>
      </c>
    </row>
    <row r="528" spans="2:2">
      <c r="B528" t="s">
        <v>1309</v>
      </c>
    </row>
    <row r="529" spans="2:2">
      <c r="B529" t="s">
        <v>1213</v>
      </c>
    </row>
    <row r="530" spans="2:2">
      <c r="B530" t="s">
        <v>1258</v>
      </c>
    </row>
    <row r="531" spans="2:2">
      <c r="B531" t="s">
        <v>1161</v>
      </c>
    </row>
    <row r="532" spans="2:2">
      <c r="B532" t="s">
        <v>1012</v>
      </c>
    </row>
    <row r="533" spans="2:2">
      <c r="B533" t="s">
        <v>1146</v>
      </c>
    </row>
    <row r="534" spans="2:2">
      <c r="B534" t="s">
        <v>1332</v>
      </c>
    </row>
    <row r="535" spans="2:2">
      <c r="B535" t="s">
        <v>1335</v>
      </c>
    </row>
    <row r="536" spans="2:2">
      <c r="B536" t="s">
        <v>1184</v>
      </c>
    </row>
    <row r="537" spans="2:2">
      <c r="B537" t="s">
        <v>1048</v>
      </c>
    </row>
    <row r="538" spans="2:2">
      <c r="B538" t="s">
        <v>1040</v>
      </c>
    </row>
    <row r="539" spans="2:2">
      <c r="B539" t="s">
        <v>1210</v>
      </c>
    </row>
    <row r="540" spans="2:2">
      <c r="B540" t="s">
        <v>1268</v>
      </c>
    </row>
    <row r="541" spans="2:2">
      <c r="B541" t="s">
        <v>1251</v>
      </c>
    </row>
    <row r="542" spans="2:2">
      <c r="B542" t="s">
        <v>1302</v>
      </c>
    </row>
    <row r="543" spans="2:2">
      <c r="B543" t="s">
        <v>1234</v>
      </c>
    </row>
    <row r="544" spans="2:2">
      <c r="B544" t="s">
        <v>1179</v>
      </c>
    </row>
    <row r="545" spans="2:2">
      <c r="B545" t="s">
        <v>1269</v>
      </c>
    </row>
    <row r="546" spans="2:2">
      <c r="B546" t="s">
        <v>1019</v>
      </c>
    </row>
    <row r="547" spans="2:2">
      <c r="B547" t="s">
        <v>1053</v>
      </c>
    </row>
    <row r="548" spans="2:2">
      <c r="B548" t="s">
        <v>1233</v>
      </c>
    </row>
    <row r="549" spans="2:2">
      <c r="B549" t="s">
        <v>1225</v>
      </c>
    </row>
    <row r="550" spans="2:2">
      <c r="B550" t="s">
        <v>1194</v>
      </c>
    </row>
    <row r="551" spans="2:2">
      <c r="B551" t="s">
        <v>1224</v>
      </c>
    </row>
    <row r="552" spans="2:2">
      <c r="B552" t="s">
        <v>1242</v>
      </c>
    </row>
    <row r="553" spans="2:2">
      <c r="B553" t="s">
        <v>1315</v>
      </c>
    </row>
    <row r="554" spans="2:2">
      <c r="B554" t="s">
        <v>1297</v>
      </c>
    </row>
    <row r="555" spans="2:2">
      <c r="B555" t="s">
        <v>1067</v>
      </c>
    </row>
    <row r="556" spans="2:2">
      <c r="B556" t="s">
        <v>1026</v>
      </c>
    </row>
    <row r="557" spans="2:2">
      <c r="B557" t="s">
        <v>1319</v>
      </c>
    </row>
    <row r="558" spans="2:2">
      <c r="B558" t="s">
        <v>1185</v>
      </c>
    </row>
    <row r="559" spans="2:2">
      <c r="B559" t="s">
        <v>1076</v>
      </c>
    </row>
    <row r="560" spans="2:2">
      <c r="B560" t="s">
        <v>1244</v>
      </c>
    </row>
    <row r="561" spans="2:2">
      <c r="B561" t="s">
        <v>1130</v>
      </c>
    </row>
    <row r="562" spans="2:2">
      <c r="B562" t="s">
        <v>1303</v>
      </c>
    </row>
    <row r="563" spans="2:2">
      <c r="B563" t="s">
        <v>1208</v>
      </c>
    </row>
    <row r="564" spans="2:2">
      <c r="B564" t="s">
        <v>1010</v>
      </c>
    </row>
    <row r="565" spans="2:2">
      <c r="B565" t="s">
        <v>1343</v>
      </c>
    </row>
    <row r="566" spans="2:2">
      <c r="B566" t="s">
        <v>1089</v>
      </c>
    </row>
    <row r="567" spans="2:2">
      <c r="B567" t="s">
        <v>1023</v>
      </c>
    </row>
    <row r="568" spans="2:2">
      <c r="B568" t="s">
        <v>174</v>
      </c>
    </row>
    <row r="569" spans="2:2">
      <c r="B569" t="s">
        <v>1003</v>
      </c>
    </row>
    <row r="570" spans="2:2">
      <c r="B570" t="s">
        <v>1351</v>
      </c>
    </row>
    <row r="571" spans="2:2">
      <c r="B571" t="s">
        <v>1265</v>
      </c>
    </row>
    <row r="572" spans="2:2">
      <c r="B572" t="s">
        <v>1279</v>
      </c>
    </row>
    <row r="573" spans="2:2">
      <c r="B573" t="s">
        <v>1031</v>
      </c>
    </row>
    <row r="574" spans="2:2">
      <c r="B574" t="s">
        <v>1139</v>
      </c>
    </row>
    <row r="575" spans="2:2">
      <c r="B575" t="s">
        <v>1112</v>
      </c>
    </row>
    <row r="576" spans="2:2">
      <c r="B576" t="s">
        <v>1257</v>
      </c>
    </row>
    <row r="577" spans="2:2">
      <c r="B577" t="s">
        <v>1223</v>
      </c>
    </row>
    <row r="578" spans="2:2">
      <c r="B578" t="s">
        <v>1120</v>
      </c>
    </row>
    <row r="579" spans="2:2">
      <c r="B579" t="s">
        <v>1093</v>
      </c>
    </row>
    <row r="580" spans="2:2">
      <c r="B580" t="s">
        <v>1059</v>
      </c>
    </row>
    <row r="581" spans="2:2">
      <c r="B581" t="s">
        <v>1354</v>
      </c>
    </row>
    <row r="582" spans="2:2">
      <c r="B582" t="s">
        <v>1189</v>
      </c>
    </row>
    <row r="583" spans="2:2">
      <c r="B583" t="s">
        <v>1247</v>
      </c>
    </row>
    <row r="584" spans="2:2">
      <c r="B584" t="s">
        <v>1174</v>
      </c>
    </row>
    <row r="585" spans="2:2">
      <c r="B585" t="s">
        <v>1148</v>
      </c>
    </row>
    <row r="586" spans="2:2">
      <c r="B586" t="s">
        <v>1009</v>
      </c>
    </row>
    <row r="587" spans="2:2">
      <c r="B587" t="s">
        <v>1235</v>
      </c>
    </row>
    <row r="588" spans="2:2">
      <c r="B588" t="s">
        <v>1301</v>
      </c>
    </row>
    <row r="589" spans="2:2">
      <c r="B589" t="s">
        <v>1017</v>
      </c>
    </row>
    <row r="590" spans="2:2">
      <c r="B590" t="s">
        <v>1086</v>
      </c>
    </row>
    <row r="591" spans="2:2">
      <c r="B591" t="s">
        <v>1079</v>
      </c>
    </row>
    <row r="592" spans="2:2">
      <c r="B592" t="s">
        <v>1103</v>
      </c>
    </row>
    <row r="593" spans="2:2">
      <c r="B593" t="s">
        <v>1169</v>
      </c>
    </row>
    <row r="594" spans="2:2">
      <c r="B594" t="s">
        <v>1113</v>
      </c>
    </row>
    <row r="595" spans="2:2">
      <c r="B595" t="s">
        <v>1024</v>
      </c>
    </row>
    <row r="596" spans="2:2">
      <c r="B596" t="s">
        <v>1240</v>
      </c>
    </row>
    <row r="597" spans="2:2">
      <c r="B597" t="s">
        <v>1071</v>
      </c>
    </row>
    <row r="598" spans="2:2">
      <c r="B598" t="s">
        <v>1320</v>
      </c>
    </row>
    <row r="599" spans="2:2">
      <c r="B599" t="s">
        <v>1328</v>
      </c>
    </row>
    <row r="600" spans="2:2">
      <c r="B600" t="s">
        <v>1078</v>
      </c>
    </row>
    <row r="601" spans="2:2">
      <c r="B601" t="s">
        <v>1200</v>
      </c>
    </row>
    <row r="602" spans="2:2">
      <c r="B602" t="s">
        <v>1321</v>
      </c>
    </row>
    <row r="603" spans="2:2">
      <c r="B603" t="s">
        <v>1105</v>
      </c>
    </row>
    <row r="604" spans="2:2">
      <c r="B604" t="s">
        <v>1284</v>
      </c>
    </row>
    <row r="605" spans="2:2">
      <c r="B605" t="s">
        <v>1175</v>
      </c>
    </row>
    <row r="606" spans="2:2">
      <c r="B606" t="s">
        <v>1187</v>
      </c>
    </row>
    <row r="607" spans="2:2">
      <c r="B607" t="s">
        <v>1165</v>
      </c>
    </row>
    <row r="608" spans="2:2">
      <c r="B608" t="s">
        <v>1029</v>
      </c>
    </row>
    <row r="609" spans="2:2">
      <c r="B609" t="s">
        <v>1330</v>
      </c>
    </row>
    <row r="610" spans="2:2">
      <c r="B610" t="s">
        <v>1028</v>
      </c>
    </row>
    <row r="611" spans="2:2">
      <c r="B611" t="s">
        <v>1206</v>
      </c>
    </row>
    <row r="612" spans="2:2">
      <c r="B612" t="s">
        <v>1034</v>
      </c>
    </row>
    <row r="613" spans="2:2">
      <c r="B613" t="s">
        <v>1347</v>
      </c>
    </row>
    <row r="614" spans="2:2">
      <c r="B614" t="s">
        <v>1045</v>
      </c>
    </row>
    <row r="615" spans="2:2">
      <c r="B615" t="s">
        <v>1030</v>
      </c>
    </row>
    <row r="616" spans="2:2">
      <c r="B616" t="s">
        <v>1156</v>
      </c>
    </row>
    <row r="617" spans="2:2">
      <c r="B617" t="s">
        <v>997</v>
      </c>
    </row>
    <row r="618" spans="2:2">
      <c r="B618" t="s">
        <v>1188</v>
      </c>
    </row>
    <row r="619" spans="2:2">
      <c r="B619" t="s">
        <v>1069</v>
      </c>
    </row>
    <row r="620" spans="2:2">
      <c r="B620" t="s">
        <v>1255</v>
      </c>
    </row>
    <row r="621" spans="2:2">
      <c r="B621" t="s">
        <v>1296</v>
      </c>
    </row>
    <row r="622" spans="2:2">
      <c r="B622" t="s">
        <v>1054</v>
      </c>
    </row>
    <row r="623" spans="2:2">
      <c r="B623" t="s">
        <v>1346</v>
      </c>
    </row>
    <row r="624" spans="2:2">
      <c r="B624" t="s">
        <v>1140</v>
      </c>
    </row>
    <row r="625" spans="2:2">
      <c r="B625" t="s">
        <v>1193</v>
      </c>
    </row>
    <row r="626" spans="2:2">
      <c r="B626" t="s">
        <v>1236</v>
      </c>
    </row>
    <row r="627" spans="2:2">
      <c r="B627" t="s">
        <v>1322</v>
      </c>
    </row>
    <row r="628" spans="2:2">
      <c r="B628" t="s">
        <v>1088</v>
      </c>
    </row>
    <row r="629" spans="2:2">
      <c r="B629" t="s">
        <v>1281</v>
      </c>
    </row>
    <row r="630" spans="2:2">
      <c r="B630" t="s">
        <v>1141</v>
      </c>
    </row>
    <row r="631" spans="2:2">
      <c r="B631" t="s">
        <v>1005</v>
      </c>
    </row>
    <row r="632" spans="2:2">
      <c r="B632" t="s">
        <v>1195</v>
      </c>
    </row>
    <row r="633" spans="2:2">
      <c r="B633" t="s">
        <v>1038</v>
      </c>
    </row>
    <row r="634" spans="2:2">
      <c r="B634" t="s">
        <v>1027</v>
      </c>
    </row>
    <row r="635" spans="2:2">
      <c r="B635" t="s">
        <v>1166</v>
      </c>
    </row>
    <row r="636" spans="2:2">
      <c r="B636" t="s">
        <v>1106</v>
      </c>
    </row>
    <row r="637" spans="2:2">
      <c r="B637" t="s">
        <v>1163</v>
      </c>
    </row>
    <row r="638" spans="2:2">
      <c r="B638" t="s">
        <v>1171</v>
      </c>
    </row>
    <row r="639" spans="2:2">
      <c r="B639" t="s">
        <v>1243</v>
      </c>
    </row>
    <row r="640" spans="2:2">
      <c r="B640" t="s">
        <v>1007</v>
      </c>
    </row>
    <row r="641" spans="2:2">
      <c r="B641" t="s">
        <v>1066</v>
      </c>
    </row>
    <row r="642" spans="2:2">
      <c r="B642" t="s">
        <v>1075</v>
      </c>
    </row>
    <row r="643" spans="2:2">
      <c r="B643" t="s">
        <v>1202</v>
      </c>
    </row>
    <row r="644" spans="2:2">
      <c r="B644" t="s">
        <v>1084</v>
      </c>
    </row>
    <row r="645" spans="2:2">
      <c r="B645" t="s">
        <v>1123</v>
      </c>
    </row>
    <row r="646" spans="2:2">
      <c r="B646" t="s">
        <v>1162</v>
      </c>
    </row>
    <row r="647" spans="2:2">
      <c r="B647" t="s">
        <v>1035</v>
      </c>
    </row>
    <row r="648" spans="2:2">
      <c r="B648" t="s">
        <v>1065</v>
      </c>
    </row>
    <row r="649" spans="2:2">
      <c r="B649" t="s">
        <v>1044</v>
      </c>
    </row>
    <row r="650" spans="2:2">
      <c r="B650" t="s">
        <v>1183</v>
      </c>
    </row>
    <row r="651" spans="2:2">
      <c r="B651" t="s">
        <v>1036</v>
      </c>
    </row>
    <row r="652" spans="2:2">
      <c r="B652" t="s">
        <v>1204</v>
      </c>
    </row>
    <row r="653" spans="2:2">
      <c r="B653" t="s">
        <v>1314</v>
      </c>
    </row>
    <row r="654" spans="2:2">
      <c r="B654" t="s">
        <v>1196</v>
      </c>
    </row>
    <row r="655" spans="2:2">
      <c r="B655" t="s">
        <v>1177</v>
      </c>
    </row>
    <row r="656" spans="2:2">
      <c r="B656" t="s">
        <v>1299</v>
      </c>
    </row>
    <row r="657" spans="2:2">
      <c r="B657" t="s">
        <v>1087</v>
      </c>
    </row>
    <row r="658" spans="2:2">
      <c r="B658" t="s">
        <v>1336</v>
      </c>
    </row>
    <row r="659" spans="2:2">
      <c r="B659" t="s">
        <v>1154</v>
      </c>
    </row>
    <row r="660" spans="2:2">
      <c r="B660" t="s">
        <v>1323</v>
      </c>
    </row>
    <row r="661" spans="2:2">
      <c r="B661" t="s">
        <v>1264</v>
      </c>
    </row>
    <row r="662" spans="2:2">
      <c r="B662" t="s">
        <v>1126</v>
      </c>
    </row>
    <row r="663" spans="2:2">
      <c r="B663" t="s">
        <v>1117</v>
      </c>
    </row>
    <row r="664" spans="2:2">
      <c r="B664" t="s">
        <v>1199</v>
      </c>
    </row>
    <row r="665" spans="2:2">
      <c r="B665" t="s">
        <v>1331</v>
      </c>
    </row>
    <row r="666" spans="2:2">
      <c r="B666" t="s">
        <v>1295</v>
      </c>
    </row>
    <row r="667" spans="2:2">
      <c r="B667" t="s">
        <v>1292</v>
      </c>
    </row>
    <row r="668" spans="2:2">
      <c r="B668" t="s">
        <v>1172</v>
      </c>
    </row>
    <row r="669" spans="2:2">
      <c r="B669" t="s">
        <v>1290</v>
      </c>
    </row>
    <row r="670" spans="2:2">
      <c r="B670" t="s">
        <v>1259</v>
      </c>
    </row>
    <row r="671" spans="2:2">
      <c r="B671" t="s">
        <v>1316</v>
      </c>
    </row>
    <row r="672" spans="2:2">
      <c r="B672" t="s">
        <v>1008</v>
      </c>
    </row>
    <row r="673" spans="2:2">
      <c r="B673" t="s">
        <v>1256</v>
      </c>
    </row>
    <row r="674" spans="2:2">
      <c r="B674" t="s">
        <v>1080</v>
      </c>
    </row>
    <row r="675" spans="2:2">
      <c r="B675" t="s">
        <v>1282</v>
      </c>
    </row>
    <row r="676" spans="2:2">
      <c r="B676" t="s">
        <v>1238</v>
      </c>
    </row>
    <row r="677" spans="2:2">
      <c r="B677" t="s">
        <v>1158</v>
      </c>
    </row>
    <row r="678" spans="2:2">
      <c r="B678" t="s">
        <v>1119</v>
      </c>
    </row>
    <row r="679" spans="2:2">
      <c r="B679" t="s">
        <v>1102</v>
      </c>
    </row>
    <row r="680" spans="2:2">
      <c r="B680" t="s">
        <v>1049</v>
      </c>
    </row>
    <row r="681" spans="2:2">
      <c r="B681" t="s">
        <v>1032</v>
      </c>
    </row>
    <row r="682" spans="2:2">
      <c r="B682" t="s">
        <v>1094</v>
      </c>
    </row>
    <row r="683" spans="2:2">
      <c r="B683" t="s">
        <v>1344</v>
      </c>
    </row>
    <row r="684" spans="2:2">
      <c r="B684" t="s">
        <v>1345</v>
      </c>
    </row>
    <row r="685" spans="2:2">
      <c r="B685" t="s">
        <v>1132</v>
      </c>
    </row>
    <row r="686" spans="2:2">
      <c r="B686" t="s">
        <v>1254</v>
      </c>
    </row>
    <row r="687" spans="2:2">
      <c r="B687" t="s">
        <v>1062</v>
      </c>
    </row>
    <row r="688" spans="2:2">
      <c r="B688" t="s">
        <v>1063</v>
      </c>
    </row>
    <row r="689" spans="2:2">
      <c r="B689" t="s">
        <v>1249</v>
      </c>
    </row>
    <row r="690" spans="2:2">
      <c r="B690" t="s">
        <v>1298</v>
      </c>
    </row>
    <row r="691" spans="2:2">
      <c r="B691" t="s">
        <v>1277</v>
      </c>
    </row>
    <row r="692" spans="2:2">
      <c r="B692" t="s">
        <v>1278</v>
      </c>
    </row>
    <row r="693" spans="2:2">
      <c r="B693" t="s">
        <v>1349</v>
      </c>
    </row>
    <row r="694" spans="2:2">
      <c r="B694" t="s">
        <v>1286</v>
      </c>
    </row>
    <row r="695" spans="2:2">
      <c r="B695" t="s">
        <v>1327</v>
      </c>
    </row>
    <row r="696" spans="2:2">
      <c r="B696" t="s">
        <v>1294</v>
      </c>
    </row>
    <row r="697" spans="2:2">
      <c r="B697" t="s">
        <v>1317</v>
      </c>
    </row>
    <row r="698" spans="2:2">
      <c r="B698" t="s">
        <v>1272</v>
      </c>
    </row>
    <row r="699" spans="2:2">
      <c r="B699" t="s">
        <v>1307</v>
      </c>
    </row>
    <row r="700" spans="2:2">
      <c r="B700" t="s">
        <v>1326</v>
      </c>
    </row>
    <row r="701" spans="2:2">
      <c r="B701" t="s">
        <v>1207</v>
      </c>
    </row>
    <row r="702" spans="2:2">
      <c r="B702" t="s">
        <v>1082</v>
      </c>
    </row>
    <row r="703" spans="2:2">
      <c r="B703" t="s">
        <v>1311</v>
      </c>
    </row>
    <row r="704" spans="2:2">
      <c r="B704" t="s">
        <v>1310</v>
      </c>
    </row>
  </sheetData>
  <mergeCells count="38">
    <mergeCell ref="R77:AI77"/>
    <mergeCell ref="A91:M91"/>
    <mergeCell ref="F110:F118"/>
    <mergeCell ref="A40:M40"/>
    <mergeCell ref="A56:M56"/>
    <mergeCell ref="C77:K77"/>
    <mergeCell ref="L77:Q77"/>
    <mergeCell ref="C93:K93"/>
    <mergeCell ref="L93:Q93"/>
    <mergeCell ref="R93:AI93"/>
    <mergeCell ref="A107:M107"/>
    <mergeCell ref="J109:K109"/>
    <mergeCell ref="C121:D121"/>
    <mergeCell ref="F121:F122"/>
    <mergeCell ref="G121:G122"/>
    <mergeCell ref="O121:O123"/>
    <mergeCell ref="P121:R121"/>
    <mergeCell ref="P122:R122"/>
    <mergeCell ref="P123:R123"/>
    <mergeCell ref="O124:O126"/>
    <mergeCell ref="P124:R124"/>
    <mergeCell ref="P125:R125"/>
    <mergeCell ref="H126:H132"/>
    <mergeCell ref="P126:R126"/>
    <mergeCell ref="O127:O130"/>
    <mergeCell ref="P128:P130"/>
    <mergeCell ref="Q128:Q130"/>
    <mergeCell ref="O131:O132"/>
    <mergeCell ref="O134:O135"/>
    <mergeCell ref="C143:D143"/>
    <mergeCell ref="B150:B151"/>
    <mergeCell ref="B153:B154"/>
    <mergeCell ref="A166:M166"/>
    <mergeCell ref="B168:C168"/>
    <mergeCell ref="A186:M186"/>
    <mergeCell ref="A271:M271"/>
    <mergeCell ref="B285:B299"/>
    <mergeCell ref="N134:N13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3206D-30C9-4874-B4EA-25AC219BA5CA}">
  <sheetPr codeName="Hoja4"/>
  <dimension ref="A1:T200"/>
  <sheetViews>
    <sheetView zoomScale="85" zoomScaleNormal="85" workbookViewId="0">
      <selection activeCell="N19" sqref="N19"/>
    </sheetView>
  </sheetViews>
  <sheetFormatPr baseColWidth="10" defaultColWidth="11.42578125" defaultRowHeight="12.75"/>
  <cols>
    <col min="1" max="1" width="48.140625" style="442" bestFit="1" customWidth="1"/>
    <col min="2" max="3" width="11.42578125" style="162"/>
    <col min="4" max="4" width="45.140625" style="162" customWidth="1"/>
    <col min="5" max="6" width="11.42578125" style="162"/>
    <col min="7" max="7" width="2.42578125" style="162" customWidth="1"/>
    <col min="8" max="8" width="1.140625" style="162" customWidth="1"/>
    <col min="9" max="9" width="31.5703125" style="162" bestFit="1" customWidth="1"/>
    <col min="10" max="10" width="32" style="162" customWidth="1"/>
    <col min="11" max="11" width="10.85546875" style="162" bestFit="1" customWidth="1"/>
    <col min="12" max="12" width="11.140625" style="162" bestFit="1" customWidth="1"/>
    <col min="13" max="13" width="7.7109375" style="162" bestFit="1" customWidth="1"/>
    <col min="14" max="16" width="11.42578125" style="162"/>
    <col min="17" max="18" width="16.42578125" style="162" bestFit="1" customWidth="1"/>
    <col min="19" max="19" width="14.28515625" style="162" bestFit="1" customWidth="1"/>
    <col min="20" max="16384" width="11.42578125" style="162"/>
  </cols>
  <sheetData>
    <row r="1" spans="1:20" ht="25.5">
      <c r="A1" s="442" t="s">
        <v>224</v>
      </c>
      <c r="B1" s="165" t="s">
        <v>3</v>
      </c>
      <c r="C1" s="166" t="s">
        <v>225</v>
      </c>
      <c r="D1" s="165" t="s">
        <v>226</v>
      </c>
      <c r="E1" s="167" t="s">
        <v>207</v>
      </c>
      <c r="F1" s="171" t="s">
        <v>227</v>
      </c>
    </row>
    <row r="2" spans="1:20">
      <c r="A2" s="442" t="str">
        <f>B2&amp;" | "&amp;C2&amp;" | "&amp;D2</f>
        <v>INNO | Ops | IPD001  Product Test</v>
      </c>
      <c r="B2" s="160" t="s">
        <v>4</v>
      </c>
      <c r="C2" s="161" t="s">
        <v>8</v>
      </c>
      <c r="D2" s="161" t="s">
        <v>6</v>
      </c>
      <c r="E2" s="161">
        <v>1</v>
      </c>
      <c r="I2" s="172" t="s">
        <v>228</v>
      </c>
      <c r="J2" s="172" t="s">
        <v>229</v>
      </c>
      <c r="K2" s="172" t="s">
        <v>230</v>
      </c>
      <c r="L2" s="172" t="s">
        <v>231</v>
      </c>
      <c r="M2" s="172" t="s">
        <v>232</v>
      </c>
      <c r="N2" s="172" t="s">
        <v>233</v>
      </c>
      <c r="O2" s="172" t="s">
        <v>234</v>
      </c>
      <c r="P2" s="172" t="s">
        <v>235</v>
      </c>
      <c r="Q2" s="172" t="s">
        <v>174</v>
      </c>
      <c r="R2" s="172" t="s">
        <v>236</v>
      </c>
      <c r="S2" s="172" t="s">
        <v>237</v>
      </c>
      <c r="T2" s="172" t="s">
        <v>238</v>
      </c>
    </row>
    <row r="3" spans="1:20" ht="15">
      <c r="A3" s="442" t="str">
        <f t="shared" ref="A3:A66" si="0">B3&amp;" | "&amp;C3&amp;" | "&amp;D3</f>
        <v>INNO | IIS | IPD001  Product Test</v>
      </c>
      <c r="B3" s="160" t="s">
        <v>4</v>
      </c>
      <c r="C3" s="161" t="s">
        <v>239</v>
      </c>
      <c r="D3" s="161" t="s">
        <v>6</v>
      </c>
      <c r="E3" s="161" t="s">
        <v>240</v>
      </c>
      <c r="I3" s="173" t="s">
        <v>241</v>
      </c>
      <c r="J3" s="237">
        <v>639787</v>
      </c>
      <c r="K3" s="238">
        <v>750760.34439999994</v>
      </c>
      <c r="L3" s="238">
        <v>750760.34439999994</v>
      </c>
      <c r="M3" s="238">
        <v>750760.34439999994</v>
      </c>
      <c r="N3" s="238">
        <v>750760.34439999994</v>
      </c>
      <c r="O3" s="238">
        <v>750760.34439999994</v>
      </c>
      <c r="P3" s="239">
        <v>750760.34439999994</v>
      </c>
      <c r="Q3" s="240">
        <v>750760.34439999994</v>
      </c>
      <c r="R3" s="238">
        <v>750760.34439999994</v>
      </c>
      <c r="S3" s="242">
        <v>750760.34439999994</v>
      </c>
      <c r="T3" s="238">
        <f>+Q3</f>
        <v>750760.34439999994</v>
      </c>
    </row>
    <row r="4" spans="1:20" ht="15">
      <c r="A4" s="442" t="str">
        <f t="shared" si="0"/>
        <v>INNO | Digital | IPD001  Product Test</v>
      </c>
      <c r="B4" s="160" t="s">
        <v>4</v>
      </c>
      <c r="C4" s="161" t="s">
        <v>242</v>
      </c>
      <c r="D4" s="161" t="s">
        <v>6</v>
      </c>
      <c r="E4" s="161" t="s">
        <v>240</v>
      </c>
      <c r="I4" s="173" t="s">
        <v>243</v>
      </c>
      <c r="J4" s="237">
        <v>639787</v>
      </c>
      <c r="K4" s="238">
        <v>507286.59259999997</v>
      </c>
      <c r="L4" s="238">
        <v>644068.68439999991</v>
      </c>
      <c r="M4" s="238">
        <v>453020.82459999993</v>
      </c>
      <c r="N4" s="238">
        <v>507845.95719999995</v>
      </c>
      <c r="O4" s="238">
        <v>418672.24300000002</v>
      </c>
      <c r="P4" s="239">
        <v>541149.82759999996</v>
      </c>
      <c r="Q4" s="239">
        <v>750760.34439999994</v>
      </c>
      <c r="R4" s="241">
        <v>565457.33879999991</v>
      </c>
      <c r="S4" s="243">
        <v>507286.59259999997</v>
      </c>
      <c r="T4" s="238">
        <f>+R4</f>
        <v>565457.33879999991</v>
      </c>
    </row>
    <row r="5" spans="1:20" ht="15">
      <c r="A5" s="442" t="str">
        <f t="shared" si="0"/>
        <v>INNO | L4 | IPD001  Product Test</v>
      </c>
      <c r="B5" s="160" t="s">
        <v>4</v>
      </c>
      <c r="C5" s="161" t="s">
        <v>61</v>
      </c>
      <c r="D5" s="161" t="s">
        <v>6</v>
      </c>
      <c r="E5" s="161">
        <v>14</v>
      </c>
      <c r="I5" s="173" t="s">
        <v>244</v>
      </c>
      <c r="J5" s="237">
        <v>478759</v>
      </c>
      <c r="K5" s="238">
        <v>417837.95439999999</v>
      </c>
      <c r="L5" s="238">
        <v>560437.86099999992</v>
      </c>
      <c r="M5" s="238">
        <v>319902.62379999994</v>
      </c>
      <c r="N5" s="238">
        <v>402002.33199999994</v>
      </c>
      <c r="O5" s="238">
        <v>418672.24300000002</v>
      </c>
      <c r="P5" s="239">
        <v>402584.95939999993</v>
      </c>
      <c r="Q5" s="239">
        <v>324282.37459999998</v>
      </c>
      <c r="R5" s="238">
        <v>565457.33879999991</v>
      </c>
      <c r="S5" s="243">
        <v>417837.95439999999</v>
      </c>
      <c r="T5" s="238">
        <f>+M5</f>
        <v>319902.62379999994</v>
      </c>
    </row>
    <row r="6" spans="1:20" ht="15">
      <c r="A6" s="442" t="str">
        <f t="shared" si="0"/>
        <v>INNO | L5 | IPD001  Product Test</v>
      </c>
      <c r="B6" s="160" t="s">
        <v>4</v>
      </c>
      <c r="C6" s="161" t="s">
        <v>62</v>
      </c>
      <c r="D6" s="161" t="s">
        <v>6</v>
      </c>
      <c r="E6" s="161">
        <v>20</v>
      </c>
      <c r="I6" s="173" t="s">
        <v>245</v>
      </c>
      <c r="J6" s="237">
        <v>220365</v>
      </c>
      <c r="K6" s="238">
        <v>279134.56679999997</v>
      </c>
      <c r="L6" s="238">
        <v>273441.52519999997</v>
      </c>
      <c r="M6" s="238">
        <v>311783.90659999999</v>
      </c>
      <c r="N6" s="241">
        <v>233797.48439999999</v>
      </c>
      <c r="O6" s="238">
        <v>274152.098</v>
      </c>
      <c r="P6" s="239">
        <v>253957.87279999998</v>
      </c>
      <c r="Q6" s="239">
        <v>279134.56679999997</v>
      </c>
      <c r="R6" s="238">
        <v>191534.26379999996</v>
      </c>
      <c r="S6" s="243">
        <v>297513.23619999998</v>
      </c>
      <c r="T6" s="238">
        <f>+N6</f>
        <v>233797.48439999999</v>
      </c>
    </row>
    <row r="7" spans="1:20" ht="15">
      <c r="A7" s="442" t="str">
        <f t="shared" si="0"/>
        <v>INNO | L6 | IPD001  Product Test</v>
      </c>
      <c r="B7" s="160" t="s">
        <v>4</v>
      </c>
      <c r="C7" s="161" t="s">
        <v>63</v>
      </c>
      <c r="D7" s="161" t="s">
        <v>6</v>
      </c>
      <c r="E7" s="161">
        <v>80</v>
      </c>
      <c r="I7" s="173" t="s">
        <v>246</v>
      </c>
      <c r="J7" s="237">
        <v>121326</v>
      </c>
      <c r="K7" s="238">
        <v>140348.70199999999</v>
      </c>
      <c r="L7" s="238">
        <v>168527.35459999999</v>
      </c>
      <c r="M7" s="238">
        <v>158297.00959999999</v>
      </c>
      <c r="N7" s="238">
        <v>169282.33819999997</v>
      </c>
      <c r="O7" s="238">
        <v>126990.56779999999</v>
      </c>
      <c r="P7" s="239">
        <v>139081.9368</v>
      </c>
      <c r="Q7" s="239">
        <v>145927.54439999998</v>
      </c>
      <c r="R7" s="238">
        <v>133120.31559999997</v>
      </c>
      <c r="S7" s="243">
        <v>152670.58419999998</v>
      </c>
      <c r="T7" s="238">
        <f>+S7</f>
        <v>152670.58419999998</v>
      </c>
    </row>
    <row r="8" spans="1:20" ht="15">
      <c r="A8" s="442" t="str">
        <f t="shared" si="0"/>
        <v>INNO | L7 | IPD001  Product Test</v>
      </c>
      <c r="B8" s="160" t="s">
        <v>4</v>
      </c>
      <c r="C8" s="161" t="s">
        <v>64</v>
      </c>
      <c r="D8" s="161" t="s">
        <v>6</v>
      </c>
      <c r="E8" s="161">
        <v>82</v>
      </c>
      <c r="I8" s="173" t="s">
        <v>247</v>
      </c>
      <c r="J8" s="237">
        <v>81046</v>
      </c>
      <c r="K8" s="238">
        <v>95635.485599999985</v>
      </c>
      <c r="L8" s="238">
        <v>114993.30739999999</v>
      </c>
      <c r="M8" s="238">
        <v>110265.67199999999</v>
      </c>
      <c r="N8" s="238">
        <v>115969.28759999998</v>
      </c>
      <c r="O8" s="238">
        <v>91668.120800000004</v>
      </c>
      <c r="P8" s="239">
        <v>78463.309599999993</v>
      </c>
      <c r="Q8" s="239">
        <v>97287.14439999999</v>
      </c>
      <c r="R8" s="238">
        <v>99374.45199999999</v>
      </c>
      <c r="S8" s="244">
        <v>121589.36859999999</v>
      </c>
      <c r="T8" s="238">
        <f>+S8</f>
        <v>121589.36859999999</v>
      </c>
    </row>
    <row r="9" spans="1:20" ht="14.25" customHeight="1">
      <c r="A9" s="442" t="str">
        <f t="shared" si="0"/>
        <v>INNO | Ops | ICI001  Custom Inno &amp; Forecasting</v>
      </c>
      <c r="B9" s="160" t="s">
        <v>4</v>
      </c>
      <c r="C9" s="161" t="s">
        <v>8</v>
      </c>
      <c r="D9" s="161" t="s">
        <v>248</v>
      </c>
      <c r="E9" s="161" t="s">
        <v>240</v>
      </c>
      <c r="I9" s="173" t="s">
        <v>249</v>
      </c>
      <c r="J9" s="237">
        <v>60427</v>
      </c>
      <c r="K9" s="241">
        <v>46628.167799999996</v>
      </c>
      <c r="L9" s="238">
        <v>61308.051999999996</v>
      </c>
      <c r="M9" s="238">
        <v>61308.051999999996</v>
      </c>
      <c r="N9" s="238">
        <v>42601.588599999995</v>
      </c>
      <c r="O9" s="238">
        <v>41657.330399999999</v>
      </c>
      <c r="P9" s="239">
        <v>46826.958999999995</v>
      </c>
      <c r="Q9" s="239">
        <v>46826.958999999995</v>
      </c>
      <c r="R9" s="238">
        <v>48436.321799999998</v>
      </c>
      <c r="S9" s="243">
        <v>61308.051999999996</v>
      </c>
      <c r="T9" s="238">
        <f>+K9</f>
        <v>46628.167799999996</v>
      </c>
    </row>
    <row r="10" spans="1:20">
      <c r="A10" s="442" t="str">
        <f t="shared" si="0"/>
        <v>INNO | IIS | ICI001  Custom Inno &amp; Forecasting</v>
      </c>
      <c r="B10" s="160" t="s">
        <v>4</v>
      </c>
      <c r="C10" s="161" t="s">
        <v>239</v>
      </c>
      <c r="D10" s="161" t="s">
        <v>248</v>
      </c>
      <c r="E10" s="161">
        <v>1</v>
      </c>
      <c r="M10" s="636"/>
      <c r="Q10" s="636"/>
    </row>
    <row r="11" spans="1:20">
      <c r="A11" s="442" t="str">
        <f t="shared" si="0"/>
        <v>INNO | Digital | ICI001  Custom Inno &amp; Forecasting</v>
      </c>
      <c r="B11" s="160" t="s">
        <v>4</v>
      </c>
      <c r="C11" s="161" t="s">
        <v>242</v>
      </c>
      <c r="D11" s="161" t="s">
        <v>248</v>
      </c>
      <c r="E11" s="161" t="s">
        <v>240</v>
      </c>
      <c r="M11" s="638"/>
      <c r="Q11" s="638"/>
    </row>
    <row r="12" spans="1:20" ht="49.5" customHeight="1">
      <c r="A12" s="442" t="str">
        <f t="shared" si="0"/>
        <v>INNO | L4 | ICI001  Custom Inno &amp; Forecasting</v>
      </c>
      <c r="B12" s="160" t="s">
        <v>4</v>
      </c>
      <c r="C12" s="161" t="s">
        <v>61</v>
      </c>
      <c r="D12" s="161" t="s">
        <v>248</v>
      </c>
      <c r="E12" s="161">
        <v>3</v>
      </c>
      <c r="I12" s="172" t="s">
        <v>250</v>
      </c>
      <c r="J12" s="172" t="s">
        <v>229</v>
      </c>
      <c r="K12" s="247" t="s">
        <v>251</v>
      </c>
      <c r="L12" s="246" t="s">
        <v>252</v>
      </c>
      <c r="Q12" s="637"/>
      <c r="R12" s="637"/>
    </row>
    <row r="13" spans="1:20" ht="15">
      <c r="A13" s="442" t="str">
        <f t="shared" si="0"/>
        <v>INNO | L5 | ICI001  Custom Inno &amp; Forecasting</v>
      </c>
      <c r="B13" s="160" t="s">
        <v>4</v>
      </c>
      <c r="C13" s="161" t="s">
        <v>62</v>
      </c>
      <c r="D13" s="161" t="s">
        <v>248</v>
      </c>
      <c r="E13" s="161">
        <v>31</v>
      </c>
      <c r="I13" s="173" t="s">
        <v>244</v>
      </c>
      <c r="J13" s="174">
        <v>64142</v>
      </c>
      <c r="K13" s="175">
        <v>74672</v>
      </c>
      <c r="L13" s="238">
        <v>64142</v>
      </c>
      <c r="Q13" s="637"/>
      <c r="S13" s="639"/>
    </row>
    <row r="14" spans="1:20" ht="15">
      <c r="A14" s="442" t="str">
        <f t="shared" si="0"/>
        <v>INNO | L6 | ICI001  Custom Inno &amp; Forecasting</v>
      </c>
      <c r="B14" s="160" t="s">
        <v>4</v>
      </c>
      <c r="C14" s="161" t="s">
        <v>63</v>
      </c>
      <c r="D14" s="161" t="s">
        <v>248</v>
      </c>
      <c r="E14" s="161">
        <v>78</v>
      </c>
      <c r="I14" s="173" t="s">
        <v>245</v>
      </c>
      <c r="J14" s="174">
        <v>64142</v>
      </c>
      <c r="K14" s="175">
        <v>74672</v>
      </c>
      <c r="L14" s="238">
        <v>64142</v>
      </c>
      <c r="Q14" s="637"/>
      <c r="R14" s="639"/>
    </row>
    <row r="15" spans="1:20" ht="15">
      <c r="A15" s="442" t="str">
        <f t="shared" si="0"/>
        <v>INNO | L7 | ICI001  Custom Inno &amp; Forecasting</v>
      </c>
      <c r="B15" s="160" t="s">
        <v>4</v>
      </c>
      <c r="C15" s="161" t="s">
        <v>64</v>
      </c>
      <c r="D15" s="161" t="s">
        <v>248</v>
      </c>
      <c r="E15" s="161">
        <v>88</v>
      </c>
      <c r="I15" s="173" t="s">
        <v>246</v>
      </c>
      <c r="J15" s="174">
        <v>64142</v>
      </c>
      <c r="K15" s="175">
        <v>74672</v>
      </c>
      <c r="L15" s="238">
        <v>64142</v>
      </c>
    </row>
    <row r="16" spans="1:20" ht="15">
      <c r="A16" s="442" t="str">
        <f t="shared" si="0"/>
        <v>INNO | Ops | INC002  Inno Line</v>
      </c>
      <c r="B16" s="160" t="s">
        <v>4</v>
      </c>
      <c r="C16" s="161" t="s">
        <v>8</v>
      </c>
      <c r="D16" s="160" t="s">
        <v>253</v>
      </c>
      <c r="E16" s="160" t="s">
        <v>240</v>
      </c>
      <c r="I16" s="173" t="s">
        <v>247</v>
      </c>
      <c r="J16" s="174">
        <v>63211</v>
      </c>
      <c r="K16" s="175">
        <v>72934</v>
      </c>
      <c r="L16" s="238">
        <v>63211</v>
      </c>
      <c r="M16" s="637"/>
      <c r="R16" s="639"/>
    </row>
    <row r="17" spans="1:12" ht="15">
      <c r="A17" s="442" t="str">
        <f t="shared" si="0"/>
        <v>INNO | IIS | INC002  Inno Line</v>
      </c>
      <c r="B17" s="160" t="s">
        <v>4</v>
      </c>
      <c r="C17" s="161" t="s">
        <v>239</v>
      </c>
      <c r="D17" s="160" t="s">
        <v>253</v>
      </c>
      <c r="E17" s="160">
        <v>1</v>
      </c>
      <c r="I17" s="173" t="s">
        <v>249</v>
      </c>
      <c r="J17" s="174">
        <v>63211</v>
      </c>
      <c r="K17" s="175">
        <v>72934</v>
      </c>
      <c r="L17" s="238">
        <v>63211</v>
      </c>
    </row>
    <row r="18" spans="1:12">
      <c r="A18" s="442" t="str">
        <f t="shared" si="0"/>
        <v>INNO | Digital | INC002  Inno Line</v>
      </c>
      <c r="B18" s="160" t="s">
        <v>4</v>
      </c>
      <c r="C18" s="161" t="s">
        <v>242</v>
      </c>
      <c r="D18" s="160" t="s">
        <v>253</v>
      </c>
      <c r="E18" s="160" t="s">
        <v>240</v>
      </c>
    </row>
    <row r="19" spans="1:12">
      <c r="A19" s="442" t="str">
        <f t="shared" si="0"/>
        <v>INNO | L4 | INC002  Inno Line</v>
      </c>
      <c r="B19" s="160" t="s">
        <v>4</v>
      </c>
      <c r="C19" s="161" t="s">
        <v>61</v>
      </c>
      <c r="D19" s="160" t="s">
        <v>253</v>
      </c>
      <c r="E19" s="160">
        <v>9</v>
      </c>
    </row>
    <row r="20" spans="1:12">
      <c r="A20" s="442" t="str">
        <f t="shared" si="0"/>
        <v>INNO | L5 | INC002  Inno Line</v>
      </c>
      <c r="B20" s="160" t="s">
        <v>4</v>
      </c>
      <c r="C20" s="161" t="s">
        <v>62</v>
      </c>
      <c r="D20" s="160" t="s">
        <v>253</v>
      </c>
      <c r="E20" s="160">
        <v>17</v>
      </c>
      <c r="I20" s="172" t="s">
        <v>254</v>
      </c>
      <c r="J20" s="172" t="s">
        <v>255</v>
      </c>
      <c r="K20" s="249">
        <v>0.16522000000000001</v>
      </c>
    </row>
    <row r="21" spans="1:12" ht="15">
      <c r="A21" s="442" t="str">
        <f t="shared" si="0"/>
        <v>INNO | L6 | INC002  Inno Line</v>
      </c>
      <c r="B21" s="160" t="s">
        <v>4</v>
      </c>
      <c r="C21" s="161" t="s">
        <v>63</v>
      </c>
      <c r="D21" s="160" t="s">
        <v>253</v>
      </c>
      <c r="E21" s="160">
        <v>79</v>
      </c>
      <c r="I21" s="173" t="s">
        <v>256</v>
      </c>
      <c r="J21" s="245">
        <v>11436</v>
      </c>
      <c r="K21" s="162">
        <f>+J21*$K$20</f>
        <v>1889.4559200000001</v>
      </c>
      <c r="L21" s="248">
        <f>+J21+K21</f>
        <v>13325.45592</v>
      </c>
    </row>
    <row r="22" spans="1:12" ht="15">
      <c r="A22" s="442" t="str">
        <f t="shared" si="0"/>
        <v>INNO | L7 | INC002  Inno Line</v>
      </c>
      <c r="B22" s="160" t="s">
        <v>4</v>
      </c>
      <c r="C22" s="161" t="s">
        <v>64</v>
      </c>
      <c r="D22" s="160" t="s">
        <v>253</v>
      </c>
      <c r="E22" s="160">
        <v>71</v>
      </c>
      <c r="I22" s="173" t="s">
        <v>257</v>
      </c>
      <c r="J22" s="245">
        <v>11436</v>
      </c>
      <c r="K22" s="162">
        <f t="shared" ref="K22:K27" si="1">+J22*$K$20</f>
        <v>1889.4559200000001</v>
      </c>
      <c r="L22" s="248">
        <f t="shared" ref="L22:L27" si="2">+J22+K22</f>
        <v>13325.45592</v>
      </c>
    </row>
    <row r="23" spans="1:12" ht="15">
      <c r="A23" s="442" t="str">
        <f t="shared" si="0"/>
        <v>INNO | Ops | INC003  Inno Price</v>
      </c>
      <c r="B23" s="160" t="s">
        <v>4</v>
      </c>
      <c r="C23" s="161" t="s">
        <v>8</v>
      </c>
      <c r="D23" s="160" t="s">
        <v>258</v>
      </c>
      <c r="E23" s="161">
        <v>1</v>
      </c>
      <c r="I23" s="173" t="s">
        <v>259</v>
      </c>
      <c r="J23" s="245">
        <v>9037</v>
      </c>
      <c r="K23" s="162">
        <f t="shared" si="1"/>
        <v>1493.0931399999999</v>
      </c>
      <c r="L23" s="248">
        <f t="shared" si="2"/>
        <v>10530.093140000001</v>
      </c>
    </row>
    <row r="24" spans="1:12" ht="15">
      <c r="A24" s="442" t="str">
        <f t="shared" si="0"/>
        <v>INNO | IIS | INC003  Inno Price</v>
      </c>
      <c r="B24" s="160" t="s">
        <v>4</v>
      </c>
      <c r="C24" s="161" t="s">
        <v>239</v>
      </c>
      <c r="D24" s="160" t="s">
        <v>258</v>
      </c>
      <c r="E24" s="161">
        <v>1</v>
      </c>
      <c r="I24" s="173" t="s">
        <v>260</v>
      </c>
      <c r="J24" s="245">
        <v>9037</v>
      </c>
      <c r="K24" s="162">
        <f t="shared" si="1"/>
        <v>1493.0931399999999</v>
      </c>
      <c r="L24" s="248">
        <f t="shared" si="2"/>
        <v>10530.093140000001</v>
      </c>
    </row>
    <row r="25" spans="1:12" ht="15">
      <c r="A25" s="442" t="str">
        <f t="shared" si="0"/>
        <v>INNO | Digital | INC003  Inno Price</v>
      </c>
      <c r="B25" s="160" t="s">
        <v>4</v>
      </c>
      <c r="C25" s="161" t="s">
        <v>242</v>
      </c>
      <c r="D25" s="160" t="s">
        <v>258</v>
      </c>
      <c r="E25" s="161" t="s">
        <v>240</v>
      </c>
      <c r="I25" s="173" t="s">
        <v>261</v>
      </c>
      <c r="J25" s="245">
        <v>9859</v>
      </c>
      <c r="K25" s="162">
        <f t="shared" si="1"/>
        <v>1628.90398</v>
      </c>
      <c r="L25" s="248">
        <f t="shared" si="2"/>
        <v>11487.903979999999</v>
      </c>
    </row>
    <row r="26" spans="1:12" ht="15">
      <c r="A26" s="442" t="str">
        <f t="shared" si="0"/>
        <v>INNO | L4 | INC003  Inno Price</v>
      </c>
      <c r="B26" s="160" t="s">
        <v>4</v>
      </c>
      <c r="C26" s="161" t="s">
        <v>61</v>
      </c>
      <c r="D26" s="160" t="s">
        <v>258</v>
      </c>
      <c r="E26" s="161">
        <v>9</v>
      </c>
      <c r="I26" s="173" t="s">
        <v>262</v>
      </c>
      <c r="J26" s="245">
        <v>11261</v>
      </c>
      <c r="K26" s="162">
        <f t="shared" si="1"/>
        <v>1860.54242</v>
      </c>
      <c r="L26" s="248">
        <f t="shared" si="2"/>
        <v>13121.54242</v>
      </c>
    </row>
    <row r="27" spans="1:12" ht="15">
      <c r="A27" s="442" t="str">
        <f t="shared" si="0"/>
        <v>INNO | L5 | INC003  Inno Price</v>
      </c>
      <c r="B27" s="160" t="s">
        <v>4</v>
      </c>
      <c r="C27" s="161" t="s">
        <v>62</v>
      </c>
      <c r="D27" s="160" t="s">
        <v>258</v>
      </c>
      <c r="E27" s="161">
        <v>17</v>
      </c>
      <c r="I27" s="173" t="s">
        <v>263</v>
      </c>
      <c r="J27" s="245">
        <v>14612</v>
      </c>
      <c r="K27" s="162">
        <f t="shared" si="1"/>
        <v>2414.1946400000002</v>
      </c>
      <c r="L27" s="248">
        <f t="shared" si="2"/>
        <v>17026.194640000002</v>
      </c>
    </row>
    <row r="28" spans="1:12" ht="15">
      <c r="A28" s="442" t="str">
        <f t="shared" si="0"/>
        <v>INNO | L6 | INC003  Inno Price</v>
      </c>
      <c r="B28" s="160" t="s">
        <v>4</v>
      </c>
      <c r="C28" s="161" t="s">
        <v>63</v>
      </c>
      <c r="D28" s="160" t="s">
        <v>258</v>
      </c>
      <c r="E28" s="161">
        <v>79</v>
      </c>
      <c r="I28"/>
      <c r="J28" s="137"/>
    </row>
    <row r="29" spans="1:12" ht="15">
      <c r="A29" s="442" t="str">
        <f t="shared" si="0"/>
        <v>INNO | L7 | INC003  Inno Price</v>
      </c>
      <c r="B29" s="160" t="s">
        <v>4</v>
      </c>
      <c r="C29" s="161" t="s">
        <v>64</v>
      </c>
      <c r="D29" s="160" t="s">
        <v>258</v>
      </c>
      <c r="E29" s="161">
        <v>71</v>
      </c>
      <c r="I29"/>
      <c r="J29" s="137"/>
    </row>
    <row r="30" spans="1:12" ht="15">
      <c r="A30" s="442" t="str">
        <f t="shared" si="0"/>
        <v>INNO | Ops | ICO006  InnoTest Manual</v>
      </c>
      <c r="B30" s="160" t="s">
        <v>4</v>
      </c>
      <c r="C30" s="161" t="s">
        <v>8</v>
      </c>
      <c r="D30" s="160" t="s">
        <v>264</v>
      </c>
      <c r="E30" s="161" t="s">
        <v>240</v>
      </c>
      <c r="I30"/>
      <c r="J30" s="137"/>
    </row>
    <row r="31" spans="1:12" ht="15">
      <c r="A31" s="442" t="str">
        <f t="shared" si="0"/>
        <v>INNO | IIS | ICO006  InnoTest Manual</v>
      </c>
      <c r="B31" s="160" t="s">
        <v>4</v>
      </c>
      <c r="C31" s="161" t="s">
        <v>239</v>
      </c>
      <c r="D31" s="160" t="s">
        <v>264</v>
      </c>
      <c r="E31" s="161">
        <v>1</v>
      </c>
      <c r="I31"/>
      <c r="J31" s="137"/>
    </row>
    <row r="32" spans="1:12" ht="15">
      <c r="A32" s="442" t="str">
        <f t="shared" si="0"/>
        <v>INNO | Digital | ICO006  InnoTest Manual</v>
      </c>
      <c r="B32" s="160" t="s">
        <v>4</v>
      </c>
      <c r="C32" s="161" t="s">
        <v>242</v>
      </c>
      <c r="D32" s="160" t="s">
        <v>264</v>
      </c>
      <c r="E32" s="161" t="s">
        <v>240</v>
      </c>
      <c r="I32"/>
      <c r="J32" s="137"/>
    </row>
    <row r="33" spans="1:10" ht="15">
      <c r="A33" s="442" t="str">
        <f t="shared" si="0"/>
        <v>INNO | L4 | ICO006  InnoTest Manual</v>
      </c>
      <c r="B33" s="160" t="s">
        <v>4</v>
      </c>
      <c r="C33" s="161" t="s">
        <v>61</v>
      </c>
      <c r="D33" s="160" t="s">
        <v>264</v>
      </c>
      <c r="E33" s="161">
        <v>22</v>
      </c>
      <c r="I33"/>
      <c r="J33" s="137"/>
    </row>
    <row r="34" spans="1:10" ht="15">
      <c r="A34" s="442" t="str">
        <f t="shared" si="0"/>
        <v>INNO | L5 | ICO006  InnoTest Manual</v>
      </c>
      <c r="B34" s="160" t="s">
        <v>4</v>
      </c>
      <c r="C34" s="161" t="s">
        <v>62</v>
      </c>
      <c r="D34" s="160" t="s">
        <v>264</v>
      </c>
      <c r="E34" s="161">
        <v>16</v>
      </c>
      <c r="I34"/>
      <c r="J34" s="137"/>
    </row>
    <row r="35" spans="1:10" ht="15">
      <c r="A35" s="442" t="str">
        <f t="shared" si="0"/>
        <v>INNO | L6 | ICO006  InnoTest Manual</v>
      </c>
      <c r="B35" s="160" t="s">
        <v>4</v>
      </c>
      <c r="C35" s="161" t="s">
        <v>63</v>
      </c>
      <c r="D35" s="160" t="s">
        <v>264</v>
      </c>
      <c r="E35" s="161">
        <v>54</v>
      </c>
      <c r="I35"/>
      <c r="J35" s="137"/>
    </row>
    <row r="36" spans="1:10" ht="15">
      <c r="A36" s="442" t="str">
        <f t="shared" si="0"/>
        <v>INNO | L7 | ICO006  InnoTest Manual</v>
      </c>
      <c r="B36" s="160" t="s">
        <v>4</v>
      </c>
      <c r="C36" s="161" t="s">
        <v>64</v>
      </c>
      <c r="D36" s="160" t="s">
        <v>264</v>
      </c>
      <c r="E36" s="161">
        <v>50</v>
      </c>
      <c r="I36"/>
      <c r="J36" s="137"/>
    </row>
    <row r="37" spans="1:10" ht="15">
      <c r="A37" s="442" t="str">
        <f t="shared" si="0"/>
        <v>INNO | Ops | ICO005  Concept Test (Custom)</v>
      </c>
      <c r="B37" s="160" t="s">
        <v>4</v>
      </c>
      <c r="C37" s="161" t="s">
        <v>8</v>
      </c>
      <c r="D37" s="161" t="s">
        <v>265</v>
      </c>
      <c r="E37" s="161" t="s">
        <v>240</v>
      </c>
      <c r="I37"/>
      <c r="J37" s="137"/>
    </row>
    <row r="38" spans="1:10" ht="15">
      <c r="A38" s="442" t="str">
        <f t="shared" si="0"/>
        <v>INNO | IIS | ICO005  Concept Test (Custom)</v>
      </c>
      <c r="B38" s="160" t="s">
        <v>4</v>
      </c>
      <c r="C38" s="161" t="s">
        <v>239</v>
      </c>
      <c r="D38" s="161" t="s">
        <v>265</v>
      </c>
      <c r="E38" s="161">
        <v>1</v>
      </c>
      <c r="I38"/>
      <c r="J38" s="137"/>
    </row>
    <row r="39" spans="1:10" ht="15">
      <c r="A39" s="442" t="str">
        <f t="shared" si="0"/>
        <v>INNO | Digital | ICO005  Concept Test (Custom)</v>
      </c>
      <c r="B39" s="160" t="s">
        <v>4</v>
      </c>
      <c r="C39" s="161" t="s">
        <v>242</v>
      </c>
      <c r="D39" s="161" t="s">
        <v>265</v>
      </c>
      <c r="E39" s="161" t="s">
        <v>240</v>
      </c>
      <c r="I39"/>
      <c r="J39" s="137"/>
    </row>
    <row r="40" spans="1:10" ht="15">
      <c r="A40" s="442" t="str">
        <f t="shared" si="0"/>
        <v>INNO | L4 | ICO005  Concept Test (Custom)</v>
      </c>
      <c r="B40" s="160" t="s">
        <v>4</v>
      </c>
      <c r="C40" s="161" t="s">
        <v>61</v>
      </c>
      <c r="D40" s="161" t="s">
        <v>265</v>
      </c>
      <c r="E40" s="161">
        <v>4</v>
      </c>
      <c r="I40"/>
      <c r="J40" s="137"/>
    </row>
    <row r="41" spans="1:10" ht="15">
      <c r="A41" s="442" t="str">
        <f t="shared" si="0"/>
        <v>INNO | L5 | ICO005  Concept Test (Custom)</v>
      </c>
      <c r="B41" s="160" t="s">
        <v>4</v>
      </c>
      <c r="C41" s="161" t="s">
        <v>62</v>
      </c>
      <c r="D41" s="161" t="s">
        <v>265</v>
      </c>
      <c r="E41" s="161">
        <v>10</v>
      </c>
      <c r="I41"/>
      <c r="J41" s="137"/>
    </row>
    <row r="42" spans="1:10" ht="15">
      <c r="A42" s="442" t="str">
        <f t="shared" si="0"/>
        <v>INNO | L6 | ICO005  Concept Test (Custom)</v>
      </c>
      <c r="B42" s="160" t="s">
        <v>4</v>
      </c>
      <c r="C42" s="161" t="s">
        <v>63</v>
      </c>
      <c r="D42" s="161" t="s">
        <v>265</v>
      </c>
      <c r="E42" s="161">
        <v>66</v>
      </c>
      <c r="I42"/>
      <c r="J42" s="137"/>
    </row>
    <row r="43" spans="1:10" ht="15">
      <c r="A43" s="442" t="str">
        <f t="shared" si="0"/>
        <v>INNO | L7 | ICO005  Concept Test (Custom)</v>
      </c>
      <c r="B43" s="160" t="s">
        <v>4</v>
      </c>
      <c r="C43" s="161" t="s">
        <v>64</v>
      </c>
      <c r="D43" s="161" t="s">
        <v>265</v>
      </c>
      <c r="E43" s="161">
        <v>76</v>
      </c>
      <c r="I43"/>
      <c r="J43" s="137"/>
    </row>
    <row r="44" spans="1:10" ht="15">
      <c r="A44" s="442" t="str">
        <f t="shared" si="0"/>
        <v>INNO | Ops | IPD003  CPT Concept/Product Test</v>
      </c>
      <c r="B44" s="160" t="s">
        <v>4</v>
      </c>
      <c r="C44" s="161" t="s">
        <v>8</v>
      </c>
      <c r="D44" s="161" t="s">
        <v>266</v>
      </c>
      <c r="E44" s="161">
        <v>1</v>
      </c>
      <c r="I44"/>
      <c r="J44" s="137"/>
    </row>
    <row r="45" spans="1:10" ht="15">
      <c r="A45" s="442" t="str">
        <f t="shared" si="0"/>
        <v>INNO | IIS | IPD003  CPT Concept/Product Test</v>
      </c>
      <c r="B45" s="160" t="s">
        <v>4</v>
      </c>
      <c r="C45" s="161" t="s">
        <v>239</v>
      </c>
      <c r="D45" s="161" t="s">
        <v>266</v>
      </c>
      <c r="E45" s="161" t="s">
        <v>240</v>
      </c>
      <c r="I45"/>
      <c r="J45" s="137"/>
    </row>
    <row r="46" spans="1:10" ht="15">
      <c r="A46" s="442" t="str">
        <f t="shared" si="0"/>
        <v>INNO | Digital | IPD003  CPT Concept/Product Test</v>
      </c>
      <c r="B46" s="160" t="s">
        <v>4</v>
      </c>
      <c r="C46" s="161" t="s">
        <v>242</v>
      </c>
      <c r="D46" s="161" t="s">
        <v>266</v>
      </c>
      <c r="E46" s="161" t="s">
        <v>240</v>
      </c>
      <c r="I46"/>
      <c r="J46" s="137"/>
    </row>
    <row r="47" spans="1:10" ht="15">
      <c r="A47" s="442" t="str">
        <f t="shared" si="0"/>
        <v>INNO | L4 | IPD003  CPT Concept/Product Test</v>
      </c>
      <c r="B47" s="160" t="s">
        <v>4</v>
      </c>
      <c r="C47" s="161" t="s">
        <v>61</v>
      </c>
      <c r="D47" s="161" t="s">
        <v>266</v>
      </c>
      <c r="E47" s="161">
        <v>20</v>
      </c>
      <c r="I47"/>
      <c r="J47" s="137"/>
    </row>
    <row r="48" spans="1:10" ht="15">
      <c r="A48" s="442" t="str">
        <f t="shared" si="0"/>
        <v>INNO | L5 | IPD003  CPT Concept/Product Test</v>
      </c>
      <c r="B48" s="160" t="s">
        <v>4</v>
      </c>
      <c r="C48" s="161" t="s">
        <v>62</v>
      </c>
      <c r="D48" s="161" t="s">
        <v>266</v>
      </c>
      <c r="E48" s="161">
        <v>20</v>
      </c>
      <c r="I48"/>
      <c r="J48" s="137"/>
    </row>
    <row r="49" spans="1:10" ht="15">
      <c r="A49" s="442" t="str">
        <f t="shared" si="0"/>
        <v>INNO | L6 | IPD003  CPT Concept/Product Test</v>
      </c>
      <c r="B49" s="160" t="s">
        <v>4</v>
      </c>
      <c r="C49" s="161" t="s">
        <v>63</v>
      </c>
      <c r="D49" s="161" t="s">
        <v>266</v>
      </c>
      <c r="E49" s="161">
        <v>95</v>
      </c>
      <c r="I49"/>
      <c r="J49" s="137"/>
    </row>
    <row r="50" spans="1:10" ht="15">
      <c r="A50" s="442" t="str">
        <f t="shared" si="0"/>
        <v>INNO | L7 | IPD003  CPT Concept/Product Test</v>
      </c>
      <c r="B50" s="160" t="s">
        <v>4</v>
      </c>
      <c r="C50" s="161" t="s">
        <v>64</v>
      </c>
      <c r="D50" s="161" t="s">
        <v>266</v>
      </c>
      <c r="E50" s="161">
        <v>93</v>
      </c>
      <c r="I50"/>
      <c r="J50" s="137"/>
    </row>
    <row r="51" spans="1:10" ht="15">
      <c r="A51" s="442" t="str">
        <f t="shared" si="0"/>
        <v>INNO | Ops | IPT001  Pack Test (Other)</v>
      </c>
      <c r="B51" s="160" t="s">
        <v>4</v>
      </c>
      <c r="C51" s="161" t="s">
        <v>8</v>
      </c>
      <c r="D51" s="161" t="s">
        <v>267</v>
      </c>
      <c r="E51" s="161" t="s">
        <v>240</v>
      </c>
      <c r="I51"/>
      <c r="J51" s="137"/>
    </row>
    <row r="52" spans="1:10" ht="15">
      <c r="A52" s="442" t="str">
        <f t="shared" si="0"/>
        <v>INNO | IIS | IPT001  Pack Test (Other)</v>
      </c>
      <c r="B52" s="160" t="s">
        <v>4</v>
      </c>
      <c r="C52" s="161" t="s">
        <v>239</v>
      </c>
      <c r="D52" s="161" t="s">
        <v>267</v>
      </c>
      <c r="E52" s="161">
        <v>1</v>
      </c>
      <c r="I52"/>
      <c r="J52" s="137"/>
    </row>
    <row r="53" spans="1:10" ht="15">
      <c r="A53" s="442" t="str">
        <f t="shared" si="0"/>
        <v>INNO | Digital | IPT001  Pack Test (Other)</v>
      </c>
      <c r="B53" s="160" t="s">
        <v>4</v>
      </c>
      <c r="C53" s="161" t="s">
        <v>242</v>
      </c>
      <c r="D53" s="161" t="s">
        <v>267</v>
      </c>
      <c r="E53" s="161" t="s">
        <v>240</v>
      </c>
      <c r="I53"/>
      <c r="J53" s="137"/>
    </row>
    <row r="54" spans="1:10" ht="15">
      <c r="A54" s="442" t="str">
        <f t="shared" si="0"/>
        <v>INNO | L4 | IPT001  Pack Test (Other)</v>
      </c>
      <c r="B54" s="160" t="s">
        <v>4</v>
      </c>
      <c r="C54" s="161" t="s">
        <v>61</v>
      </c>
      <c r="D54" s="161" t="s">
        <v>267</v>
      </c>
      <c r="E54" s="161">
        <v>22</v>
      </c>
      <c r="I54"/>
      <c r="J54" s="137"/>
    </row>
    <row r="55" spans="1:10" ht="15">
      <c r="A55" s="442" t="str">
        <f t="shared" si="0"/>
        <v>INNO | L5 | IPT001  Pack Test (Other)</v>
      </c>
      <c r="B55" s="160" t="s">
        <v>4</v>
      </c>
      <c r="C55" s="161" t="s">
        <v>62</v>
      </c>
      <c r="D55" s="161" t="s">
        <v>267</v>
      </c>
      <c r="E55" s="161">
        <v>15</v>
      </c>
      <c r="I55"/>
      <c r="J55" s="137"/>
    </row>
    <row r="56" spans="1:10" ht="15">
      <c r="A56" s="442" t="str">
        <f t="shared" si="0"/>
        <v>INNO | L6 | IPT001  Pack Test (Other)</v>
      </c>
      <c r="B56" s="160" t="s">
        <v>4</v>
      </c>
      <c r="C56" s="161" t="s">
        <v>63</v>
      </c>
      <c r="D56" s="161" t="s">
        <v>267</v>
      </c>
      <c r="E56" s="161">
        <v>91</v>
      </c>
      <c r="I56"/>
      <c r="J56" s="137"/>
    </row>
    <row r="57" spans="1:10">
      <c r="A57" s="442" t="str">
        <f t="shared" si="0"/>
        <v>INNO | L7 | IPT001  Pack Test (Other)</v>
      </c>
      <c r="B57" s="160" t="s">
        <v>4</v>
      </c>
      <c r="C57" s="161" t="s">
        <v>64</v>
      </c>
      <c r="D57" s="161" t="s">
        <v>267</v>
      </c>
      <c r="E57" s="161">
        <v>99</v>
      </c>
    </row>
    <row r="58" spans="1:10">
      <c r="A58" s="442" t="str">
        <f t="shared" si="0"/>
        <v>INNO | Ops | ICI002  Fast Fact</v>
      </c>
      <c r="B58" s="160" t="s">
        <v>4</v>
      </c>
      <c r="C58" s="161" t="s">
        <v>8</v>
      </c>
      <c r="D58" s="161" t="s">
        <v>268</v>
      </c>
      <c r="E58" s="161" t="s">
        <v>240</v>
      </c>
    </row>
    <row r="59" spans="1:10">
      <c r="A59" s="442" t="str">
        <f t="shared" si="0"/>
        <v>INNO | IIS | ICI002  Fast Fact</v>
      </c>
      <c r="B59" s="160" t="s">
        <v>4</v>
      </c>
      <c r="C59" s="161" t="s">
        <v>239</v>
      </c>
      <c r="D59" s="161" t="s">
        <v>268</v>
      </c>
      <c r="E59" s="161" t="s">
        <v>240</v>
      </c>
    </row>
    <row r="60" spans="1:10">
      <c r="A60" s="442" t="str">
        <f t="shared" si="0"/>
        <v>INNO | Digital | ICI002  Fast Fact</v>
      </c>
      <c r="B60" s="160" t="s">
        <v>4</v>
      </c>
      <c r="C60" s="161" t="s">
        <v>242</v>
      </c>
      <c r="D60" s="161" t="s">
        <v>268</v>
      </c>
      <c r="E60" s="161">
        <v>1</v>
      </c>
    </row>
    <row r="61" spans="1:10">
      <c r="A61" s="442" t="str">
        <f t="shared" si="0"/>
        <v>INNO | L4 | ICI002  Fast Fact</v>
      </c>
      <c r="B61" s="160" t="s">
        <v>4</v>
      </c>
      <c r="C61" s="161" t="s">
        <v>61</v>
      </c>
      <c r="D61" s="161" t="s">
        <v>268</v>
      </c>
      <c r="E61" s="161">
        <v>28</v>
      </c>
    </row>
    <row r="62" spans="1:10">
      <c r="A62" s="442" t="str">
        <f t="shared" si="0"/>
        <v>INNO | L5 | ICI002  Fast Fact</v>
      </c>
      <c r="B62" s="160" t="s">
        <v>4</v>
      </c>
      <c r="C62" s="161" t="s">
        <v>62</v>
      </c>
      <c r="D62" s="161" t="s">
        <v>268</v>
      </c>
      <c r="E62" s="161">
        <v>10</v>
      </c>
    </row>
    <row r="63" spans="1:10">
      <c r="A63" s="442" t="str">
        <f t="shared" si="0"/>
        <v>INNO | L6 | ICI002  Fast Fact</v>
      </c>
      <c r="B63" s="160" t="s">
        <v>4</v>
      </c>
      <c r="C63" s="161" t="s">
        <v>63</v>
      </c>
      <c r="D63" s="161" t="s">
        <v>268</v>
      </c>
      <c r="E63" s="161">
        <v>27</v>
      </c>
    </row>
    <row r="64" spans="1:10">
      <c r="A64" s="442" t="str">
        <f t="shared" si="0"/>
        <v>INNO | L7 | ICI002  Fast Fact</v>
      </c>
      <c r="B64" s="160" t="s">
        <v>4</v>
      </c>
      <c r="C64" s="161" t="s">
        <v>64</v>
      </c>
      <c r="D64" s="161" t="s">
        <v>268</v>
      </c>
      <c r="E64" s="161">
        <v>27</v>
      </c>
    </row>
    <row r="65" spans="1:5">
      <c r="A65" s="442" t="str">
        <f t="shared" si="0"/>
        <v>INNO | Ops | ICO009  Duel Custom</v>
      </c>
      <c r="B65" s="160" t="s">
        <v>4</v>
      </c>
      <c r="C65" s="161" t="s">
        <v>8</v>
      </c>
      <c r="D65" s="161" t="s">
        <v>269</v>
      </c>
      <c r="E65" s="161" t="s">
        <v>240</v>
      </c>
    </row>
    <row r="66" spans="1:5">
      <c r="A66" s="442" t="str">
        <f t="shared" si="0"/>
        <v>INNO | IIS | ICO009  Duel Custom</v>
      </c>
      <c r="B66" s="160" t="s">
        <v>4</v>
      </c>
      <c r="C66" s="161" t="s">
        <v>239</v>
      </c>
      <c r="D66" s="161" t="s">
        <v>269</v>
      </c>
      <c r="E66" s="161">
        <v>1</v>
      </c>
    </row>
    <row r="67" spans="1:5">
      <c r="A67" s="442" t="str">
        <f t="shared" ref="A67:A130" si="3">B67&amp;" | "&amp;C67&amp;" | "&amp;D67</f>
        <v>INNO | Digital | ICO009  Duel Custom</v>
      </c>
      <c r="B67" s="160" t="s">
        <v>4</v>
      </c>
      <c r="C67" s="161" t="s">
        <v>242</v>
      </c>
      <c r="D67" s="161" t="s">
        <v>269</v>
      </c>
      <c r="E67" s="161" t="s">
        <v>240</v>
      </c>
    </row>
    <row r="68" spans="1:5">
      <c r="A68" s="442" t="str">
        <f t="shared" si="3"/>
        <v>INNO | L4 | ICO009  Duel Custom</v>
      </c>
      <c r="B68" s="160" t="s">
        <v>4</v>
      </c>
      <c r="C68" s="161" t="s">
        <v>61</v>
      </c>
      <c r="D68" s="161" t="s">
        <v>269</v>
      </c>
      <c r="E68" s="161">
        <v>28</v>
      </c>
    </row>
    <row r="69" spans="1:5">
      <c r="A69" s="442" t="str">
        <f t="shared" si="3"/>
        <v>INNO | L5 | ICO009  Duel Custom</v>
      </c>
      <c r="B69" s="160" t="s">
        <v>4</v>
      </c>
      <c r="C69" s="161" t="s">
        <v>62</v>
      </c>
      <c r="D69" s="161" t="s">
        <v>269</v>
      </c>
      <c r="E69" s="161">
        <v>10</v>
      </c>
    </row>
    <row r="70" spans="1:5">
      <c r="A70" s="442" t="str">
        <f t="shared" si="3"/>
        <v>INNO | L6 | ICO009  Duel Custom</v>
      </c>
      <c r="B70" s="160" t="s">
        <v>4</v>
      </c>
      <c r="C70" s="161" t="s">
        <v>63</v>
      </c>
      <c r="D70" s="161" t="s">
        <v>269</v>
      </c>
      <c r="E70" s="161">
        <v>27</v>
      </c>
    </row>
    <row r="71" spans="1:5">
      <c r="A71" s="442" t="str">
        <f t="shared" si="3"/>
        <v>INNO | L7 | ICO009  Duel Custom</v>
      </c>
      <c r="B71" s="160" t="s">
        <v>4</v>
      </c>
      <c r="C71" s="161" t="s">
        <v>64</v>
      </c>
      <c r="D71" s="161" t="s">
        <v>269</v>
      </c>
      <c r="E71" s="161">
        <v>27</v>
      </c>
    </row>
    <row r="72" spans="1:5">
      <c r="A72" s="442" t="str">
        <f t="shared" si="3"/>
        <v>INNO | Ops | ICO001  Concepts Legacy Offer</v>
      </c>
      <c r="B72" s="160" t="s">
        <v>4</v>
      </c>
      <c r="C72" s="161" t="s">
        <v>8</v>
      </c>
      <c r="D72" s="161" t="s">
        <v>270</v>
      </c>
      <c r="E72" s="161" t="s">
        <v>240</v>
      </c>
    </row>
    <row r="73" spans="1:5">
      <c r="A73" s="442" t="str">
        <f t="shared" si="3"/>
        <v>INNO | IIS | ICO001  Concepts Legacy Offer</v>
      </c>
      <c r="B73" s="160" t="s">
        <v>4</v>
      </c>
      <c r="C73" s="161" t="s">
        <v>239</v>
      </c>
      <c r="D73" s="161" t="s">
        <v>270</v>
      </c>
      <c r="E73" s="161">
        <v>1</v>
      </c>
    </row>
    <row r="74" spans="1:5">
      <c r="A74" s="442" t="str">
        <f t="shared" si="3"/>
        <v>INNO | Digital | ICO001  Concepts Legacy Offer</v>
      </c>
      <c r="B74" s="160" t="s">
        <v>4</v>
      </c>
      <c r="C74" s="161" t="s">
        <v>242</v>
      </c>
      <c r="D74" s="161" t="s">
        <v>270</v>
      </c>
      <c r="E74" s="161" t="s">
        <v>240</v>
      </c>
    </row>
    <row r="75" spans="1:5">
      <c r="A75" s="442" t="str">
        <f t="shared" si="3"/>
        <v>INNO | L4 | ICO001  Concepts Legacy Offer</v>
      </c>
      <c r="B75" s="160" t="s">
        <v>4</v>
      </c>
      <c r="C75" s="161" t="s">
        <v>61</v>
      </c>
      <c r="D75" s="161" t="s">
        <v>270</v>
      </c>
      <c r="E75" s="161">
        <v>40</v>
      </c>
    </row>
    <row r="76" spans="1:5">
      <c r="A76" s="442" t="str">
        <f t="shared" si="3"/>
        <v>INNO | L5 | ICO001  Concepts Legacy Offer</v>
      </c>
      <c r="B76" s="160" t="s">
        <v>4</v>
      </c>
      <c r="C76" s="161" t="s">
        <v>62</v>
      </c>
      <c r="D76" s="161" t="s">
        <v>270</v>
      </c>
      <c r="E76" s="161">
        <v>18</v>
      </c>
    </row>
    <row r="77" spans="1:5">
      <c r="A77" s="442" t="str">
        <f t="shared" si="3"/>
        <v>INNO | L6 | ICO001  Concepts Legacy Offer</v>
      </c>
      <c r="B77" s="160" t="s">
        <v>4</v>
      </c>
      <c r="C77" s="161" t="s">
        <v>63</v>
      </c>
      <c r="D77" s="161" t="s">
        <v>270</v>
      </c>
      <c r="E77" s="161">
        <v>50</v>
      </c>
    </row>
    <row r="78" spans="1:5">
      <c r="A78" s="442" t="str">
        <f t="shared" si="3"/>
        <v>INNO | L7 | ICO001  Concepts Legacy Offer</v>
      </c>
      <c r="B78" s="160" t="s">
        <v>4</v>
      </c>
      <c r="C78" s="161" t="s">
        <v>64</v>
      </c>
      <c r="D78" s="161" t="s">
        <v>270</v>
      </c>
      <c r="E78" s="161">
        <v>51</v>
      </c>
    </row>
    <row r="79" spans="1:5">
      <c r="A79" s="442" t="str">
        <f t="shared" si="3"/>
        <v>INNO | Ops | ICO011  InnoTest IDP Only</v>
      </c>
      <c r="B79" s="160" t="s">
        <v>4</v>
      </c>
      <c r="C79" s="161" t="s">
        <v>8</v>
      </c>
      <c r="D79" s="161" t="s">
        <v>271</v>
      </c>
      <c r="E79" s="161" t="s">
        <v>240</v>
      </c>
    </row>
    <row r="80" spans="1:5">
      <c r="A80" s="442" t="str">
        <f t="shared" si="3"/>
        <v>INNO | IIS | ICO011  InnoTest IDP Only</v>
      </c>
      <c r="B80" s="160" t="s">
        <v>4</v>
      </c>
      <c r="C80" s="161" t="s">
        <v>239</v>
      </c>
      <c r="D80" s="161" t="s">
        <v>271</v>
      </c>
      <c r="E80" s="161" t="s">
        <v>240</v>
      </c>
    </row>
    <row r="81" spans="1:5">
      <c r="A81" s="442" t="str">
        <f t="shared" si="3"/>
        <v>INNO | Digital | ICO011  InnoTest IDP Only</v>
      </c>
      <c r="B81" s="160" t="s">
        <v>4</v>
      </c>
      <c r="C81" s="161" t="s">
        <v>242</v>
      </c>
      <c r="D81" s="161" t="s">
        <v>271</v>
      </c>
      <c r="E81" s="161">
        <v>1</v>
      </c>
    </row>
    <row r="82" spans="1:5">
      <c r="A82" s="442" t="str">
        <f t="shared" si="3"/>
        <v>INNO | L4 | ICO011  InnoTest IDP Only</v>
      </c>
      <c r="B82" s="160" t="s">
        <v>4</v>
      </c>
      <c r="C82" s="161" t="s">
        <v>61</v>
      </c>
      <c r="D82" s="161" t="s">
        <v>271</v>
      </c>
      <c r="E82" s="161">
        <v>40</v>
      </c>
    </row>
    <row r="83" spans="1:5">
      <c r="A83" s="442" t="str">
        <f t="shared" si="3"/>
        <v>INNO | L5 | ICO011  InnoTest IDP Only</v>
      </c>
      <c r="B83" s="160" t="s">
        <v>4</v>
      </c>
      <c r="C83" s="161" t="s">
        <v>62</v>
      </c>
      <c r="D83" s="161" t="s">
        <v>271</v>
      </c>
      <c r="E83" s="161">
        <v>18</v>
      </c>
    </row>
    <row r="84" spans="1:5">
      <c r="A84" s="442" t="str">
        <f t="shared" si="3"/>
        <v>INNO | L6 | ICO011  InnoTest IDP Only</v>
      </c>
      <c r="B84" s="160" t="s">
        <v>4</v>
      </c>
      <c r="C84" s="161" t="s">
        <v>63</v>
      </c>
      <c r="D84" s="161" t="s">
        <v>271</v>
      </c>
      <c r="E84" s="161">
        <v>50</v>
      </c>
    </row>
    <row r="85" spans="1:5">
      <c r="A85" s="442" t="str">
        <f t="shared" si="3"/>
        <v>INNO | L7 | ICO011  InnoTest IDP Only</v>
      </c>
      <c r="B85" s="160" t="s">
        <v>4</v>
      </c>
      <c r="C85" s="161" t="s">
        <v>64</v>
      </c>
      <c r="D85" s="161" t="s">
        <v>271</v>
      </c>
      <c r="E85" s="161">
        <v>51</v>
      </c>
    </row>
    <row r="86" spans="1:5">
      <c r="A86" s="442" t="str">
        <f t="shared" si="3"/>
        <v>INNO | Ops | ICO010  Duel IDP ONLY</v>
      </c>
      <c r="B86" s="160" t="s">
        <v>4</v>
      </c>
      <c r="C86" s="161" t="s">
        <v>8</v>
      </c>
      <c r="D86" s="161" t="s">
        <v>272</v>
      </c>
      <c r="E86" s="161" t="s">
        <v>240</v>
      </c>
    </row>
    <row r="87" spans="1:5">
      <c r="A87" s="442" t="str">
        <f t="shared" si="3"/>
        <v>INNO | IIS | ICO010  Duel IDP ONLY</v>
      </c>
      <c r="B87" s="160" t="s">
        <v>4</v>
      </c>
      <c r="C87" s="161" t="s">
        <v>239</v>
      </c>
      <c r="D87" s="161" t="s">
        <v>272</v>
      </c>
      <c r="E87" s="161" t="s">
        <v>240</v>
      </c>
    </row>
    <row r="88" spans="1:5">
      <c r="A88" s="442" t="str">
        <f t="shared" si="3"/>
        <v>INNO | Digital | ICO010  Duel IDP ONLY</v>
      </c>
      <c r="B88" s="160" t="s">
        <v>4</v>
      </c>
      <c r="C88" s="161" t="s">
        <v>242</v>
      </c>
      <c r="D88" s="161" t="s">
        <v>272</v>
      </c>
      <c r="E88" s="161">
        <v>1</v>
      </c>
    </row>
    <row r="89" spans="1:5">
      <c r="A89" s="442" t="str">
        <f t="shared" si="3"/>
        <v>INNO | L4 | ICO010  Duel IDP ONLY</v>
      </c>
      <c r="B89" s="160" t="s">
        <v>4</v>
      </c>
      <c r="C89" s="161" t="s">
        <v>61</v>
      </c>
      <c r="D89" s="161" t="s">
        <v>272</v>
      </c>
      <c r="E89" s="161">
        <v>28</v>
      </c>
    </row>
    <row r="90" spans="1:5">
      <c r="A90" s="442" t="str">
        <f t="shared" si="3"/>
        <v>INNO | L5 | ICO010  Duel IDP ONLY</v>
      </c>
      <c r="B90" s="160" t="s">
        <v>4</v>
      </c>
      <c r="C90" s="161" t="s">
        <v>62</v>
      </c>
      <c r="D90" s="161" t="s">
        <v>272</v>
      </c>
      <c r="E90" s="161">
        <v>10</v>
      </c>
    </row>
    <row r="91" spans="1:5">
      <c r="A91" s="442" t="str">
        <f t="shared" si="3"/>
        <v>INNO | L6 | ICO010  Duel IDP ONLY</v>
      </c>
      <c r="B91" s="160" t="s">
        <v>4</v>
      </c>
      <c r="C91" s="161" t="s">
        <v>63</v>
      </c>
      <c r="D91" s="161" t="s">
        <v>272</v>
      </c>
      <c r="E91" s="161">
        <v>33</v>
      </c>
    </row>
    <row r="92" spans="1:5">
      <c r="A92" s="442" t="str">
        <f t="shared" si="3"/>
        <v>INNO | L7 | ICO010  Duel IDP ONLY</v>
      </c>
      <c r="B92" s="160" t="s">
        <v>4</v>
      </c>
      <c r="C92" s="161" t="s">
        <v>64</v>
      </c>
      <c r="D92" s="161" t="s">
        <v>272</v>
      </c>
      <c r="E92" s="161">
        <v>33</v>
      </c>
    </row>
    <row r="93" spans="1:5">
      <c r="A93" s="442" t="str">
        <f t="shared" si="3"/>
        <v>INNO | Ops | INC005  Discrete Choice (Custom)</v>
      </c>
      <c r="B93" s="160" t="s">
        <v>4</v>
      </c>
      <c r="C93" s="161" t="s">
        <v>8</v>
      </c>
      <c r="D93" s="161" t="s">
        <v>273</v>
      </c>
      <c r="E93" s="161" t="s">
        <v>240</v>
      </c>
    </row>
    <row r="94" spans="1:5">
      <c r="A94" s="442" t="str">
        <f t="shared" si="3"/>
        <v>INNO | IIS | INC005  Discrete Choice (Custom)</v>
      </c>
      <c r="B94" s="160" t="s">
        <v>4</v>
      </c>
      <c r="C94" s="161" t="s">
        <v>239</v>
      </c>
      <c r="D94" s="161" t="s">
        <v>273</v>
      </c>
      <c r="E94" s="161">
        <v>1</v>
      </c>
    </row>
    <row r="95" spans="1:5">
      <c r="A95" s="442" t="str">
        <f t="shared" si="3"/>
        <v>INNO | Digital | INC005  Discrete Choice (Custom)</v>
      </c>
      <c r="B95" s="160" t="s">
        <v>4</v>
      </c>
      <c r="C95" s="161" t="s">
        <v>242</v>
      </c>
      <c r="D95" s="161" t="s">
        <v>273</v>
      </c>
      <c r="E95" s="161" t="s">
        <v>240</v>
      </c>
    </row>
    <row r="96" spans="1:5">
      <c r="A96" s="442" t="str">
        <f t="shared" si="3"/>
        <v>INNO | L4 | INC005  Discrete Choice (Custom)</v>
      </c>
      <c r="B96" s="160" t="s">
        <v>4</v>
      </c>
      <c r="C96" s="161" t="s">
        <v>61</v>
      </c>
      <c r="D96" s="161" t="s">
        <v>273</v>
      </c>
      <c r="E96" s="161" t="s">
        <v>240</v>
      </c>
    </row>
    <row r="97" spans="1:5">
      <c r="A97" s="442" t="str">
        <f t="shared" si="3"/>
        <v>INNO | L5 | INC005  Discrete Choice (Custom)</v>
      </c>
      <c r="B97" s="160" t="s">
        <v>4</v>
      </c>
      <c r="C97" s="161" t="s">
        <v>62</v>
      </c>
      <c r="D97" s="161" t="s">
        <v>273</v>
      </c>
      <c r="E97" s="161" t="s">
        <v>240</v>
      </c>
    </row>
    <row r="98" spans="1:5">
      <c r="A98" s="442" t="str">
        <f t="shared" si="3"/>
        <v>INNO | L6 | INC005  Discrete Choice (Custom)</v>
      </c>
      <c r="B98" s="160" t="s">
        <v>4</v>
      </c>
      <c r="C98" s="161" t="s">
        <v>63</v>
      </c>
      <c r="D98" s="161" t="s">
        <v>273</v>
      </c>
      <c r="E98" s="161" t="s">
        <v>240</v>
      </c>
    </row>
    <row r="99" spans="1:5">
      <c r="A99" s="442" t="str">
        <f t="shared" si="3"/>
        <v>INNO | L7 | INC005  Discrete Choice (Custom)</v>
      </c>
      <c r="B99" s="160" t="s">
        <v>4</v>
      </c>
      <c r="C99" s="161" t="s">
        <v>64</v>
      </c>
      <c r="D99" s="161" t="s">
        <v>273</v>
      </c>
      <c r="E99" s="161" t="s">
        <v>240</v>
      </c>
    </row>
    <row r="100" spans="1:5">
      <c r="A100" s="442" t="str">
        <f t="shared" si="3"/>
        <v>INNO | Ops | INV001  Vantis</v>
      </c>
      <c r="B100" s="160" t="s">
        <v>4</v>
      </c>
      <c r="C100" s="161" t="s">
        <v>8</v>
      </c>
      <c r="D100" s="161" t="s">
        <v>274</v>
      </c>
      <c r="E100" s="161">
        <v>1</v>
      </c>
    </row>
    <row r="101" spans="1:5">
      <c r="A101" s="442" t="str">
        <f t="shared" si="3"/>
        <v>INNO | IIS | INV001  Vantis</v>
      </c>
      <c r="B101" s="160" t="s">
        <v>4</v>
      </c>
      <c r="C101" s="161" t="s">
        <v>239</v>
      </c>
      <c r="D101" s="161" t="s">
        <v>274</v>
      </c>
      <c r="E101" s="161">
        <v>1</v>
      </c>
    </row>
    <row r="102" spans="1:5">
      <c r="A102" s="442" t="str">
        <f t="shared" si="3"/>
        <v>INNO | Digital | INV001  Vantis</v>
      </c>
      <c r="B102" s="160" t="s">
        <v>4</v>
      </c>
      <c r="C102" s="161" t="s">
        <v>242</v>
      </c>
      <c r="D102" s="161" t="s">
        <v>274</v>
      </c>
      <c r="E102" s="161" t="s">
        <v>240</v>
      </c>
    </row>
    <row r="103" spans="1:5">
      <c r="A103" s="442" t="str">
        <f t="shared" si="3"/>
        <v>INNO | L4 | INV001  Vantis</v>
      </c>
      <c r="B103" s="160" t="s">
        <v>4</v>
      </c>
      <c r="C103" s="161" t="s">
        <v>61</v>
      </c>
      <c r="D103" s="161" t="s">
        <v>274</v>
      </c>
      <c r="E103" s="161">
        <v>12</v>
      </c>
    </row>
    <row r="104" spans="1:5">
      <c r="A104" s="442" t="str">
        <f t="shared" si="3"/>
        <v>INNO | L5 | INV001  Vantis</v>
      </c>
      <c r="B104" s="160" t="s">
        <v>4</v>
      </c>
      <c r="C104" s="161" t="s">
        <v>62</v>
      </c>
      <c r="D104" s="161" t="s">
        <v>274</v>
      </c>
      <c r="E104" s="161">
        <v>31</v>
      </c>
    </row>
    <row r="105" spans="1:5">
      <c r="A105" s="442" t="str">
        <f t="shared" si="3"/>
        <v>INNO | L6 | INV001  Vantis</v>
      </c>
      <c r="B105" s="160" t="s">
        <v>4</v>
      </c>
      <c r="C105" s="161" t="s">
        <v>63</v>
      </c>
      <c r="D105" s="161" t="s">
        <v>274</v>
      </c>
      <c r="E105" s="161">
        <v>90</v>
      </c>
    </row>
    <row r="106" spans="1:5">
      <c r="A106" s="442" t="str">
        <f t="shared" si="3"/>
        <v>INNO | L7 | INV001  Vantis</v>
      </c>
      <c r="B106" s="160" t="s">
        <v>4</v>
      </c>
      <c r="C106" s="161" t="s">
        <v>64</v>
      </c>
      <c r="D106" s="161" t="s">
        <v>274</v>
      </c>
      <c r="E106" s="161">
        <v>90</v>
      </c>
    </row>
    <row r="107" spans="1:5">
      <c r="A107" s="442" t="str">
        <f t="shared" si="3"/>
        <v>CEX | Ops | CXR001  CX Relationship</v>
      </c>
      <c r="B107" s="160" t="s">
        <v>231</v>
      </c>
      <c r="C107" s="161" t="s">
        <v>8</v>
      </c>
      <c r="D107" s="163" t="s">
        <v>410</v>
      </c>
      <c r="E107" s="160" t="s">
        <v>240</v>
      </c>
    </row>
    <row r="108" spans="1:5">
      <c r="A108" s="442" t="str">
        <f t="shared" si="3"/>
        <v>CEX | IIS | CXR001  CX Relationship</v>
      </c>
      <c r="B108" s="160" t="s">
        <v>231</v>
      </c>
      <c r="C108" s="161" t="s">
        <v>239</v>
      </c>
      <c r="D108" s="163" t="s">
        <v>410</v>
      </c>
      <c r="E108" s="160" t="s">
        <v>240</v>
      </c>
    </row>
    <row r="109" spans="1:5">
      <c r="A109" s="442" t="str">
        <f t="shared" si="3"/>
        <v>CEX | Digital | CXR001  CX Relationship</v>
      </c>
      <c r="B109" s="160" t="s">
        <v>231</v>
      </c>
      <c r="C109" s="161" t="s">
        <v>242</v>
      </c>
      <c r="D109" s="163" t="s">
        <v>410</v>
      </c>
      <c r="E109" s="160" t="s">
        <v>240</v>
      </c>
    </row>
    <row r="110" spans="1:5">
      <c r="A110" s="442" t="str">
        <f t="shared" si="3"/>
        <v>CEX | L4 | CXR001  CX Relationship</v>
      </c>
      <c r="B110" s="160" t="s">
        <v>231</v>
      </c>
      <c r="C110" s="161" t="s">
        <v>61</v>
      </c>
      <c r="D110" s="163" t="s">
        <v>410</v>
      </c>
      <c r="E110" s="160">
        <v>14</v>
      </c>
    </row>
    <row r="111" spans="1:5">
      <c r="A111" s="442" t="str">
        <f t="shared" si="3"/>
        <v>CEX | L5 | CXR001  CX Relationship</v>
      </c>
      <c r="B111" s="160" t="s">
        <v>231</v>
      </c>
      <c r="C111" s="161" t="s">
        <v>62</v>
      </c>
      <c r="D111" s="163" t="s">
        <v>410</v>
      </c>
      <c r="E111" s="160">
        <v>142</v>
      </c>
    </row>
    <row r="112" spans="1:5">
      <c r="A112" s="442" t="str">
        <f t="shared" si="3"/>
        <v>CEX | L6 | CXR001  CX Relationship</v>
      </c>
      <c r="B112" s="160" t="s">
        <v>231</v>
      </c>
      <c r="C112" s="161" t="s">
        <v>63</v>
      </c>
      <c r="D112" s="163" t="s">
        <v>410</v>
      </c>
      <c r="E112" s="160">
        <v>244</v>
      </c>
    </row>
    <row r="113" spans="1:5">
      <c r="A113" s="442" t="str">
        <f t="shared" si="3"/>
        <v>CEX | L7 | CXR001  CX Relationship</v>
      </c>
      <c r="B113" s="160" t="s">
        <v>231</v>
      </c>
      <c r="C113" s="161" t="s">
        <v>64</v>
      </c>
      <c r="D113" s="163" t="s">
        <v>410</v>
      </c>
      <c r="E113" s="160">
        <v>270</v>
      </c>
    </row>
    <row r="114" spans="1:5">
      <c r="A114" s="442" t="str">
        <f t="shared" si="3"/>
        <v>CEX | Ops | CXR003  CX Relationship w/CX Forces</v>
      </c>
      <c r="B114" s="160" t="s">
        <v>231</v>
      </c>
      <c r="C114" s="161" t="s">
        <v>8</v>
      </c>
      <c r="D114" s="164" t="s">
        <v>275</v>
      </c>
      <c r="E114" s="160" t="s">
        <v>240</v>
      </c>
    </row>
    <row r="115" spans="1:5">
      <c r="A115" s="442" t="str">
        <f t="shared" si="3"/>
        <v>CEX | IIS | CXR003  CX Relationship w/CX Forces</v>
      </c>
      <c r="B115" s="160" t="s">
        <v>231</v>
      </c>
      <c r="C115" s="161" t="s">
        <v>239</v>
      </c>
      <c r="D115" s="164" t="s">
        <v>275</v>
      </c>
      <c r="E115" s="160" t="s">
        <v>240</v>
      </c>
    </row>
    <row r="116" spans="1:5">
      <c r="A116" s="442" t="str">
        <f t="shared" si="3"/>
        <v>CEX | Digital | CXR003  CX Relationship w/CX Forces</v>
      </c>
      <c r="B116" s="160" t="s">
        <v>231</v>
      </c>
      <c r="C116" s="161" t="s">
        <v>242</v>
      </c>
      <c r="D116" s="164" t="s">
        <v>275</v>
      </c>
      <c r="E116" s="160" t="s">
        <v>240</v>
      </c>
    </row>
    <row r="117" spans="1:5">
      <c r="A117" s="442" t="str">
        <f t="shared" si="3"/>
        <v>CEX | L4 | CXR003  CX Relationship w/CX Forces</v>
      </c>
      <c r="B117" s="160" t="s">
        <v>231</v>
      </c>
      <c r="C117" s="161" t="s">
        <v>61</v>
      </c>
      <c r="D117" s="164" t="s">
        <v>275</v>
      </c>
      <c r="E117" s="160">
        <v>12</v>
      </c>
    </row>
    <row r="118" spans="1:5">
      <c r="A118" s="442" t="str">
        <f t="shared" si="3"/>
        <v>CEX | L5 | CXR003  CX Relationship w/CX Forces</v>
      </c>
      <c r="B118" s="160" t="s">
        <v>231</v>
      </c>
      <c r="C118" s="161" t="s">
        <v>62</v>
      </c>
      <c r="D118" s="164" t="s">
        <v>275</v>
      </c>
      <c r="E118" s="160">
        <v>54.5</v>
      </c>
    </row>
    <row r="119" spans="1:5">
      <c r="A119" s="442" t="str">
        <f t="shared" si="3"/>
        <v>CEX | L6 | CXR003  CX Relationship w/CX Forces</v>
      </c>
      <c r="B119" s="160" t="s">
        <v>231</v>
      </c>
      <c r="C119" s="161" t="s">
        <v>63</v>
      </c>
      <c r="D119" s="164" t="s">
        <v>275</v>
      </c>
      <c r="E119" s="160">
        <v>147</v>
      </c>
    </row>
    <row r="120" spans="1:5">
      <c r="A120" s="442" t="str">
        <f t="shared" si="3"/>
        <v>CEX | L7 | CXR003  CX Relationship w/CX Forces</v>
      </c>
      <c r="B120" s="160" t="s">
        <v>231</v>
      </c>
      <c r="C120" s="161" t="s">
        <v>64</v>
      </c>
      <c r="D120" s="164" t="s">
        <v>275</v>
      </c>
      <c r="E120" s="160">
        <v>176</v>
      </c>
    </row>
    <row r="121" spans="1:5">
      <c r="A121" s="442" t="str">
        <f t="shared" si="3"/>
        <v>CEX | Ops | CMY005  MS: Location</v>
      </c>
      <c r="B121" s="160" t="s">
        <v>231</v>
      </c>
      <c r="C121" s="161" t="s">
        <v>8</v>
      </c>
      <c r="D121" s="164" t="s">
        <v>276</v>
      </c>
      <c r="E121" s="160" t="s">
        <v>240</v>
      </c>
    </row>
    <row r="122" spans="1:5">
      <c r="A122" s="442" t="str">
        <f t="shared" si="3"/>
        <v>CEX | IIS | CMY005  MS: Location</v>
      </c>
      <c r="B122" s="160" t="s">
        <v>231</v>
      </c>
      <c r="C122" s="161" t="s">
        <v>239</v>
      </c>
      <c r="D122" s="164" t="s">
        <v>276</v>
      </c>
      <c r="E122" s="160" t="s">
        <v>240</v>
      </c>
    </row>
    <row r="123" spans="1:5">
      <c r="A123" s="442" t="str">
        <f t="shared" si="3"/>
        <v>CEX | Digital | CMY005  MS: Location</v>
      </c>
      <c r="B123" s="160" t="s">
        <v>231</v>
      </c>
      <c r="C123" s="161" t="s">
        <v>242</v>
      </c>
      <c r="D123" s="164" t="s">
        <v>276</v>
      </c>
      <c r="E123" s="160" t="s">
        <v>240</v>
      </c>
    </row>
    <row r="124" spans="1:5">
      <c r="A124" s="442" t="str">
        <f t="shared" si="3"/>
        <v>CEX | L4 | CMY005  MS: Location</v>
      </c>
      <c r="B124" s="160" t="s">
        <v>231</v>
      </c>
      <c r="C124" s="161" t="s">
        <v>61</v>
      </c>
      <c r="D124" s="164" t="s">
        <v>276</v>
      </c>
      <c r="E124" s="160">
        <v>12</v>
      </c>
    </row>
    <row r="125" spans="1:5">
      <c r="A125" s="442" t="str">
        <f t="shared" si="3"/>
        <v>CEX | L5 | CMY005  MS: Location</v>
      </c>
      <c r="B125" s="160" t="s">
        <v>231</v>
      </c>
      <c r="C125" s="161" t="s">
        <v>62</v>
      </c>
      <c r="D125" s="164" t="s">
        <v>276</v>
      </c>
      <c r="E125" s="160">
        <v>50.5</v>
      </c>
    </row>
    <row r="126" spans="1:5">
      <c r="A126" s="442" t="str">
        <f t="shared" si="3"/>
        <v>CEX | L6 | CMY005  MS: Location</v>
      </c>
      <c r="B126" s="160" t="s">
        <v>231</v>
      </c>
      <c r="C126" s="161" t="s">
        <v>63</v>
      </c>
      <c r="D126" s="164" t="s">
        <v>276</v>
      </c>
      <c r="E126" s="160">
        <v>186</v>
      </c>
    </row>
    <row r="127" spans="1:5">
      <c r="A127" s="442" t="str">
        <f t="shared" si="3"/>
        <v>CEX | L7 | CMY005  MS: Location</v>
      </c>
      <c r="B127" s="160" t="s">
        <v>231</v>
      </c>
      <c r="C127" s="161" t="s">
        <v>64</v>
      </c>
      <c r="D127" s="164" t="s">
        <v>276</v>
      </c>
      <c r="E127" s="160">
        <v>240</v>
      </c>
    </row>
    <row r="128" spans="1:5">
      <c r="A128" s="442" t="str">
        <f t="shared" si="3"/>
        <v>CEX | Ops | CMY007  MS: Onsite S&amp;C Audits/BOPIS</v>
      </c>
      <c r="B128" s="160" t="s">
        <v>231</v>
      </c>
      <c r="C128" s="161" t="s">
        <v>8</v>
      </c>
      <c r="D128" s="164" t="s">
        <v>277</v>
      </c>
      <c r="E128" s="160" t="s">
        <v>240</v>
      </c>
    </row>
    <row r="129" spans="1:5">
      <c r="A129" s="442" t="str">
        <f t="shared" si="3"/>
        <v>CEX | IIS | CMY007  MS: Onsite S&amp;C Audits/BOPIS</v>
      </c>
      <c r="B129" s="160" t="s">
        <v>231</v>
      </c>
      <c r="C129" s="161" t="s">
        <v>239</v>
      </c>
      <c r="D129" s="164" t="s">
        <v>277</v>
      </c>
      <c r="E129" s="160" t="s">
        <v>240</v>
      </c>
    </row>
    <row r="130" spans="1:5">
      <c r="A130" s="442" t="str">
        <f t="shared" si="3"/>
        <v>CEX | Digital | CMY007  MS: Onsite S&amp;C Audits/BOPIS</v>
      </c>
      <c r="B130" s="160" t="s">
        <v>231</v>
      </c>
      <c r="C130" s="161" t="s">
        <v>242</v>
      </c>
      <c r="D130" s="164" t="s">
        <v>277</v>
      </c>
      <c r="E130" s="160" t="s">
        <v>240</v>
      </c>
    </row>
    <row r="131" spans="1:5">
      <c r="A131" s="442" t="str">
        <f t="shared" ref="A131:A194" si="4">B131&amp;" | "&amp;C131&amp;" | "&amp;D131</f>
        <v>CEX | L4 | CMY007  MS: Onsite S&amp;C Audits/BOPIS</v>
      </c>
      <c r="B131" s="160" t="s">
        <v>231</v>
      </c>
      <c r="C131" s="161" t="s">
        <v>61</v>
      </c>
      <c r="D131" s="164" t="s">
        <v>277</v>
      </c>
      <c r="E131" s="160">
        <v>12</v>
      </c>
    </row>
    <row r="132" spans="1:5">
      <c r="A132" s="442" t="str">
        <f t="shared" si="4"/>
        <v>CEX | L5 | CMY007  MS: Onsite S&amp;C Audits/BOPIS</v>
      </c>
      <c r="B132" s="160" t="s">
        <v>231</v>
      </c>
      <c r="C132" s="161" t="s">
        <v>62</v>
      </c>
      <c r="D132" s="164" t="s">
        <v>277</v>
      </c>
      <c r="E132" s="160">
        <v>50.5</v>
      </c>
    </row>
    <row r="133" spans="1:5">
      <c r="A133" s="442" t="str">
        <f t="shared" si="4"/>
        <v>CEX | L6 | CMY007  MS: Onsite S&amp;C Audits/BOPIS</v>
      </c>
      <c r="B133" s="160" t="s">
        <v>231</v>
      </c>
      <c r="C133" s="161" t="s">
        <v>63</v>
      </c>
      <c r="D133" s="164" t="s">
        <v>277</v>
      </c>
      <c r="E133" s="160">
        <v>211</v>
      </c>
    </row>
    <row r="134" spans="1:5">
      <c r="A134" s="442" t="str">
        <f t="shared" si="4"/>
        <v>CEX | L7 | CMY007  MS: Onsite S&amp;C Audits/BOPIS</v>
      </c>
      <c r="B134" s="160" t="s">
        <v>231</v>
      </c>
      <c r="C134" s="161" t="s">
        <v>64</v>
      </c>
      <c r="D134" s="164" t="s">
        <v>277</v>
      </c>
      <c r="E134" s="160">
        <v>160</v>
      </c>
    </row>
    <row r="135" spans="1:5">
      <c r="A135" s="442" t="str">
        <f t="shared" si="4"/>
        <v>CEX | Ops | CXT009  CXM Transactional NonCXM</v>
      </c>
      <c r="B135" s="160" t="s">
        <v>231</v>
      </c>
      <c r="C135" s="161" t="s">
        <v>8</v>
      </c>
      <c r="D135" s="164" t="s">
        <v>278</v>
      </c>
      <c r="E135" s="160" t="s">
        <v>240</v>
      </c>
    </row>
    <row r="136" spans="1:5">
      <c r="A136" s="442" t="str">
        <f t="shared" si="4"/>
        <v>CEX | IIS | CXT009  CXM Transactional NonCXM</v>
      </c>
      <c r="B136" s="160" t="s">
        <v>231</v>
      </c>
      <c r="C136" s="161" t="s">
        <v>239</v>
      </c>
      <c r="D136" s="164" t="s">
        <v>278</v>
      </c>
      <c r="E136" s="160" t="s">
        <v>240</v>
      </c>
    </row>
    <row r="137" spans="1:5">
      <c r="A137" s="442" t="str">
        <f t="shared" si="4"/>
        <v>CEX | Digital | CXT009  CXM Transactional NonCXM</v>
      </c>
      <c r="B137" s="160" t="s">
        <v>231</v>
      </c>
      <c r="C137" s="161" t="s">
        <v>242</v>
      </c>
      <c r="D137" s="164" t="s">
        <v>278</v>
      </c>
      <c r="E137" s="160" t="s">
        <v>240</v>
      </c>
    </row>
    <row r="138" spans="1:5">
      <c r="A138" s="442" t="str">
        <f t="shared" si="4"/>
        <v>CEX | L4 | CXT009  CXM Transactional NonCXM</v>
      </c>
      <c r="B138" s="160" t="s">
        <v>231</v>
      </c>
      <c r="C138" s="161" t="s">
        <v>61</v>
      </c>
      <c r="D138" s="164" t="s">
        <v>278</v>
      </c>
      <c r="E138" s="160">
        <v>31</v>
      </c>
    </row>
    <row r="139" spans="1:5">
      <c r="A139" s="442" t="str">
        <f t="shared" si="4"/>
        <v>CEX | L5 | CXT009  CXM Transactional NonCXM</v>
      </c>
      <c r="B139" s="160" t="s">
        <v>231</v>
      </c>
      <c r="C139" s="161" t="s">
        <v>62</v>
      </c>
      <c r="D139" s="164" t="s">
        <v>278</v>
      </c>
      <c r="E139" s="160">
        <v>141</v>
      </c>
    </row>
    <row r="140" spans="1:5">
      <c r="A140" s="442" t="str">
        <f t="shared" si="4"/>
        <v>CEX | L6 | CXT009  CXM Transactional NonCXM</v>
      </c>
      <c r="B140" s="160" t="s">
        <v>231</v>
      </c>
      <c r="C140" s="161" t="s">
        <v>63</v>
      </c>
      <c r="D140" s="164" t="s">
        <v>278</v>
      </c>
      <c r="E140" s="160">
        <v>284</v>
      </c>
    </row>
    <row r="141" spans="1:5">
      <c r="A141" s="442" t="str">
        <f t="shared" si="4"/>
        <v>CEX | L7 | CXT009  CXM Transactional NonCXM</v>
      </c>
      <c r="B141" s="160" t="s">
        <v>231</v>
      </c>
      <c r="C141" s="161" t="s">
        <v>64</v>
      </c>
      <c r="D141" s="164" t="s">
        <v>278</v>
      </c>
      <c r="E141" s="160">
        <v>278</v>
      </c>
    </row>
    <row r="142" spans="1:5">
      <c r="A142" s="442" t="str">
        <f t="shared" si="4"/>
        <v>CEX | Ops | CXA001  CEX Workshops</v>
      </c>
      <c r="B142" s="160" t="s">
        <v>231</v>
      </c>
      <c r="C142" s="161" t="s">
        <v>8</v>
      </c>
      <c r="D142" s="164" t="s">
        <v>279</v>
      </c>
      <c r="E142" s="160" t="s">
        <v>240</v>
      </c>
    </row>
    <row r="143" spans="1:5">
      <c r="A143" s="442" t="str">
        <f t="shared" si="4"/>
        <v>CEX | IIS | CXA001  CEX Workshops</v>
      </c>
      <c r="B143" s="160" t="s">
        <v>231</v>
      </c>
      <c r="C143" s="161" t="s">
        <v>239</v>
      </c>
      <c r="D143" s="164" t="s">
        <v>279</v>
      </c>
      <c r="E143" s="160" t="s">
        <v>240</v>
      </c>
    </row>
    <row r="144" spans="1:5">
      <c r="A144" s="442" t="str">
        <f t="shared" si="4"/>
        <v>CEX | Digital | CXA001  CEX Workshops</v>
      </c>
      <c r="B144" s="160" t="s">
        <v>231</v>
      </c>
      <c r="C144" s="161" t="s">
        <v>242</v>
      </c>
      <c r="D144" s="164" t="s">
        <v>279</v>
      </c>
      <c r="E144" s="160" t="s">
        <v>240</v>
      </c>
    </row>
    <row r="145" spans="1:5">
      <c r="A145" s="442" t="str">
        <f t="shared" si="4"/>
        <v>CEX | L4 | CXA001  CEX Workshops</v>
      </c>
      <c r="B145" s="160" t="s">
        <v>231</v>
      </c>
      <c r="C145" s="161" t="s">
        <v>61</v>
      </c>
      <c r="D145" s="164" t="s">
        <v>279</v>
      </c>
      <c r="E145" s="160">
        <v>12</v>
      </c>
    </row>
    <row r="146" spans="1:5">
      <c r="A146" s="442" t="str">
        <f t="shared" si="4"/>
        <v>CEX | L5 | CXA001  CEX Workshops</v>
      </c>
      <c r="B146" s="160" t="s">
        <v>231</v>
      </c>
      <c r="C146" s="161" t="s">
        <v>62</v>
      </c>
      <c r="D146" s="164" t="s">
        <v>279</v>
      </c>
      <c r="E146" s="160">
        <v>54.5</v>
      </c>
    </row>
    <row r="147" spans="1:5">
      <c r="A147" s="442" t="str">
        <f t="shared" si="4"/>
        <v>CEX | L6 | CXA001  CEX Workshops</v>
      </c>
      <c r="B147" s="160" t="s">
        <v>231</v>
      </c>
      <c r="C147" s="161" t="s">
        <v>63</v>
      </c>
      <c r="D147" s="164" t="s">
        <v>279</v>
      </c>
      <c r="E147" s="160">
        <v>96</v>
      </c>
    </row>
    <row r="148" spans="1:5">
      <c r="A148" s="442" t="str">
        <f t="shared" si="4"/>
        <v>CEX | L7 | CXA001  CEX Workshops</v>
      </c>
      <c r="B148" s="160" t="s">
        <v>231</v>
      </c>
      <c r="C148" s="161" t="s">
        <v>64</v>
      </c>
      <c r="D148" s="164" t="s">
        <v>279</v>
      </c>
      <c r="E148" s="160">
        <v>74</v>
      </c>
    </row>
    <row r="149" spans="1:5">
      <c r="A149" s="442" t="str">
        <f t="shared" si="4"/>
        <v>CEX | Ops | CXT005  CXM Medallia</v>
      </c>
      <c r="B149" s="160" t="s">
        <v>231</v>
      </c>
      <c r="C149" s="161" t="s">
        <v>8</v>
      </c>
      <c r="D149" s="164" t="s">
        <v>280</v>
      </c>
      <c r="E149" s="160" t="s">
        <v>240</v>
      </c>
    </row>
    <row r="150" spans="1:5">
      <c r="A150" s="442" t="str">
        <f t="shared" si="4"/>
        <v>CEX | IIS | CXT005  CXM Medallia</v>
      </c>
      <c r="B150" s="160" t="s">
        <v>231</v>
      </c>
      <c r="C150" s="161" t="s">
        <v>239</v>
      </c>
      <c r="D150" s="164" t="s">
        <v>280</v>
      </c>
      <c r="E150" s="160" t="s">
        <v>240</v>
      </c>
    </row>
    <row r="151" spans="1:5">
      <c r="A151" s="442" t="str">
        <f t="shared" si="4"/>
        <v>CEX | Digital | CXT005  CXM Medallia</v>
      </c>
      <c r="B151" s="160" t="s">
        <v>231</v>
      </c>
      <c r="C151" s="161" t="s">
        <v>242</v>
      </c>
      <c r="D151" s="164" t="s">
        <v>280</v>
      </c>
      <c r="E151" s="160" t="s">
        <v>240</v>
      </c>
    </row>
    <row r="152" spans="1:5">
      <c r="A152" s="442" t="str">
        <f t="shared" si="4"/>
        <v>CEX | L4 | CXT005  CXM Medallia</v>
      </c>
      <c r="B152" s="160" t="s">
        <v>231</v>
      </c>
      <c r="C152" s="161" t="s">
        <v>61</v>
      </c>
      <c r="D152" s="164" t="s">
        <v>280</v>
      </c>
      <c r="E152" s="160">
        <v>12</v>
      </c>
    </row>
    <row r="153" spans="1:5">
      <c r="A153" s="442" t="str">
        <f t="shared" si="4"/>
        <v>CEX | L5 | CXT005  CXM Medallia</v>
      </c>
      <c r="B153" s="160" t="s">
        <v>231</v>
      </c>
      <c r="C153" s="161" t="s">
        <v>62</v>
      </c>
      <c r="D153" s="164" t="s">
        <v>280</v>
      </c>
      <c r="E153" s="160">
        <v>69</v>
      </c>
    </row>
    <row r="154" spans="1:5">
      <c r="A154" s="442" t="str">
        <f t="shared" si="4"/>
        <v>CEX | L6 | CXT005  CXM Medallia</v>
      </c>
      <c r="B154" s="160" t="s">
        <v>231</v>
      </c>
      <c r="C154" s="161" t="s">
        <v>63</v>
      </c>
      <c r="D154" s="164" t="s">
        <v>280</v>
      </c>
      <c r="E154" s="160">
        <v>137</v>
      </c>
    </row>
    <row r="155" spans="1:5">
      <c r="A155" s="442" t="str">
        <f t="shared" si="4"/>
        <v>CEX | L7 | CXT005  CXM Medallia</v>
      </c>
      <c r="B155" s="160" t="s">
        <v>231</v>
      </c>
      <c r="C155" s="161" t="s">
        <v>64</v>
      </c>
      <c r="D155" s="164" t="s">
        <v>280</v>
      </c>
      <c r="E155" s="160">
        <v>0</v>
      </c>
    </row>
    <row r="156" spans="1:5">
      <c r="A156" s="442" t="str">
        <f t="shared" si="4"/>
        <v>MSU | L4 | MSC003 - Market Structure</v>
      </c>
      <c r="B156" s="160" t="s">
        <v>174</v>
      </c>
      <c r="C156" s="161" t="s">
        <v>61</v>
      </c>
      <c r="D156" s="160" t="s">
        <v>888</v>
      </c>
      <c r="E156" s="160">
        <v>12</v>
      </c>
    </row>
    <row r="157" spans="1:5">
      <c r="A157" s="442" t="str">
        <f t="shared" si="4"/>
        <v>MSU | L5 | MSC003 - Market Structure</v>
      </c>
      <c r="B157" s="160" t="s">
        <v>174</v>
      </c>
      <c r="C157" s="161" t="s">
        <v>62</v>
      </c>
      <c r="D157" s="160" t="s">
        <v>888</v>
      </c>
      <c r="E157" s="160">
        <v>90</v>
      </c>
    </row>
    <row r="158" spans="1:5">
      <c r="A158" s="442" t="str">
        <f t="shared" si="4"/>
        <v>MSU | L6 | MSC003 - Market Structure</v>
      </c>
      <c r="B158" s="160" t="s">
        <v>174</v>
      </c>
      <c r="C158" s="161" t="s">
        <v>63</v>
      </c>
      <c r="D158" s="160" t="s">
        <v>888</v>
      </c>
      <c r="E158" s="160">
        <v>150</v>
      </c>
    </row>
    <row r="159" spans="1:5">
      <c r="A159" s="442" t="str">
        <f t="shared" si="4"/>
        <v>MSU | L7 | MSC003 - Market Structure</v>
      </c>
      <c r="B159" s="160" t="s">
        <v>174</v>
      </c>
      <c r="C159" s="161" t="s">
        <v>64</v>
      </c>
      <c r="D159" s="160" t="s">
        <v>888</v>
      </c>
      <c r="E159" s="160">
        <v>140</v>
      </c>
    </row>
    <row r="160" spans="1:5">
      <c r="A160" s="442" t="str">
        <f t="shared" si="4"/>
        <v>MSU | L4 | MSC005 - U&amp;A</v>
      </c>
      <c r="B160" s="160" t="s">
        <v>174</v>
      </c>
      <c r="C160" s="161" t="s">
        <v>61</v>
      </c>
      <c r="D160" s="160" t="s">
        <v>889</v>
      </c>
      <c r="E160" s="160">
        <v>20</v>
      </c>
    </row>
    <row r="161" spans="1:5">
      <c r="A161" s="442" t="str">
        <f t="shared" si="4"/>
        <v>MSU | L5 | MSC005 - U&amp;A</v>
      </c>
      <c r="B161" s="160" t="s">
        <v>174</v>
      </c>
      <c r="C161" s="161" t="s">
        <v>62</v>
      </c>
      <c r="D161" s="160" t="s">
        <v>889</v>
      </c>
      <c r="E161" s="160">
        <v>85</v>
      </c>
    </row>
    <row r="162" spans="1:5">
      <c r="A162" s="442" t="str">
        <f t="shared" si="4"/>
        <v>MSU | L6 | MSC005 - U&amp;A</v>
      </c>
      <c r="B162" s="160" t="s">
        <v>174</v>
      </c>
      <c r="C162" s="161" t="s">
        <v>63</v>
      </c>
      <c r="D162" s="160" t="s">
        <v>889</v>
      </c>
      <c r="E162" s="160">
        <v>95</v>
      </c>
    </row>
    <row r="163" spans="1:5">
      <c r="A163" s="442" t="str">
        <f t="shared" si="4"/>
        <v>MSU | L7 | MSC005 - U&amp;A</v>
      </c>
      <c r="B163" s="160" t="s">
        <v>174</v>
      </c>
      <c r="C163" s="161" t="s">
        <v>64</v>
      </c>
      <c r="D163" s="160" t="s">
        <v>889</v>
      </c>
      <c r="E163" s="160">
        <v>140</v>
      </c>
    </row>
    <row r="164" spans="1:5">
      <c r="A164" s="442" t="str">
        <f t="shared" si="4"/>
        <v>MSU | L4 | MSC007 - U&amp;A - Templated</v>
      </c>
      <c r="B164" s="160" t="s">
        <v>174</v>
      </c>
      <c r="C164" s="161" t="s">
        <v>61</v>
      </c>
      <c r="D164" s="160" t="s">
        <v>890</v>
      </c>
      <c r="E164" s="160">
        <v>15</v>
      </c>
    </row>
    <row r="165" spans="1:5">
      <c r="A165" s="442" t="str">
        <f t="shared" si="4"/>
        <v>MSU | L5 | MSC007 - U&amp;A - Templated</v>
      </c>
      <c r="B165" s="160" t="s">
        <v>174</v>
      </c>
      <c r="C165" s="161" t="s">
        <v>62</v>
      </c>
      <c r="D165" s="160" t="s">
        <v>890</v>
      </c>
      <c r="E165" s="160">
        <v>69</v>
      </c>
    </row>
    <row r="166" spans="1:5">
      <c r="A166" s="442" t="str">
        <f t="shared" si="4"/>
        <v>MSU | L6 | MSC007 - U&amp;A - Templated</v>
      </c>
      <c r="B166" s="160" t="s">
        <v>174</v>
      </c>
      <c r="C166" s="161" t="s">
        <v>63</v>
      </c>
      <c r="D166" s="160" t="s">
        <v>890</v>
      </c>
      <c r="E166" s="160">
        <v>80</v>
      </c>
    </row>
    <row r="167" spans="1:5">
      <c r="A167" s="442" t="str">
        <f t="shared" si="4"/>
        <v>MSU | L7 | MSC007 - U&amp;A - Templated</v>
      </c>
      <c r="B167" s="160" t="s">
        <v>174</v>
      </c>
      <c r="C167" s="161" t="s">
        <v>64</v>
      </c>
      <c r="D167" s="160" t="s">
        <v>890</v>
      </c>
      <c r="E167" s="160">
        <v>120</v>
      </c>
    </row>
    <row r="168" spans="1:5">
      <c r="A168" s="442" t="str">
        <f t="shared" si="4"/>
        <v>MSU | L4 | MSC010 - Fast MSU</v>
      </c>
      <c r="B168" s="160" t="s">
        <v>174</v>
      </c>
      <c r="C168" s="161" t="s">
        <v>61</v>
      </c>
      <c r="D168" s="160" t="s">
        <v>891</v>
      </c>
      <c r="E168" s="160">
        <v>8</v>
      </c>
    </row>
    <row r="169" spans="1:5">
      <c r="A169" s="442" t="str">
        <f t="shared" si="4"/>
        <v>MSU | L5 | MSC010 - Fast MSU</v>
      </c>
      <c r="B169" s="160" t="s">
        <v>174</v>
      </c>
      <c r="C169" s="161" t="s">
        <v>62</v>
      </c>
      <c r="D169" s="160" t="s">
        <v>891</v>
      </c>
      <c r="E169" s="160">
        <v>75</v>
      </c>
    </row>
    <row r="170" spans="1:5">
      <c r="A170" s="442" t="str">
        <f t="shared" si="4"/>
        <v>MSU | L6 | MSC010 - Fast MSU</v>
      </c>
      <c r="B170" s="160" t="s">
        <v>174</v>
      </c>
      <c r="C170" s="161" t="s">
        <v>63</v>
      </c>
      <c r="D170" s="160" t="s">
        <v>891</v>
      </c>
      <c r="E170" s="160">
        <v>95</v>
      </c>
    </row>
    <row r="171" spans="1:5">
      <c r="A171" s="442" t="str">
        <f t="shared" si="4"/>
        <v>MSU | L7 | MSC010 - Fast MSU</v>
      </c>
      <c r="B171" s="160" t="s">
        <v>174</v>
      </c>
      <c r="C171" s="161" t="s">
        <v>64</v>
      </c>
      <c r="D171" s="160" t="s">
        <v>891</v>
      </c>
      <c r="E171" s="160">
        <v>130</v>
      </c>
    </row>
    <row r="172" spans="1:5">
      <c r="A172" s="442" t="str">
        <f t="shared" si="4"/>
        <v>MSU | L4 | CSI002 - SI: Shopper Insights</v>
      </c>
      <c r="B172" s="160" t="s">
        <v>174</v>
      </c>
      <c r="C172" s="161" t="s">
        <v>61</v>
      </c>
      <c r="D172" s="160" t="s">
        <v>1392</v>
      </c>
      <c r="E172" s="160">
        <v>8</v>
      </c>
    </row>
    <row r="173" spans="1:5">
      <c r="A173" s="442" t="str">
        <f t="shared" si="4"/>
        <v>MSU | L5 | CSI002 - SI: Shopper Insights</v>
      </c>
      <c r="B173" s="160" t="s">
        <v>174</v>
      </c>
      <c r="C173" s="161" t="s">
        <v>62</v>
      </c>
      <c r="D173" s="160" t="s">
        <v>1392</v>
      </c>
      <c r="E173" s="160">
        <v>75</v>
      </c>
    </row>
    <row r="174" spans="1:5">
      <c r="A174" s="442" t="str">
        <f t="shared" si="4"/>
        <v>MSU | L6 | CSI002 - SI: Shopper Insights</v>
      </c>
      <c r="B174" s="160" t="s">
        <v>174</v>
      </c>
      <c r="C174" s="161" t="s">
        <v>63</v>
      </c>
      <c r="D174" s="160" t="s">
        <v>1392</v>
      </c>
      <c r="E174" s="160">
        <v>95</v>
      </c>
    </row>
    <row r="175" spans="1:5">
      <c r="A175" s="442" t="str">
        <f t="shared" si="4"/>
        <v>MSU | L7 | CSI002 - SI: Shopper Insights</v>
      </c>
      <c r="B175" s="160" t="s">
        <v>174</v>
      </c>
      <c r="C175" s="161" t="s">
        <v>64</v>
      </c>
      <c r="D175" s="160" t="s">
        <v>1392</v>
      </c>
      <c r="E175" s="160">
        <v>130</v>
      </c>
    </row>
    <row r="176" spans="1:5">
      <c r="A176" s="442" t="str">
        <f t="shared" si="4"/>
        <v>BHT | L4 | BTI008 - Brand&amp;Comms Track w. intg data</v>
      </c>
      <c r="B176" s="160" t="s">
        <v>232</v>
      </c>
      <c r="C176" s="161" t="s">
        <v>61</v>
      </c>
      <c r="D176" s="160" t="s">
        <v>982</v>
      </c>
      <c r="E176" s="160">
        <v>10</v>
      </c>
    </row>
    <row r="177" spans="1:5">
      <c r="A177" s="442" t="str">
        <f t="shared" si="4"/>
        <v>BHT | L5 | BTI008 - Brand&amp;Comms Track w. intg data</v>
      </c>
      <c r="B177" s="160" t="s">
        <v>232</v>
      </c>
      <c r="C177" s="161" t="s">
        <v>62</v>
      </c>
      <c r="D177" s="160" t="s">
        <v>982</v>
      </c>
      <c r="E177" s="160">
        <v>10</v>
      </c>
    </row>
    <row r="178" spans="1:5">
      <c r="A178" s="442" t="str">
        <f t="shared" si="4"/>
        <v>BHT | L6 | BTI008 - Brand&amp;Comms Track w. intg data</v>
      </c>
      <c r="B178" s="160" t="s">
        <v>232</v>
      </c>
      <c r="C178" s="161" t="s">
        <v>63</v>
      </c>
      <c r="D178" s="160" t="s">
        <v>982</v>
      </c>
      <c r="E178" s="160">
        <v>10</v>
      </c>
    </row>
    <row r="179" spans="1:5">
      <c r="A179" s="442" t="str">
        <f t="shared" si="4"/>
        <v>BHT | L7 | BTI008 - Brand&amp;Comms Track w. intg data</v>
      </c>
      <c r="B179" s="160" t="s">
        <v>232</v>
      </c>
      <c r="C179" s="161" t="s">
        <v>64</v>
      </c>
      <c r="D179" s="160" t="s">
        <v>982</v>
      </c>
      <c r="E179" s="160">
        <v>10</v>
      </c>
    </row>
    <row r="180" spans="1:5">
      <c r="A180" s="442" t="str">
        <f t="shared" si="4"/>
        <v>BHT | L4 | BTT001 - Brand &amp; Comms Tracking</v>
      </c>
      <c r="B180" s="160" t="s">
        <v>232</v>
      </c>
      <c r="C180" s="161" t="s">
        <v>61</v>
      </c>
      <c r="D180" s="160" t="s">
        <v>983</v>
      </c>
      <c r="E180" s="160">
        <v>15</v>
      </c>
    </row>
    <row r="181" spans="1:5">
      <c r="A181" s="442" t="str">
        <f t="shared" si="4"/>
        <v>BHT | L5 | BTT001 - Brand &amp; Comms Tracking</v>
      </c>
      <c r="B181" s="160" t="s">
        <v>232</v>
      </c>
      <c r="C181" s="161" t="s">
        <v>62</v>
      </c>
      <c r="D181" s="160" t="s">
        <v>983</v>
      </c>
      <c r="E181" s="160">
        <v>15</v>
      </c>
    </row>
    <row r="182" spans="1:5">
      <c r="A182" s="442" t="str">
        <f t="shared" si="4"/>
        <v>BHT | L6 | BTT001 - Brand &amp; Comms Tracking</v>
      </c>
      <c r="B182" s="160" t="s">
        <v>232</v>
      </c>
      <c r="C182" s="161" t="s">
        <v>63</v>
      </c>
      <c r="D182" s="160" t="s">
        <v>983</v>
      </c>
      <c r="E182" s="160">
        <v>15</v>
      </c>
    </row>
    <row r="183" spans="1:5">
      <c r="A183" s="442" t="str">
        <f t="shared" si="4"/>
        <v>BHT | L7 | BTT001 - Brand &amp; Comms Tracking</v>
      </c>
      <c r="B183" s="160" t="s">
        <v>232</v>
      </c>
      <c r="C183" s="161" t="s">
        <v>64</v>
      </c>
      <c r="D183" s="160" t="s">
        <v>983</v>
      </c>
      <c r="E183" s="160">
        <v>15</v>
      </c>
    </row>
    <row r="184" spans="1:5">
      <c r="A184" s="442" t="str">
        <f t="shared" si="4"/>
        <v>BHT | L4 | BTT002 - Brand Tracking</v>
      </c>
      <c r="B184" s="160" t="s">
        <v>232</v>
      </c>
      <c r="C184" s="161" t="s">
        <v>61</v>
      </c>
      <c r="D184" s="160" t="s">
        <v>984</v>
      </c>
      <c r="E184" s="160">
        <v>20</v>
      </c>
    </row>
    <row r="185" spans="1:5">
      <c r="A185" s="442" t="str">
        <f t="shared" si="4"/>
        <v>BHT | L5 | BTT002 - Brand Tracking</v>
      </c>
      <c r="B185" s="160" t="s">
        <v>232</v>
      </c>
      <c r="C185" s="161" t="s">
        <v>62</v>
      </c>
      <c r="D185" s="160" t="s">
        <v>984</v>
      </c>
      <c r="E185" s="160">
        <v>20</v>
      </c>
    </row>
    <row r="186" spans="1:5">
      <c r="A186" s="442" t="str">
        <f t="shared" si="4"/>
        <v>BHT | L6 | BTT002 - Brand Tracking</v>
      </c>
      <c r="B186" s="160" t="s">
        <v>232</v>
      </c>
      <c r="C186" s="161" t="s">
        <v>63</v>
      </c>
      <c r="D186" s="160" t="s">
        <v>984</v>
      </c>
      <c r="E186" s="160">
        <v>20</v>
      </c>
    </row>
    <row r="187" spans="1:5">
      <c r="A187" s="442" t="str">
        <f t="shared" si="4"/>
        <v>BHT | L7 | BTT002 - Brand Tracking</v>
      </c>
      <c r="B187" s="160" t="s">
        <v>232</v>
      </c>
      <c r="C187" s="161" t="s">
        <v>64</v>
      </c>
      <c r="D187" s="160" t="s">
        <v>984</v>
      </c>
      <c r="E187" s="160">
        <v>20</v>
      </c>
    </row>
    <row r="188" spans="1:5">
      <c r="A188" s="442" t="str">
        <f t="shared" si="4"/>
        <v>BHT | L4 | BTT010 - Contextual Brand Tracking</v>
      </c>
      <c r="B188" s="160" t="s">
        <v>232</v>
      </c>
      <c r="C188" s="161" t="s">
        <v>61</v>
      </c>
      <c r="D188" s="160" t="s">
        <v>985</v>
      </c>
      <c r="E188" s="160">
        <v>30</v>
      </c>
    </row>
    <row r="189" spans="1:5">
      <c r="A189" s="442" t="str">
        <f t="shared" si="4"/>
        <v>BHT | L5 | BTT010 - Contextual Brand Tracking</v>
      </c>
      <c r="B189" s="160" t="s">
        <v>232</v>
      </c>
      <c r="C189" s="161" t="s">
        <v>62</v>
      </c>
      <c r="D189" s="160" t="s">
        <v>985</v>
      </c>
      <c r="E189" s="160">
        <v>30</v>
      </c>
    </row>
    <row r="190" spans="1:5">
      <c r="A190" s="442" t="str">
        <f t="shared" si="4"/>
        <v>BHT | L6 | BTT010 - Contextual Brand Tracking</v>
      </c>
      <c r="B190" s="160" t="s">
        <v>232</v>
      </c>
      <c r="C190" s="161" t="s">
        <v>63</v>
      </c>
      <c r="D190" s="160" t="s">
        <v>985</v>
      </c>
      <c r="E190" s="160">
        <v>30</v>
      </c>
    </row>
    <row r="191" spans="1:5">
      <c r="A191" s="442" t="str">
        <f t="shared" si="4"/>
        <v>BHT | L7 | BTT010 - Contextual Brand Tracking</v>
      </c>
      <c r="B191" s="160" t="s">
        <v>232</v>
      </c>
      <c r="C191" s="161" t="s">
        <v>64</v>
      </c>
      <c r="D191" s="160" t="s">
        <v>985</v>
      </c>
      <c r="E191" s="160">
        <v>30</v>
      </c>
    </row>
    <row r="192" spans="1:5">
      <c r="A192" s="442" t="str">
        <f t="shared" si="4"/>
        <v>OBS | L4 | ADHOC</v>
      </c>
      <c r="B192" s="160" t="s">
        <v>1390</v>
      </c>
      <c r="C192" s="161" t="s">
        <v>61</v>
      </c>
      <c r="D192" s="160" t="s">
        <v>2175</v>
      </c>
      <c r="E192" s="160">
        <v>30</v>
      </c>
    </row>
    <row r="193" spans="1:5">
      <c r="A193" s="442" t="str">
        <f t="shared" si="4"/>
        <v>OBS | L5 | ADHOC</v>
      </c>
      <c r="B193" s="160" t="s">
        <v>1390</v>
      </c>
      <c r="C193" s="161" t="s">
        <v>62</v>
      </c>
      <c r="D193" s="160" t="s">
        <v>2175</v>
      </c>
      <c r="E193" s="160">
        <v>30</v>
      </c>
    </row>
    <row r="194" spans="1:5">
      <c r="A194" s="442" t="str">
        <f t="shared" si="4"/>
        <v>OBS | L6 | ADHOC</v>
      </c>
      <c r="B194" s="160" t="s">
        <v>1390</v>
      </c>
      <c r="C194" s="161" t="s">
        <v>63</v>
      </c>
      <c r="D194" s="160" t="s">
        <v>2175</v>
      </c>
      <c r="E194" s="160">
        <v>30</v>
      </c>
    </row>
    <row r="195" spans="1:5">
      <c r="A195" s="442" t="str">
        <f t="shared" ref="A195:A199" si="5">B195&amp;" | "&amp;C195&amp;" | "&amp;D195</f>
        <v>OBS | L7 | ADHOC</v>
      </c>
      <c r="B195" s="160" t="s">
        <v>1390</v>
      </c>
      <c r="C195" s="161" t="s">
        <v>64</v>
      </c>
      <c r="D195" s="160" t="s">
        <v>2175</v>
      </c>
      <c r="E195" s="160">
        <v>30</v>
      </c>
    </row>
    <row r="196" spans="1:5">
      <c r="A196" s="442" t="str">
        <f t="shared" si="5"/>
        <v>OBS | L4 | INTERNACIONAL</v>
      </c>
      <c r="B196" s="160" t="s">
        <v>1390</v>
      </c>
      <c r="C196" s="161" t="s">
        <v>61</v>
      </c>
      <c r="D196" s="160" t="s">
        <v>2199</v>
      </c>
      <c r="E196" s="160">
        <v>30</v>
      </c>
    </row>
    <row r="197" spans="1:5">
      <c r="A197" s="442" t="str">
        <f t="shared" si="5"/>
        <v>OBS | L5 | INTERNACIONAL</v>
      </c>
      <c r="B197" s="160" t="s">
        <v>1390</v>
      </c>
      <c r="C197" s="161" t="s">
        <v>62</v>
      </c>
      <c r="D197" s="160" t="s">
        <v>2199</v>
      </c>
      <c r="E197" s="160">
        <v>30</v>
      </c>
    </row>
    <row r="198" spans="1:5">
      <c r="A198" s="442" t="str">
        <f t="shared" si="5"/>
        <v>OBS | L6 | INTERNACIONAL</v>
      </c>
      <c r="B198" s="160" t="s">
        <v>1390</v>
      </c>
      <c r="C198" s="161" t="s">
        <v>63</v>
      </c>
      <c r="D198" s="160" t="s">
        <v>2199</v>
      </c>
      <c r="E198" s="160">
        <v>30</v>
      </c>
    </row>
    <row r="199" spans="1:5">
      <c r="A199" s="442" t="str">
        <f t="shared" si="5"/>
        <v>OBS | L7 | INTERNACIONAL</v>
      </c>
      <c r="B199" s="160" t="s">
        <v>1390</v>
      </c>
      <c r="C199" s="161" t="s">
        <v>64</v>
      </c>
      <c r="D199" s="160" t="s">
        <v>2199</v>
      </c>
      <c r="E199" s="160">
        <v>30</v>
      </c>
    </row>
    <row r="200" spans="1:5">
      <c r="B200" s="160"/>
      <c r="C200" s="161"/>
    </row>
  </sheetData>
  <phoneticPr fontId="3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37AB7-61D0-4C36-8D4F-20CF4180A1B5}">
  <sheetPr codeName="Hoja5"/>
  <dimension ref="A1:AO38"/>
  <sheetViews>
    <sheetView topLeftCell="S1" zoomScale="85" zoomScaleNormal="85" workbookViewId="0">
      <selection activeCell="U17" sqref="U17"/>
    </sheetView>
  </sheetViews>
  <sheetFormatPr baseColWidth="10" defaultColWidth="11.42578125" defaultRowHeight="15"/>
  <cols>
    <col min="1" max="1" width="25.140625" hidden="1" customWidth="1"/>
    <col min="2" max="2" width="18" hidden="1" customWidth="1"/>
    <col min="3" max="3" width="12.7109375" hidden="1" customWidth="1"/>
    <col min="4" max="4" width="2.42578125" hidden="1" customWidth="1"/>
    <col min="5" max="5" width="13.85546875" hidden="1" customWidth="1"/>
    <col min="6" max="6" width="9.28515625" hidden="1" customWidth="1"/>
    <col min="7" max="7" width="2.42578125" hidden="1" customWidth="1"/>
    <col min="8" max="8" width="13.85546875" hidden="1" customWidth="1"/>
    <col min="9" max="9" width="7" hidden="1" customWidth="1"/>
    <col min="10" max="10" width="6" hidden="1" customWidth="1"/>
    <col min="11" max="11" width="2.42578125" hidden="1" customWidth="1"/>
    <col min="12" max="12" width="17.140625" hidden="1" customWidth="1"/>
    <col min="13" max="13" width="7" hidden="1" customWidth="1"/>
    <col min="14" max="14" width="3.85546875" hidden="1" customWidth="1"/>
    <col min="15" max="15" width="2.28515625" hidden="1" customWidth="1"/>
    <col min="16" max="16" width="18.140625" hidden="1" customWidth="1"/>
    <col min="17" max="17" width="13" hidden="1" customWidth="1"/>
    <col min="18" max="18" width="8.85546875" hidden="1" customWidth="1"/>
    <col min="20" max="20" width="18.140625" bestFit="1" customWidth="1"/>
    <col min="21" max="22" width="8" bestFit="1" customWidth="1"/>
    <col min="23" max="23" width="14.28515625" bestFit="1" customWidth="1"/>
    <col min="24" max="24" width="11.140625" bestFit="1" customWidth="1"/>
    <col min="25" max="25" width="4.140625" customWidth="1"/>
    <col min="26" max="26" width="6" bestFit="1" customWidth="1"/>
    <col min="27" max="27" width="9.42578125" bestFit="1" customWidth="1"/>
    <col min="28" max="28" width="11.85546875" bestFit="1" customWidth="1"/>
    <col min="29" max="29" width="4" bestFit="1" customWidth="1"/>
    <col min="30" max="30" width="4.140625" customWidth="1"/>
    <col min="31" max="31" width="7.28515625" bestFit="1" customWidth="1"/>
    <col min="32" max="32" width="3" bestFit="1" customWidth="1"/>
    <col min="33" max="33" width="4.140625" customWidth="1"/>
    <col min="34" max="34" width="5.7109375" bestFit="1" customWidth="1"/>
    <col min="35" max="35" width="6" bestFit="1" customWidth="1"/>
    <col min="36" max="36" width="4.140625" customWidth="1"/>
    <col min="37" max="37" width="7.7109375" bestFit="1" customWidth="1"/>
    <col min="38" max="38" width="4.85546875" bestFit="1" customWidth="1"/>
    <col min="39" max="39" width="4.140625" customWidth="1"/>
    <col min="40" max="40" width="31" bestFit="1" customWidth="1"/>
    <col min="41" max="41" width="3" bestFit="1" customWidth="1"/>
  </cols>
  <sheetData>
    <row r="1" spans="1:41">
      <c r="E1" s="14" t="s">
        <v>281</v>
      </c>
      <c r="F1" s="14" t="s">
        <v>282</v>
      </c>
      <c r="G1" s="14"/>
      <c r="H1" s="14" t="s">
        <v>283</v>
      </c>
      <c r="I1" s="14" t="s">
        <v>282</v>
      </c>
      <c r="L1" s="14" t="s">
        <v>284</v>
      </c>
      <c r="P1" s="14" t="s">
        <v>285</v>
      </c>
      <c r="T1" s="14" t="s">
        <v>286</v>
      </c>
      <c r="X1" s="113">
        <v>45422</v>
      </c>
    </row>
    <row r="2" spans="1:41">
      <c r="E2" s="114">
        <v>44021</v>
      </c>
      <c r="F2" s="115"/>
      <c r="H2" s="114">
        <v>44053</v>
      </c>
      <c r="I2" s="115"/>
      <c r="L2" s="116">
        <v>44251</v>
      </c>
      <c r="M2" s="115"/>
      <c r="P2" s="116">
        <v>44314</v>
      </c>
      <c r="Q2" s="115"/>
      <c r="T2" s="116">
        <v>45422</v>
      </c>
      <c r="U2" s="3"/>
      <c r="X2" s="48" t="s">
        <v>38</v>
      </c>
      <c r="Z2" s="48" t="s">
        <v>287</v>
      </c>
      <c r="AA2" s="48" t="s">
        <v>288</v>
      </c>
      <c r="AB2" s="48" t="s">
        <v>289</v>
      </c>
      <c r="AC2" s="48"/>
      <c r="AD2" s="48"/>
      <c r="AE2" s="48" t="s">
        <v>290</v>
      </c>
      <c r="AF2" s="48"/>
      <c r="AG2" s="48"/>
      <c r="AH2" s="48" t="s">
        <v>291</v>
      </c>
      <c r="AI2" s="48" t="s">
        <v>292</v>
      </c>
      <c r="AJ2" s="48"/>
      <c r="AK2" s="48" t="s">
        <v>293</v>
      </c>
      <c r="AL2" s="48" t="s">
        <v>292</v>
      </c>
      <c r="AM2" s="48"/>
      <c r="AN2" s="48" t="s">
        <v>294</v>
      </c>
    </row>
    <row r="3" spans="1:41">
      <c r="A3" s="48"/>
      <c r="B3" s="117" t="s">
        <v>295</v>
      </c>
      <c r="C3" s="117" t="s">
        <v>296</v>
      </c>
      <c r="E3" s="115" t="s">
        <v>297</v>
      </c>
      <c r="F3" s="118">
        <v>976</v>
      </c>
      <c r="H3" s="115" t="s">
        <v>297</v>
      </c>
      <c r="I3" s="118">
        <v>480</v>
      </c>
      <c r="L3" s="26" t="s">
        <v>297</v>
      </c>
      <c r="M3" s="119">
        <v>480</v>
      </c>
      <c r="N3" s="120"/>
      <c r="O3" s="120"/>
      <c r="P3" s="26" t="s">
        <v>297</v>
      </c>
      <c r="Q3" s="119">
        <v>40</v>
      </c>
      <c r="R3" s="120"/>
      <c r="T3" s="82" t="s">
        <v>298</v>
      </c>
      <c r="U3" s="121">
        <f>+Entradas!D48</f>
        <v>399.99999999999994</v>
      </c>
      <c r="V3" s="120"/>
      <c r="X3" s="14" t="s">
        <v>299</v>
      </c>
      <c r="Y3" s="48"/>
      <c r="Z3" s="14">
        <v>18</v>
      </c>
      <c r="AA3" s="14">
        <v>5</v>
      </c>
      <c r="AB3" s="14">
        <v>5</v>
      </c>
      <c r="AC3" s="14">
        <f>SUM(Z3:AB3)</f>
        <v>28</v>
      </c>
      <c r="AE3" t="s">
        <v>300</v>
      </c>
      <c r="AF3" s="48">
        <v>18</v>
      </c>
      <c r="AH3" s="48">
        <v>18</v>
      </c>
      <c r="AI3" t="s">
        <v>301</v>
      </c>
      <c r="AK3" s="48">
        <v>9</v>
      </c>
      <c r="AL3" t="s">
        <v>302</v>
      </c>
      <c r="AN3" s="85" t="s">
        <v>303</v>
      </c>
    </row>
    <row r="4" spans="1:41">
      <c r="A4" t="s">
        <v>79</v>
      </c>
      <c r="B4">
        <v>1000</v>
      </c>
      <c r="C4">
        <v>3500</v>
      </c>
      <c r="E4" s="115" t="s">
        <v>304</v>
      </c>
      <c r="F4" s="115">
        <v>6</v>
      </c>
      <c r="H4" s="122" t="s">
        <v>304</v>
      </c>
      <c r="I4" s="122">
        <v>2</v>
      </c>
      <c r="L4" s="122" t="s">
        <v>304</v>
      </c>
      <c r="M4" s="122">
        <v>2</v>
      </c>
      <c r="P4" s="122" t="s">
        <v>304</v>
      </c>
      <c r="Q4" s="122">
        <v>5</v>
      </c>
      <c r="T4" s="123" t="s">
        <v>304</v>
      </c>
      <c r="U4" s="123">
        <f>+Entradas!E22</f>
        <v>0</v>
      </c>
      <c r="X4" t="s">
        <v>305</v>
      </c>
      <c r="Z4">
        <v>27</v>
      </c>
      <c r="AA4">
        <v>9</v>
      </c>
      <c r="AB4">
        <v>5</v>
      </c>
      <c r="AC4" s="48">
        <f>SUM(Z4:AB4)</f>
        <v>41</v>
      </c>
      <c r="AE4" t="s">
        <v>306</v>
      </c>
      <c r="AF4" s="48">
        <v>18</v>
      </c>
    </row>
    <row r="5" spans="1:41">
      <c r="A5" t="s">
        <v>307</v>
      </c>
      <c r="B5">
        <v>2</v>
      </c>
      <c r="C5">
        <v>2</v>
      </c>
      <c r="E5" s="115"/>
      <c r="F5" s="118">
        <f>F3*F4</f>
        <v>5856</v>
      </c>
      <c r="H5" s="115"/>
      <c r="I5" s="118">
        <f>I3*I4</f>
        <v>960</v>
      </c>
      <c r="L5" s="115"/>
      <c r="M5" s="118">
        <f>M3*M4</f>
        <v>960</v>
      </c>
      <c r="P5" s="115"/>
      <c r="Q5" s="118">
        <f>Q3*Q4</f>
        <v>200</v>
      </c>
      <c r="T5" s="3"/>
      <c r="U5" s="124">
        <f>U3*U4</f>
        <v>0</v>
      </c>
      <c r="X5" t="s">
        <v>308</v>
      </c>
      <c r="Z5">
        <v>36</v>
      </c>
      <c r="AA5">
        <v>9</v>
      </c>
      <c r="AB5">
        <v>7</v>
      </c>
      <c r="AC5" s="48">
        <f t="shared" ref="AC5:AC10" si="0">SUM(Z5:AB5)</f>
        <v>52</v>
      </c>
      <c r="AH5" s="48" t="s">
        <v>309</v>
      </c>
      <c r="AI5" s="48"/>
      <c r="AJ5" s="48"/>
      <c r="AK5" s="48" t="s">
        <v>310</v>
      </c>
      <c r="AN5" s="48" t="s">
        <v>311</v>
      </c>
      <c r="AO5" s="48">
        <v>9</v>
      </c>
    </row>
    <row r="6" spans="1:41">
      <c r="A6" t="s">
        <v>312</v>
      </c>
      <c r="B6">
        <f>B4*B5</f>
        <v>2000</v>
      </c>
      <c r="C6">
        <f>C4*C5</f>
        <v>7000</v>
      </c>
      <c r="E6" s="115" t="s">
        <v>313</v>
      </c>
      <c r="F6" s="115">
        <v>6</v>
      </c>
      <c r="H6" s="122" t="s">
        <v>313</v>
      </c>
      <c r="I6" s="122">
        <v>2</v>
      </c>
      <c r="L6" s="115" t="s">
        <v>314</v>
      </c>
      <c r="M6" s="125">
        <v>0.2</v>
      </c>
      <c r="P6" s="115" t="s">
        <v>314</v>
      </c>
      <c r="Q6" s="125">
        <v>0.2</v>
      </c>
      <c r="T6" s="3" t="s">
        <v>314</v>
      </c>
      <c r="U6" s="126">
        <v>0.2</v>
      </c>
      <c r="X6" t="s">
        <v>315</v>
      </c>
      <c r="Z6">
        <v>45</v>
      </c>
      <c r="AA6">
        <v>9</v>
      </c>
      <c r="AB6">
        <v>9</v>
      </c>
      <c r="AC6" s="48">
        <f t="shared" si="0"/>
        <v>63</v>
      </c>
      <c r="AH6" s="48">
        <v>9</v>
      </c>
      <c r="AI6" t="s">
        <v>316</v>
      </c>
      <c r="AK6" s="48">
        <v>9</v>
      </c>
      <c r="AL6" t="s">
        <v>316</v>
      </c>
      <c r="AN6" s="48" t="s">
        <v>317</v>
      </c>
      <c r="AO6" s="48">
        <v>18</v>
      </c>
    </row>
    <row r="7" spans="1:41">
      <c r="A7" t="s">
        <v>318</v>
      </c>
      <c r="B7">
        <v>300</v>
      </c>
      <c r="C7">
        <v>400</v>
      </c>
      <c r="E7" s="115"/>
      <c r="F7" s="118">
        <f>F3*F6</f>
        <v>5856</v>
      </c>
      <c r="H7" s="115"/>
      <c r="I7" s="118">
        <f>+I3*I6</f>
        <v>960</v>
      </c>
      <c r="L7" s="115"/>
      <c r="M7" s="118">
        <f>M3*M6</f>
        <v>96</v>
      </c>
      <c r="P7" s="115"/>
      <c r="Q7" s="118">
        <f>Q3*Q6</f>
        <v>8</v>
      </c>
      <c r="T7" s="3"/>
      <c r="U7" s="124">
        <f>U3*U6</f>
        <v>80</v>
      </c>
      <c r="X7" t="s">
        <v>319</v>
      </c>
      <c r="Z7" s="127">
        <f>Z6+9</f>
        <v>54</v>
      </c>
      <c r="AA7">
        <v>9</v>
      </c>
      <c r="AB7">
        <v>11</v>
      </c>
      <c r="AC7" s="48">
        <f t="shared" si="0"/>
        <v>74</v>
      </c>
    </row>
    <row r="8" spans="1:41">
      <c r="A8" t="s">
        <v>131</v>
      </c>
      <c r="B8">
        <f>B6/B7</f>
        <v>6.666666666666667</v>
      </c>
      <c r="C8">
        <f>C6/C7</f>
        <v>17.5</v>
      </c>
      <c r="E8" s="115"/>
      <c r="F8" s="118">
        <f>F5+F7</f>
        <v>11712</v>
      </c>
      <c r="H8" s="115" t="s">
        <v>320</v>
      </c>
      <c r="I8" s="125">
        <v>0.2</v>
      </c>
      <c r="L8" s="122" t="s">
        <v>313</v>
      </c>
      <c r="M8" s="122">
        <v>2</v>
      </c>
      <c r="P8" s="122" t="s">
        <v>313</v>
      </c>
      <c r="Q8" s="122">
        <v>10</v>
      </c>
      <c r="T8" s="123" t="s">
        <v>313</v>
      </c>
      <c r="U8" s="123">
        <f>+Entradas!E23</f>
        <v>0</v>
      </c>
      <c r="X8" t="s">
        <v>321</v>
      </c>
      <c r="Z8" s="127">
        <f>Z7+9</f>
        <v>63</v>
      </c>
      <c r="AA8">
        <v>9</v>
      </c>
      <c r="AB8">
        <v>13</v>
      </c>
      <c r="AC8" s="48">
        <f t="shared" si="0"/>
        <v>85</v>
      </c>
    </row>
    <row r="9" spans="1:41">
      <c r="A9" t="s">
        <v>322</v>
      </c>
      <c r="B9">
        <v>1</v>
      </c>
      <c r="C9">
        <v>1</v>
      </c>
      <c r="E9" s="115" t="s">
        <v>320</v>
      </c>
      <c r="F9" s="125">
        <v>0.2</v>
      </c>
      <c r="H9" s="115"/>
      <c r="I9" s="118">
        <f>I3*I8</f>
        <v>96</v>
      </c>
      <c r="L9" s="115"/>
      <c r="M9" s="128">
        <f>M7*M8</f>
        <v>192</v>
      </c>
      <c r="P9" s="115"/>
      <c r="Q9" s="128">
        <f>Q7*Q8</f>
        <v>80</v>
      </c>
      <c r="T9" s="3"/>
      <c r="U9" s="27">
        <f>U7*U8</f>
        <v>0</v>
      </c>
      <c r="X9" t="s">
        <v>323</v>
      </c>
      <c r="Z9" s="127">
        <f>Z8+9</f>
        <v>72</v>
      </c>
      <c r="AA9">
        <v>9</v>
      </c>
      <c r="AB9">
        <v>15</v>
      </c>
      <c r="AC9" s="48">
        <f t="shared" si="0"/>
        <v>96</v>
      </c>
    </row>
    <row r="10" spans="1:41">
      <c r="A10" t="s">
        <v>324</v>
      </c>
      <c r="B10">
        <f>+B8+B9</f>
        <v>7.666666666666667</v>
      </c>
      <c r="C10">
        <f>+C8+C9</f>
        <v>18.5</v>
      </c>
      <c r="E10" s="115"/>
      <c r="F10" s="118">
        <f>F8*F9</f>
        <v>2342.4</v>
      </c>
      <c r="H10" s="122" t="s">
        <v>325</v>
      </c>
      <c r="I10" s="122">
        <v>0</v>
      </c>
      <c r="L10" s="115" t="s">
        <v>320</v>
      </c>
      <c r="M10" s="125">
        <v>0.2</v>
      </c>
      <c r="P10" s="115" t="s">
        <v>320</v>
      </c>
      <c r="Q10" s="125">
        <v>0.2</v>
      </c>
      <c r="T10" s="3" t="s">
        <v>320</v>
      </c>
      <c r="U10" s="126">
        <v>0.2</v>
      </c>
      <c r="X10" t="s">
        <v>326</v>
      </c>
      <c r="Z10" s="127">
        <f>Z9+9</f>
        <v>81</v>
      </c>
      <c r="AA10">
        <v>9</v>
      </c>
      <c r="AB10">
        <v>17</v>
      </c>
      <c r="AC10" s="48">
        <f t="shared" si="0"/>
        <v>107</v>
      </c>
    </row>
    <row r="11" spans="1:41">
      <c r="A11" t="s">
        <v>207</v>
      </c>
      <c r="B11">
        <v>9</v>
      </c>
      <c r="C11">
        <v>9</v>
      </c>
      <c r="E11" s="115" t="s">
        <v>327</v>
      </c>
      <c r="F11" s="118">
        <f>+F5+F7+F10</f>
        <v>14054.4</v>
      </c>
      <c r="H11" s="115"/>
      <c r="I11" s="128">
        <f>I9*I10</f>
        <v>0</v>
      </c>
      <c r="L11" s="115"/>
      <c r="M11" s="118">
        <f>M3*M10</f>
        <v>96</v>
      </c>
      <c r="P11" s="115"/>
      <c r="Q11" s="118">
        <f>Q3*Q10</f>
        <v>8</v>
      </c>
      <c r="T11" s="3"/>
      <c r="U11" s="124">
        <f>U3*U10</f>
        <v>80</v>
      </c>
    </row>
    <row r="12" spans="1:41">
      <c r="A12" s="48" t="s">
        <v>65</v>
      </c>
      <c r="B12" s="48">
        <f>+B10*B11</f>
        <v>69</v>
      </c>
      <c r="C12" s="48">
        <f>+C10*C11</f>
        <v>166.5</v>
      </c>
      <c r="E12" s="115" t="s">
        <v>328</v>
      </c>
      <c r="F12" s="115">
        <v>500</v>
      </c>
      <c r="H12" s="26" t="s">
        <v>327</v>
      </c>
      <c r="I12" s="119">
        <f>+I5+I7+I11</f>
        <v>1920</v>
      </c>
      <c r="L12" s="122" t="s">
        <v>325</v>
      </c>
      <c r="M12" s="122">
        <v>0</v>
      </c>
      <c r="P12" s="122" t="s">
        <v>325</v>
      </c>
      <c r="Q12" s="122">
        <v>30</v>
      </c>
      <c r="T12" s="123" t="s">
        <v>325</v>
      </c>
      <c r="U12" s="123">
        <f>+Entradas!E24</f>
        <v>0</v>
      </c>
      <c r="X12" s="129" t="s">
        <v>329</v>
      </c>
      <c r="Y12" s="129"/>
      <c r="Z12" s="129">
        <v>9</v>
      </c>
      <c r="AA12" s="129">
        <v>3</v>
      </c>
      <c r="AB12" s="129">
        <v>2</v>
      </c>
      <c r="AC12" s="14">
        <f>SUM(Z12:AB12)</f>
        <v>14</v>
      </c>
    </row>
    <row r="13" spans="1:41">
      <c r="A13" t="s">
        <v>330</v>
      </c>
      <c r="B13" s="130">
        <v>16606</v>
      </c>
      <c r="C13" s="130">
        <v>16606</v>
      </c>
      <c r="E13" s="115" t="s">
        <v>131</v>
      </c>
      <c r="F13" s="131">
        <f>+F11/F12</f>
        <v>28.108799999999999</v>
      </c>
      <c r="H13" s="115" t="s">
        <v>328</v>
      </c>
      <c r="I13" s="115">
        <v>400</v>
      </c>
      <c r="L13" s="115"/>
      <c r="M13" s="128">
        <f>M11*M12</f>
        <v>0</v>
      </c>
      <c r="P13" s="115"/>
      <c r="Q13" s="128">
        <f>Q11*Q12</f>
        <v>240</v>
      </c>
      <c r="T13" s="3"/>
      <c r="U13" s="27">
        <f>U11*U12</f>
        <v>0</v>
      </c>
      <c r="X13" s="129" t="s">
        <v>331</v>
      </c>
      <c r="Y13" s="129"/>
      <c r="Z13" s="129">
        <v>3</v>
      </c>
      <c r="AA13" s="129">
        <v>3</v>
      </c>
      <c r="AB13" s="129">
        <v>3</v>
      </c>
      <c r="AC13" s="14">
        <f>SUM(Z13:AB13)</f>
        <v>9</v>
      </c>
    </row>
    <row r="14" spans="1:41">
      <c r="B14" s="132">
        <f>B12*B13</f>
        <v>1145814</v>
      </c>
      <c r="C14" s="132">
        <f>C12*C13</f>
        <v>2764899</v>
      </c>
      <c r="E14" s="115" t="s">
        <v>332</v>
      </c>
      <c r="F14" s="115">
        <v>1</v>
      </c>
      <c r="H14" s="115" t="s">
        <v>131</v>
      </c>
      <c r="I14" s="133">
        <f>+I12/I13</f>
        <v>4.8</v>
      </c>
      <c r="L14" s="26" t="s">
        <v>327</v>
      </c>
      <c r="M14" s="119">
        <f>+M5+M9+M13</f>
        <v>1152</v>
      </c>
      <c r="P14" s="115" t="s">
        <v>333</v>
      </c>
      <c r="Q14" s="125">
        <v>0.05</v>
      </c>
      <c r="T14" s="115" t="s">
        <v>333</v>
      </c>
      <c r="U14" s="125">
        <v>0.05</v>
      </c>
    </row>
    <row r="15" spans="1:41">
      <c r="E15" s="115" t="s">
        <v>334</v>
      </c>
      <c r="F15" s="131">
        <f>+F13+F14</f>
        <v>29.108799999999999</v>
      </c>
      <c r="H15" s="115" t="s">
        <v>332</v>
      </c>
      <c r="I15" s="115">
        <v>1</v>
      </c>
      <c r="L15" s="115" t="s">
        <v>328</v>
      </c>
      <c r="M15" s="115">
        <v>500</v>
      </c>
      <c r="P15" s="115"/>
      <c r="Q15" s="118">
        <f>Q3*Q14</f>
        <v>2</v>
      </c>
      <c r="T15" s="115"/>
      <c r="U15" s="118">
        <f>IF(U4&gt;0,U3*U14,0)</f>
        <v>0</v>
      </c>
    </row>
    <row r="16" spans="1:41">
      <c r="E16" s="115" t="s">
        <v>207</v>
      </c>
      <c r="F16" s="115">
        <v>9</v>
      </c>
      <c r="H16" s="115" t="s">
        <v>334</v>
      </c>
      <c r="I16" s="134">
        <f>+I14+I15</f>
        <v>5.8</v>
      </c>
      <c r="J16" s="115">
        <v>7</v>
      </c>
      <c r="L16" s="115" t="s">
        <v>131</v>
      </c>
      <c r="M16" s="133">
        <f>+M14/M15</f>
        <v>2.3039999999999998</v>
      </c>
      <c r="P16" s="26" t="s">
        <v>335</v>
      </c>
      <c r="Q16" s="119">
        <f>+Q5+Q9+Q13+Q15</f>
        <v>522</v>
      </c>
      <c r="T16" s="82" t="s">
        <v>335</v>
      </c>
      <c r="U16" s="121">
        <f>+U5+U9+U13+U15</f>
        <v>0</v>
      </c>
      <c r="W16" s="1"/>
    </row>
    <row r="17" spans="3:27">
      <c r="E17" s="115" t="s">
        <v>336</v>
      </c>
      <c r="F17" s="133">
        <f>+F15*F16</f>
        <v>261.97919999999999</v>
      </c>
      <c r="J17" s="115">
        <v>9</v>
      </c>
      <c r="L17" s="115" t="s">
        <v>332</v>
      </c>
      <c r="M17" s="115">
        <v>1</v>
      </c>
      <c r="P17" s="115" t="s">
        <v>328</v>
      </c>
      <c r="Q17" s="115">
        <v>500</v>
      </c>
      <c r="T17" s="3" t="s">
        <v>328</v>
      </c>
      <c r="U17" s="115">
        <v>800</v>
      </c>
    </row>
    <row r="18" spans="3:27">
      <c r="J18" s="115">
        <f>J16*J17</f>
        <v>63</v>
      </c>
      <c r="L18" s="115" t="s">
        <v>334</v>
      </c>
      <c r="M18" s="133">
        <f>+M16+M17</f>
        <v>3.3039999999999998</v>
      </c>
      <c r="N18" s="135">
        <v>3.5</v>
      </c>
      <c r="P18" s="115" t="s">
        <v>131</v>
      </c>
      <c r="Q18" s="133">
        <f>+Q16/Q17</f>
        <v>1.044</v>
      </c>
      <c r="T18" s="3" t="s">
        <v>131</v>
      </c>
      <c r="U18" s="136">
        <f>+U16/U17</f>
        <v>0</v>
      </c>
      <c r="AA18" s="137"/>
    </row>
    <row r="19" spans="3:27">
      <c r="N19" s="115">
        <v>9</v>
      </c>
      <c r="P19" s="115" t="s">
        <v>332</v>
      </c>
      <c r="Q19" s="138">
        <v>1</v>
      </c>
      <c r="T19" s="3" t="s">
        <v>332</v>
      </c>
      <c r="U19" s="139">
        <f>IF(U4&gt;0,2,0)</f>
        <v>0</v>
      </c>
      <c r="AA19" s="137"/>
    </row>
    <row r="20" spans="3:27">
      <c r="N20" s="115">
        <f>N18*N19</f>
        <v>31.5</v>
      </c>
      <c r="P20" s="115" t="s">
        <v>334</v>
      </c>
      <c r="Q20" s="133">
        <f>+Q18+Q19</f>
        <v>2.044</v>
      </c>
      <c r="R20" s="135">
        <v>3.5</v>
      </c>
      <c r="T20" s="3" t="s">
        <v>334</v>
      </c>
      <c r="U20" s="136">
        <f>U18+U19</f>
        <v>0</v>
      </c>
      <c r="V20" s="140">
        <f>+ROUNDUP(U20,0)</f>
        <v>0</v>
      </c>
      <c r="AA20" s="137"/>
    </row>
    <row r="21" spans="3:27">
      <c r="H21" s="141"/>
      <c r="I21" s="141"/>
      <c r="J21" s="141"/>
      <c r="R21" s="115">
        <v>9</v>
      </c>
      <c r="V21" s="3">
        <v>9</v>
      </c>
      <c r="W21" t="s">
        <v>337</v>
      </c>
    </row>
    <row r="22" spans="3:27">
      <c r="H22" s="141"/>
      <c r="I22" s="141"/>
      <c r="J22" s="141"/>
      <c r="R22" s="115">
        <f>R20*R21</f>
        <v>31.5</v>
      </c>
      <c r="V22" s="3">
        <f>V20*V21</f>
        <v>0</v>
      </c>
      <c r="W22" s="16" t="s">
        <v>338</v>
      </c>
    </row>
    <row r="23" spans="3:27">
      <c r="C23" s="141"/>
      <c r="E23" s="141"/>
      <c r="H23" s="141"/>
      <c r="I23" s="141"/>
      <c r="J23" s="141"/>
      <c r="L23" s="141"/>
    </row>
    <row r="24" spans="3:27">
      <c r="C24" s="142"/>
      <c r="E24" s="142"/>
      <c r="L24" s="141"/>
      <c r="T24" s="48" t="s">
        <v>339</v>
      </c>
      <c r="W24" s="48" t="s">
        <v>290</v>
      </c>
    </row>
    <row r="25" spans="3:27">
      <c r="T25" t="s">
        <v>340</v>
      </c>
      <c r="W25" s="143" t="s">
        <v>341</v>
      </c>
    </row>
    <row r="26" spans="3:27">
      <c r="T26" t="s">
        <v>342</v>
      </c>
      <c r="W26" t="s">
        <v>343</v>
      </c>
    </row>
    <row r="27" spans="3:27">
      <c r="T27" t="s">
        <v>344</v>
      </c>
    </row>
    <row r="28" spans="3:27">
      <c r="T28" t="s">
        <v>345</v>
      </c>
    </row>
    <row r="29" spans="3:27">
      <c r="T29" t="s">
        <v>346</v>
      </c>
    </row>
    <row r="30" spans="3:27">
      <c r="T30" t="s">
        <v>347</v>
      </c>
    </row>
    <row r="31" spans="3:27">
      <c r="T31" t="s">
        <v>348</v>
      </c>
    </row>
    <row r="33" spans="20:21">
      <c r="T33" s="143" t="s">
        <v>349</v>
      </c>
      <c r="U33" t="s">
        <v>350</v>
      </c>
    </row>
    <row r="34" spans="20:21">
      <c r="T34" s="143" t="s">
        <v>351</v>
      </c>
      <c r="U34" t="s">
        <v>350</v>
      </c>
    </row>
    <row r="35" spans="20:21">
      <c r="T35" s="143" t="s">
        <v>352</v>
      </c>
      <c r="U35" t="s">
        <v>353</v>
      </c>
    </row>
    <row r="36" spans="20:21">
      <c r="T36" s="143" t="s">
        <v>354</v>
      </c>
      <c r="U36" t="s">
        <v>353</v>
      </c>
    </row>
    <row r="38" spans="20:21">
      <c r="T38" s="129"/>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6FAF-0E10-4FCC-9BA4-1105FB9C1573}">
  <sheetPr codeName="Hoja15"/>
  <dimension ref="A2:L117"/>
  <sheetViews>
    <sheetView topLeftCell="A53" workbookViewId="0">
      <selection activeCell="B106" sqref="B106"/>
    </sheetView>
  </sheetViews>
  <sheetFormatPr baseColWidth="10" defaultRowHeight="15"/>
  <cols>
    <col min="2" max="2" width="35.85546875" style="459" customWidth="1"/>
    <col min="3" max="3" width="50.85546875" style="459" bestFit="1" customWidth="1"/>
    <col min="5" max="5" width="38.5703125" bestFit="1" customWidth="1"/>
    <col min="6" max="6" width="14.140625" bestFit="1" customWidth="1"/>
  </cols>
  <sheetData>
    <row r="2" spans="2:3" ht="18.75">
      <c r="B2" s="564" t="s">
        <v>855</v>
      </c>
      <c r="C2" s="564" t="s">
        <v>317</v>
      </c>
    </row>
    <row r="3" spans="2:3">
      <c r="B3" s="1387" t="s">
        <v>860</v>
      </c>
      <c r="C3" s="1387"/>
    </row>
    <row r="4" spans="2:3">
      <c r="B4" s="1387" t="s">
        <v>230</v>
      </c>
      <c r="C4" s="1387"/>
    </row>
    <row r="5" spans="2:3" ht="30">
      <c r="B5" s="43" t="s">
        <v>861</v>
      </c>
      <c r="C5" s="43" t="s">
        <v>866</v>
      </c>
    </row>
    <row r="6" spans="2:3" ht="30">
      <c r="B6" s="43" t="s">
        <v>862</v>
      </c>
      <c r="C6" s="43" t="s">
        <v>866</v>
      </c>
    </row>
    <row r="7" spans="2:3" ht="45">
      <c r="B7" s="43" t="s">
        <v>863</v>
      </c>
      <c r="C7" s="43" t="s">
        <v>866</v>
      </c>
    </row>
    <row r="8" spans="2:3" ht="30">
      <c r="B8" s="43" t="s">
        <v>864</v>
      </c>
      <c r="C8" s="43" t="s">
        <v>866</v>
      </c>
    </row>
    <row r="9" spans="2:3" ht="30">
      <c r="B9" s="43" t="s">
        <v>865</v>
      </c>
      <c r="C9" s="626" t="s">
        <v>868</v>
      </c>
    </row>
    <row r="10" spans="2:3">
      <c r="B10" s="43" t="s">
        <v>867</v>
      </c>
      <c r="C10" s="626" t="s">
        <v>868</v>
      </c>
    </row>
    <row r="11" spans="2:3">
      <c r="B11" s="43" t="s">
        <v>1357</v>
      </c>
      <c r="C11" s="626" t="s">
        <v>868</v>
      </c>
    </row>
    <row r="13" spans="2:3">
      <c r="B13" s="1388" t="s">
        <v>856</v>
      </c>
      <c r="C13" s="1389"/>
    </row>
    <row r="14" spans="2:3" ht="30">
      <c r="B14" s="43" t="s">
        <v>857</v>
      </c>
      <c r="C14" s="43" t="s">
        <v>866</v>
      </c>
    </row>
    <row r="15" spans="2:3" ht="30">
      <c r="B15" s="43" t="s">
        <v>858</v>
      </c>
      <c r="C15" s="43" t="s">
        <v>866</v>
      </c>
    </row>
    <row r="16" spans="2:3" ht="45">
      <c r="B16" s="43" t="s">
        <v>859</v>
      </c>
      <c r="C16" s="43" t="s">
        <v>866</v>
      </c>
    </row>
    <row r="17" spans="2:3" ht="45">
      <c r="B17" s="43" t="s">
        <v>869</v>
      </c>
      <c r="C17" s="43" t="s">
        <v>866</v>
      </c>
    </row>
    <row r="18" spans="2:3" ht="30">
      <c r="B18" s="43" t="s">
        <v>870</v>
      </c>
      <c r="C18" s="43" t="s">
        <v>866</v>
      </c>
    </row>
    <row r="19" spans="2:3" ht="45">
      <c r="B19" s="43" t="s">
        <v>871</v>
      </c>
      <c r="C19" s="43" t="s">
        <v>866</v>
      </c>
    </row>
    <row r="20" spans="2:3" ht="30">
      <c r="B20" s="43" t="s">
        <v>942</v>
      </c>
      <c r="C20" s="43" t="s">
        <v>866</v>
      </c>
    </row>
    <row r="21" spans="2:3">
      <c r="B21" s="43" t="s">
        <v>943</v>
      </c>
      <c r="C21" s="626" t="s">
        <v>879</v>
      </c>
    </row>
    <row r="22" spans="2:3">
      <c r="B22" s="43" t="s">
        <v>944</v>
      </c>
      <c r="C22" s="43" t="s">
        <v>866</v>
      </c>
    </row>
    <row r="23" spans="2:3" ht="30">
      <c r="B23" s="43" t="s">
        <v>946</v>
      </c>
      <c r="C23" s="43" t="s">
        <v>866</v>
      </c>
    </row>
    <row r="24" spans="2:3" ht="30">
      <c r="B24" s="43" t="s">
        <v>952</v>
      </c>
      <c r="C24" s="43" t="s">
        <v>866</v>
      </c>
    </row>
    <row r="25" spans="2:3">
      <c r="B25" s="43" t="s">
        <v>954</v>
      </c>
      <c r="C25" s="43" t="s">
        <v>866</v>
      </c>
    </row>
    <row r="26" spans="2:3">
      <c r="B26" s="43" t="s">
        <v>955</v>
      </c>
      <c r="C26" s="43"/>
    </row>
    <row r="27" spans="2:3">
      <c r="B27" s="43"/>
      <c r="C27" s="43"/>
    </row>
    <row r="28" spans="2:3">
      <c r="B28" s="1390" t="s">
        <v>1358</v>
      </c>
      <c r="C28" s="1391"/>
    </row>
    <row r="29" spans="2:3" ht="30">
      <c r="B29" s="43" t="s">
        <v>872</v>
      </c>
      <c r="C29" s="43" t="s">
        <v>866</v>
      </c>
    </row>
    <row r="30" spans="2:3" ht="30">
      <c r="B30" s="43" t="s">
        <v>873</v>
      </c>
      <c r="C30" s="43" t="s">
        <v>866</v>
      </c>
    </row>
    <row r="31" spans="2:3" ht="30">
      <c r="B31" s="43" t="s">
        <v>874</v>
      </c>
      <c r="C31" s="43" t="s">
        <v>866</v>
      </c>
    </row>
    <row r="32" spans="2:3">
      <c r="B32" s="43" t="s">
        <v>875</v>
      </c>
      <c r="C32" s="43" t="s">
        <v>866</v>
      </c>
    </row>
    <row r="33" spans="2:3">
      <c r="B33" s="43" t="s">
        <v>876</v>
      </c>
      <c r="C33" s="43" t="s">
        <v>866</v>
      </c>
    </row>
    <row r="34" spans="2:3" ht="30">
      <c r="B34" s="43" t="s">
        <v>877</v>
      </c>
      <c r="C34" s="626" t="s">
        <v>879</v>
      </c>
    </row>
    <row r="35" spans="2:3">
      <c r="B35" s="43" t="s">
        <v>878</v>
      </c>
      <c r="C35" s="626" t="s">
        <v>879</v>
      </c>
    </row>
    <row r="36" spans="2:3">
      <c r="B36" s="43"/>
      <c r="C36" s="626"/>
    </row>
    <row r="37" spans="2:3">
      <c r="B37" s="43"/>
      <c r="C37" s="626"/>
    </row>
    <row r="38" spans="2:3">
      <c r="B38" s="43"/>
      <c r="C38" s="43"/>
    </row>
    <row r="39" spans="2:3">
      <c r="B39" s="43"/>
      <c r="C39" s="43"/>
    </row>
    <row r="40" spans="2:3">
      <c r="B40" s="1385" t="s">
        <v>1359</v>
      </c>
      <c r="C40" s="1386"/>
    </row>
    <row r="41" spans="2:3" ht="45">
      <c r="B41" s="43" t="s">
        <v>938</v>
      </c>
      <c r="C41" s="43" t="s">
        <v>866</v>
      </c>
    </row>
    <row r="42" spans="2:3">
      <c r="B42" s="43"/>
      <c r="C42" s="43"/>
    </row>
    <row r="43" spans="2:3">
      <c r="B43" s="43"/>
      <c r="C43" s="43"/>
    </row>
    <row r="44" spans="2:3">
      <c r="B44" s="43"/>
      <c r="C44" s="43"/>
    </row>
    <row r="45" spans="2:3">
      <c r="B45" s="43"/>
      <c r="C45" s="43"/>
    </row>
    <row r="46" spans="2:3">
      <c r="B46" s="43"/>
      <c r="C46" s="43"/>
    </row>
    <row r="48" spans="2:3">
      <c r="B48" s="1394" t="s">
        <v>232</v>
      </c>
      <c r="C48" s="1395"/>
    </row>
    <row r="49" spans="1:4" ht="30">
      <c r="B49" s="43" t="s">
        <v>1364</v>
      </c>
      <c r="C49" s="43" t="s">
        <v>866</v>
      </c>
    </row>
    <row r="50" spans="1:4" ht="30">
      <c r="B50" s="43" t="s">
        <v>1365</v>
      </c>
      <c r="C50" s="626" t="s">
        <v>879</v>
      </c>
    </row>
    <row r="51" spans="1:4" ht="30">
      <c r="B51" s="43" t="s">
        <v>1366</v>
      </c>
      <c r="C51" s="43" t="s">
        <v>866</v>
      </c>
    </row>
    <row r="52" spans="1:4">
      <c r="B52" s="43"/>
      <c r="C52" s="43"/>
    </row>
    <row r="53" spans="1:4">
      <c r="B53" s="43"/>
      <c r="C53" s="43"/>
    </row>
    <row r="54" spans="1:4">
      <c r="B54" s="43"/>
      <c r="C54" s="43"/>
    </row>
    <row r="55" spans="1:4">
      <c r="B55" s="549"/>
      <c r="C55" s="627"/>
    </row>
    <row r="56" spans="1:4">
      <c r="B56" s="1392" t="s">
        <v>961</v>
      </c>
      <c r="C56" s="1393"/>
      <c r="D56" s="568" t="s">
        <v>963</v>
      </c>
    </row>
    <row r="57" spans="1:4" ht="30">
      <c r="A57" s="629">
        <v>45519</v>
      </c>
      <c r="B57" s="570" t="s">
        <v>964</v>
      </c>
      <c r="C57" s="43" t="s">
        <v>962</v>
      </c>
      <c r="D57" s="577">
        <v>0.2762</v>
      </c>
    </row>
    <row r="58" spans="1:4">
      <c r="B58" s="43"/>
      <c r="C58" s="43" t="s">
        <v>965</v>
      </c>
      <c r="D58" s="125">
        <v>0.8</v>
      </c>
    </row>
    <row r="59" spans="1:4">
      <c r="B59" s="43"/>
      <c r="C59" s="43" t="s">
        <v>966</v>
      </c>
      <c r="D59" s="126">
        <v>0.13</v>
      </c>
    </row>
    <row r="60" spans="1:4" ht="30">
      <c r="B60" s="43"/>
      <c r="C60" s="570" t="s">
        <v>967</v>
      </c>
      <c r="D60" s="572">
        <v>0.08</v>
      </c>
    </row>
    <row r="61" spans="1:4">
      <c r="B61" s="1379"/>
      <c r="C61" s="1380"/>
      <c r="D61" s="1381"/>
    </row>
    <row r="62" spans="1:4" ht="30">
      <c r="A62" s="629">
        <v>45519</v>
      </c>
      <c r="B62" s="570" t="s">
        <v>968</v>
      </c>
      <c r="C62" s="43" t="s">
        <v>962</v>
      </c>
      <c r="D62" s="578">
        <v>0.86</v>
      </c>
    </row>
    <row r="63" spans="1:4">
      <c r="B63" s="43"/>
      <c r="C63" s="43" t="s">
        <v>970</v>
      </c>
      <c r="D63" s="569">
        <v>1.42</v>
      </c>
    </row>
    <row r="64" spans="1:4">
      <c r="B64" s="43"/>
      <c r="C64" s="43" t="s">
        <v>971</v>
      </c>
      <c r="D64" s="569">
        <v>0.71</v>
      </c>
    </row>
    <row r="65" spans="1:4">
      <c r="B65" s="43"/>
      <c r="C65" s="43" t="s">
        <v>972</v>
      </c>
      <c r="D65" s="569">
        <v>0.5</v>
      </c>
    </row>
    <row r="66" spans="1:4" ht="30">
      <c r="B66" s="43"/>
      <c r="C66" s="570" t="s">
        <v>969</v>
      </c>
      <c r="D66" s="571">
        <v>0.16</v>
      </c>
    </row>
    <row r="67" spans="1:4">
      <c r="B67" s="1379"/>
      <c r="C67" s="1380"/>
      <c r="D67" s="1381"/>
    </row>
    <row r="68" spans="1:4">
      <c r="A68" s="629">
        <v>45524</v>
      </c>
      <c r="B68" s="570" t="s">
        <v>981</v>
      </c>
      <c r="C68" s="627" t="s">
        <v>986</v>
      </c>
      <c r="D68" s="576">
        <v>0.27</v>
      </c>
    </row>
    <row r="69" spans="1:4">
      <c r="B69" s="549"/>
      <c r="C69" s="627" t="s">
        <v>987</v>
      </c>
      <c r="D69" s="576">
        <v>0.31</v>
      </c>
    </row>
    <row r="70" spans="1:4" ht="30">
      <c r="B70" s="549"/>
      <c r="C70" s="570" t="s">
        <v>969</v>
      </c>
      <c r="D70" s="574">
        <v>0.01</v>
      </c>
    </row>
    <row r="71" spans="1:4">
      <c r="B71" s="1379"/>
      <c r="C71" s="1380"/>
      <c r="D71" s="1381"/>
    </row>
    <row r="72" spans="1:4" ht="30">
      <c r="A72" s="629">
        <v>45539</v>
      </c>
      <c r="B72" s="570" t="s">
        <v>1377</v>
      </c>
      <c r="C72" s="570" t="s">
        <v>1378</v>
      </c>
      <c r="D72" s="574">
        <v>0.18</v>
      </c>
    </row>
    <row r="73" spans="1:4">
      <c r="A73" s="629"/>
      <c r="B73" s="635"/>
      <c r="C73" s="628"/>
      <c r="D73" s="574"/>
    </row>
    <row r="74" spans="1:4" ht="30">
      <c r="A74" s="629">
        <v>45566</v>
      </c>
      <c r="B74" s="570" t="s">
        <v>1388</v>
      </c>
      <c r="C74" s="628" t="s">
        <v>1389</v>
      </c>
      <c r="D74" s="574"/>
    </row>
    <row r="75" spans="1:4">
      <c r="A75" s="629"/>
      <c r="B75" s="635"/>
      <c r="C75" s="628"/>
      <c r="D75" s="574"/>
    </row>
    <row r="76" spans="1:4">
      <c r="A76" s="629"/>
      <c r="B76" s="635"/>
      <c r="C76" s="628"/>
      <c r="D76" s="574"/>
    </row>
    <row r="77" spans="1:4">
      <c r="A77" s="629"/>
      <c r="B77" s="635"/>
      <c r="C77" s="628"/>
      <c r="D77" s="574"/>
    </row>
    <row r="78" spans="1:4">
      <c r="A78" s="629"/>
      <c r="B78" s="635"/>
      <c r="C78" s="628"/>
      <c r="D78" s="574"/>
    </row>
    <row r="79" spans="1:4">
      <c r="A79" s="629"/>
      <c r="B79" s="635"/>
      <c r="C79" s="628"/>
      <c r="D79" s="574"/>
    </row>
    <row r="80" spans="1:4">
      <c r="A80" s="629"/>
      <c r="B80" s="635"/>
      <c r="C80" s="628"/>
      <c r="D80" s="574"/>
    </row>
    <row r="81" spans="1:9">
      <c r="A81" s="629"/>
      <c r="B81" s="635"/>
      <c r="C81" s="628"/>
      <c r="D81" s="574"/>
    </row>
    <row r="82" spans="1:9">
      <c r="A82" s="629"/>
      <c r="B82" s="635"/>
      <c r="C82" s="628"/>
      <c r="D82" s="574"/>
    </row>
    <row r="83" spans="1:9">
      <c r="A83" s="629"/>
      <c r="B83" s="635"/>
      <c r="C83" s="628"/>
      <c r="D83" s="574"/>
    </row>
    <row r="84" spans="1:9">
      <c r="A84" s="629"/>
      <c r="B84" s="635"/>
      <c r="C84" s="628"/>
      <c r="D84" s="574"/>
    </row>
    <row r="85" spans="1:9">
      <c r="B85" s="549"/>
      <c r="C85" s="628"/>
      <c r="D85" s="574"/>
    </row>
    <row r="86" spans="1:9">
      <c r="B86" s="549"/>
      <c r="C86" s="628"/>
      <c r="D86" s="574"/>
    </row>
    <row r="87" spans="1:9">
      <c r="B87" s="549"/>
      <c r="C87" s="628"/>
      <c r="D87" s="574"/>
    </row>
    <row r="88" spans="1:9">
      <c r="B88" s="1382" t="s">
        <v>3</v>
      </c>
      <c r="C88" s="1383"/>
      <c r="D88" s="1384"/>
    </row>
    <row r="89" spans="1:9" ht="30">
      <c r="A89" s="629">
        <v>45517</v>
      </c>
      <c r="B89" s="43" t="s">
        <v>973</v>
      </c>
      <c r="C89" s="43" t="s">
        <v>969</v>
      </c>
      <c r="D89" s="573">
        <v>0.03</v>
      </c>
    </row>
    <row r="90" spans="1:9" ht="30">
      <c r="A90" s="629">
        <v>45509</v>
      </c>
      <c r="B90" s="43" t="s">
        <v>974</v>
      </c>
      <c r="C90" s="43" t="s">
        <v>969</v>
      </c>
      <c r="D90" s="573">
        <v>0.08</v>
      </c>
    </row>
    <row r="91" spans="1:9" ht="30">
      <c r="A91" s="629">
        <v>45510</v>
      </c>
      <c r="B91" s="43" t="s">
        <v>976</v>
      </c>
      <c r="C91" s="43" t="s">
        <v>969</v>
      </c>
      <c r="D91" s="569">
        <v>0.1</v>
      </c>
    </row>
    <row r="92" spans="1:9" ht="30">
      <c r="A92" s="629">
        <v>45518</v>
      </c>
      <c r="B92" s="43" t="s">
        <v>975</v>
      </c>
      <c r="C92" s="43" t="s">
        <v>969</v>
      </c>
      <c r="D92" s="569">
        <v>0.09</v>
      </c>
    </row>
    <row r="93" spans="1:9">
      <c r="A93" s="629">
        <v>45518</v>
      </c>
      <c r="B93" s="43" t="s">
        <v>975</v>
      </c>
      <c r="C93" s="43" t="s">
        <v>980</v>
      </c>
      <c r="D93" s="569">
        <v>0.03</v>
      </c>
    </row>
    <row r="94" spans="1:9">
      <c r="A94" s="629">
        <v>45524</v>
      </c>
      <c r="B94" s="43" t="s">
        <v>1369</v>
      </c>
      <c r="C94" s="43" t="s">
        <v>977</v>
      </c>
      <c r="D94" s="569">
        <v>-0.08</v>
      </c>
    </row>
    <row r="95" spans="1:9">
      <c r="B95" s="43"/>
      <c r="C95" s="43" t="s">
        <v>978</v>
      </c>
      <c r="D95" s="126">
        <v>0.04</v>
      </c>
      <c r="H95">
        <v>200</v>
      </c>
      <c r="I95">
        <v>55</v>
      </c>
    </row>
    <row r="96" spans="1:9">
      <c r="B96" s="43"/>
      <c r="C96" s="43" t="s">
        <v>979</v>
      </c>
      <c r="D96" s="126">
        <v>0.06</v>
      </c>
      <c r="H96" s="46">
        <f>+I95/H95</f>
        <v>0.27500000000000002</v>
      </c>
    </row>
    <row r="97" spans="1:12">
      <c r="A97" s="629">
        <v>45532</v>
      </c>
      <c r="B97" s="43" t="s">
        <v>975</v>
      </c>
      <c r="C97" s="631" t="s">
        <v>1385</v>
      </c>
      <c r="D97" s="632">
        <v>1.7000000000000001E-2</v>
      </c>
      <c r="E97" t="s">
        <v>1363</v>
      </c>
    </row>
    <row r="98" spans="1:12">
      <c r="A98" s="629">
        <v>45533</v>
      </c>
      <c r="B98" s="43" t="s">
        <v>976</v>
      </c>
      <c r="C98" s="626" t="s">
        <v>1361</v>
      </c>
      <c r="D98" s="630">
        <v>7.8E-2</v>
      </c>
      <c r="E98" t="s">
        <v>1362</v>
      </c>
    </row>
    <row r="99" spans="1:12" ht="42.75" customHeight="1">
      <c r="A99" s="629">
        <v>45539</v>
      </c>
      <c r="B99" s="43" t="s">
        <v>976</v>
      </c>
      <c r="C99" s="43" t="s">
        <v>1376</v>
      </c>
      <c r="D99" s="569">
        <v>-0.14000000000000001</v>
      </c>
    </row>
    <row r="100" spans="1:12" ht="30">
      <c r="A100" s="629">
        <v>45554</v>
      </c>
      <c r="B100" s="43" t="s">
        <v>1379</v>
      </c>
      <c r="C100" s="626" t="s">
        <v>1380</v>
      </c>
      <c r="D100" s="630">
        <v>4.2000000000000003E-2</v>
      </c>
    </row>
    <row r="101" spans="1:12" ht="30">
      <c r="A101" s="629">
        <v>45554</v>
      </c>
      <c r="B101" s="43" t="s">
        <v>1379</v>
      </c>
      <c r="C101" s="626" t="s">
        <v>1381</v>
      </c>
      <c r="D101" s="630">
        <v>-1.2999999999999999E-2</v>
      </c>
    </row>
    <row r="102" spans="1:12">
      <c r="A102" s="629">
        <v>45555</v>
      </c>
      <c r="B102" s="43" t="s">
        <v>976</v>
      </c>
      <c r="C102" s="43" t="s">
        <v>1387</v>
      </c>
      <c r="D102" s="569">
        <v>0.02</v>
      </c>
    </row>
    <row r="103" spans="1:12" ht="30">
      <c r="A103" s="629">
        <v>45555</v>
      </c>
      <c r="B103" s="43" t="s">
        <v>976</v>
      </c>
      <c r="C103" s="626" t="s">
        <v>1386</v>
      </c>
      <c r="D103" s="633">
        <v>0.15</v>
      </c>
      <c r="E103" t="s">
        <v>1384</v>
      </c>
    </row>
    <row r="104" spans="1:12" ht="30">
      <c r="A104" s="629">
        <v>45555</v>
      </c>
      <c r="B104" s="43" t="s">
        <v>976</v>
      </c>
      <c r="C104" s="43" t="s">
        <v>1382</v>
      </c>
      <c r="D104" s="569">
        <v>9.9000000000000005E-2</v>
      </c>
    </row>
    <row r="105" spans="1:12" ht="30">
      <c r="A105" s="629">
        <v>45555</v>
      </c>
      <c r="B105" s="43" t="s">
        <v>976</v>
      </c>
      <c r="C105" s="43" t="s">
        <v>1383</v>
      </c>
      <c r="D105" s="569">
        <v>-0.16</v>
      </c>
      <c r="L105" s="46"/>
    </row>
    <row r="106" spans="1:12">
      <c r="A106" s="629">
        <v>45560</v>
      </c>
      <c r="B106" s="43"/>
      <c r="C106" s="43"/>
      <c r="D106" s="3"/>
      <c r="L106" s="46"/>
    </row>
    <row r="107" spans="1:12">
      <c r="B107" s="43"/>
      <c r="C107" s="43"/>
      <c r="D107" s="3"/>
    </row>
    <row r="108" spans="1:12">
      <c r="B108" s="43"/>
      <c r="C108" s="43"/>
      <c r="D108" s="3"/>
    </row>
    <row r="109" spans="1:12">
      <c r="B109" s="43"/>
      <c r="C109" s="43"/>
      <c r="D109" s="3"/>
    </row>
    <row r="110" spans="1:12">
      <c r="B110" s="43"/>
      <c r="C110" s="43"/>
      <c r="D110" s="3"/>
    </row>
    <row r="111" spans="1:12">
      <c r="B111" s="43"/>
      <c r="C111" s="43"/>
      <c r="D111" s="3"/>
    </row>
    <row r="112" spans="1:12">
      <c r="B112" s="43"/>
      <c r="C112" s="43"/>
      <c r="D112" s="3"/>
    </row>
    <row r="113" spans="2:4">
      <c r="B113" s="43"/>
      <c r="C113" s="43"/>
      <c r="D113" s="3"/>
    </row>
    <row r="114" spans="2:4">
      <c r="B114" s="43"/>
      <c r="C114" s="43"/>
      <c r="D114" s="3"/>
    </row>
    <row r="115" spans="2:4">
      <c r="B115" s="43"/>
      <c r="C115" s="43"/>
      <c r="D115" s="3"/>
    </row>
    <row r="116" spans="2:4">
      <c r="B116" s="43"/>
      <c r="C116" s="43"/>
      <c r="D116" s="3"/>
    </row>
    <row r="117" spans="2:4">
      <c r="B117" s="43"/>
      <c r="C117" s="43"/>
      <c r="D117" s="3"/>
    </row>
  </sheetData>
  <mergeCells count="11">
    <mergeCell ref="B61:D61"/>
    <mergeCell ref="B88:D88"/>
    <mergeCell ref="B67:D67"/>
    <mergeCell ref="B40:C40"/>
    <mergeCell ref="B3:C3"/>
    <mergeCell ref="B4:C4"/>
    <mergeCell ref="B13:C13"/>
    <mergeCell ref="B28:C28"/>
    <mergeCell ref="B56:C56"/>
    <mergeCell ref="B48:C48"/>
    <mergeCell ref="B71:D7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CA44D-3A38-46A5-9CDB-41314A397D9C}">
  <sheetPr codeName="Hoja20">
    <tabColor indexed="11"/>
  </sheetPr>
  <dimension ref="B1:O23"/>
  <sheetViews>
    <sheetView showGridLines="0" topLeftCell="C1" zoomScale="70" workbookViewId="0">
      <selection activeCell="C8" sqref="A8:XFD9"/>
    </sheetView>
  </sheetViews>
  <sheetFormatPr baseColWidth="10" defaultColWidth="18.28515625" defaultRowHeight="52.5" customHeight="1"/>
  <cols>
    <col min="1" max="1" width="2.140625" style="936" customWidth="1"/>
    <col min="2" max="2" width="37.85546875" style="936" customWidth="1"/>
    <col min="3" max="3" width="67.85546875" style="936" customWidth="1"/>
    <col min="4" max="4" width="53.42578125" style="936" customWidth="1"/>
    <col min="5" max="5" width="54" style="936" customWidth="1"/>
    <col min="6" max="6" width="46.5703125" style="936" customWidth="1"/>
    <col min="7" max="8" width="18.28515625" style="936" customWidth="1"/>
    <col min="9" max="9" width="4.85546875" style="936" customWidth="1"/>
    <col min="10" max="11" width="18.28515625" style="936" hidden="1" customWidth="1"/>
    <col min="12" max="16384" width="18.28515625" style="936"/>
  </cols>
  <sheetData>
    <row r="1" spans="2:15" ht="12.75">
      <c r="J1" s="936" t="s">
        <v>1617</v>
      </c>
      <c r="K1" s="936" t="s">
        <v>1591</v>
      </c>
      <c r="L1" s="936" t="s">
        <v>1601</v>
      </c>
      <c r="M1" s="936" t="s">
        <v>1615</v>
      </c>
      <c r="N1" s="936" t="s">
        <v>1616</v>
      </c>
      <c r="O1" s="936" t="s">
        <v>1594</v>
      </c>
    </row>
    <row r="2" spans="2:15" ht="13.5" thickBot="1">
      <c r="B2" s="968"/>
      <c r="I2" s="936" t="s">
        <v>1883</v>
      </c>
      <c r="J2" s="936">
        <v>1</v>
      </c>
      <c r="K2" s="936">
        <v>2</v>
      </c>
      <c r="L2" s="936">
        <v>4</v>
      </c>
      <c r="M2" s="936">
        <v>2</v>
      </c>
      <c r="N2" s="936">
        <v>1</v>
      </c>
      <c r="O2" s="936">
        <v>3</v>
      </c>
    </row>
    <row r="3" spans="2:15" ht="36" customHeight="1" thickBot="1">
      <c r="B3" s="1396" t="s">
        <v>1882</v>
      </c>
      <c r="C3" s="1397"/>
      <c r="D3" s="1397"/>
      <c r="E3" s="1397"/>
      <c r="F3" s="1397"/>
      <c r="I3" s="936" t="s">
        <v>1885</v>
      </c>
      <c r="J3" s="936">
        <v>7</v>
      </c>
      <c r="K3" s="936">
        <v>7</v>
      </c>
      <c r="L3" s="936">
        <v>8</v>
      </c>
      <c r="M3" s="936">
        <v>8</v>
      </c>
      <c r="N3" s="936">
        <v>8</v>
      </c>
      <c r="O3" s="936">
        <v>7</v>
      </c>
    </row>
    <row r="4" spans="2:15" s="970" customFormat="1" ht="36" customHeight="1">
      <c r="B4" s="937" t="s">
        <v>1815</v>
      </c>
      <c r="C4" s="938" t="s">
        <v>1690</v>
      </c>
      <c r="D4" s="939" t="s">
        <v>1785</v>
      </c>
      <c r="E4" s="939" t="s">
        <v>1692</v>
      </c>
      <c r="F4" s="939" t="s">
        <v>1693</v>
      </c>
      <c r="G4" s="969"/>
      <c r="H4" s="969"/>
      <c r="I4" s="936" t="s">
        <v>1888</v>
      </c>
      <c r="J4" s="936">
        <v>22</v>
      </c>
      <c r="K4" s="936">
        <v>22</v>
      </c>
      <c r="L4" s="936">
        <v>22</v>
      </c>
      <c r="M4" s="936">
        <v>22</v>
      </c>
      <c r="N4" s="936">
        <v>22</v>
      </c>
      <c r="O4" s="936">
        <v>22</v>
      </c>
    </row>
    <row r="5" spans="2:15" ht="15.75">
      <c r="B5" s="940" t="s">
        <v>1815</v>
      </c>
      <c r="C5" s="941" t="s">
        <v>1694</v>
      </c>
      <c r="D5" s="941" t="s">
        <v>1695</v>
      </c>
      <c r="E5" s="941" t="s">
        <v>1696</v>
      </c>
      <c r="F5" s="941" t="s">
        <v>1884</v>
      </c>
      <c r="I5" s="936" t="s">
        <v>1697</v>
      </c>
      <c r="J5" s="936">
        <v>35</v>
      </c>
      <c r="K5" s="936">
        <v>38</v>
      </c>
      <c r="L5" s="936">
        <v>26</v>
      </c>
      <c r="M5" s="936">
        <v>40</v>
      </c>
      <c r="N5" s="936">
        <v>38</v>
      </c>
      <c r="O5" s="936">
        <v>31</v>
      </c>
    </row>
    <row r="6" spans="2:15" ht="12.75">
      <c r="B6" s="942" t="s">
        <v>1886</v>
      </c>
      <c r="C6" s="943">
        <v>0.03</v>
      </c>
      <c r="D6" s="943">
        <v>7.0000000000000007E-2</v>
      </c>
      <c r="E6" s="943">
        <v>0.35</v>
      </c>
      <c r="F6" s="944" t="s">
        <v>1887</v>
      </c>
      <c r="G6" s="971" t="s">
        <v>933</v>
      </c>
      <c r="I6" s="936" t="s">
        <v>1698</v>
      </c>
      <c r="J6" s="936">
        <v>25</v>
      </c>
      <c r="K6" s="936">
        <v>20</v>
      </c>
      <c r="L6" s="936">
        <v>26</v>
      </c>
      <c r="M6" s="936">
        <v>15</v>
      </c>
      <c r="N6" s="936">
        <v>21</v>
      </c>
      <c r="O6" s="936">
        <v>24</v>
      </c>
    </row>
    <row r="7" spans="2:15" ht="29.25" customHeight="1">
      <c r="B7" s="945" t="s">
        <v>1700</v>
      </c>
      <c r="C7" s="946">
        <v>136906.14000000001</v>
      </c>
      <c r="D7" s="946">
        <v>319447.65999999997</v>
      </c>
      <c r="E7" s="946">
        <v>1597238.3</v>
      </c>
      <c r="F7" s="946">
        <v>2509945.9</v>
      </c>
    </row>
    <row r="8" spans="2:15" ht="12.75">
      <c r="B8" s="942" t="s">
        <v>1701</v>
      </c>
      <c r="C8" s="950" t="s">
        <v>1889</v>
      </c>
      <c r="D8" s="965" t="s">
        <v>1890</v>
      </c>
      <c r="E8" s="965" t="s">
        <v>1891</v>
      </c>
      <c r="F8" s="972" t="s">
        <v>1892</v>
      </c>
      <c r="G8" s="973"/>
    </row>
    <row r="9" spans="2:15" ht="15.75" customHeight="1">
      <c r="B9" s="948" t="s">
        <v>1707</v>
      </c>
      <c r="C9" s="951" t="s">
        <v>1893</v>
      </c>
      <c r="D9" s="965" t="s">
        <v>1894</v>
      </c>
      <c r="E9" s="965" t="s">
        <v>1895</v>
      </c>
      <c r="F9" s="965" t="s">
        <v>1896</v>
      </c>
    </row>
    <row r="10" spans="2:15" ht="51" customHeight="1">
      <c r="B10" s="974" t="s">
        <v>1713</v>
      </c>
      <c r="C10" s="951" t="s">
        <v>1714</v>
      </c>
      <c r="D10" s="951" t="s">
        <v>1715</v>
      </c>
      <c r="E10" s="951" t="s">
        <v>1897</v>
      </c>
      <c r="F10" s="951" t="s">
        <v>1717</v>
      </c>
    </row>
    <row r="11" spans="2:15" ht="51" customHeight="1">
      <c r="B11" s="974" t="s">
        <v>1719</v>
      </c>
      <c r="C11" s="951" t="s">
        <v>1720</v>
      </c>
      <c r="D11" s="951" t="s">
        <v>1721</v>
      </c>
      <c r="E11" s="951" t="s">
        <v>1898</v>
      </c>
      <c r="F11" s="951" t="s">
        <v>1723</v>
      </c>
    </row>
    <row r="12" spans="2:15" ht="51" customHeight="1">
      <c r="B12" s="975" t="s">
        <v>1725</v>
      </c>
      <c r="C12" s="951" t="s">
        <v>1899</v>
      </c>
      <c r="D12" s="951" t="s">
        <v>1900</v>
      </c>
      <c r="E12" s="951" t="s">
        <v>1901</v>
      </c>
      <c r="F12" s="951" t="s">
        <v>1902</v>
      </c>
    </row>
    <row r="13" spans="2:15" ht="102" customHeight="1">
      <c r="B13" s="974" t="s">
        <v>1731</v>
      </c>
      <c r="C13" s="951" t="s">
        <v>1903</v>
      </c>
      <c r="D13" s="951" t="s">
        <v>1904</v>
      </c>
      <c r="E13" s="951" t="s">
        <v>1905</v>
      </c>
      <c r="F13" s="951" t="s">
        <v>1906</v>
      </c>
    </row>
    <row r="14" spans="2:15" ht="54" customHeight="1">
      <c r="B14" s="975" t="s">
        <v>1737</v>
      </c>
      <c r="C14" s="951" t="s">
        <v>1738</v>
      </c>
      <c r="D14" s="951" t="s">
        <v>1739</v>
      </c>
      <c r="E14" s="951" t="s">
        <v>1740</v>
      </c>
      <c r="F14" s="961" t="s">
        <v>1742</v>
      </c>
    </row>
    <row r="15" spans="2:15" ht="97.5" customHeight="1">
      <c r="B15" s="974" t="s">
        <v>1743</v>
      </c>
      <c r="C15" s="951" t="s">
        <v>1744</v>
      </c>
      <c r="D15" s="951" t="s">
        <v>1745</v>
      </c>
      <c r="E15" s="951" t="s">
        <v>1746</v>
      </c>
      <c r="F15" s="951" t="s">
        <v>1804</v>
      </c>
    </row>
    <row r="16" spans="2:15" ht="27.75" customHeight="1">
      <c r="B16" s="974" t="s">
        <v>1749</v>
      </c>
      <c r="C16" s="951" t="s">
        <v>1750</v>
      </c>
      <c r="D16" s="951" t="s">
        <v>1750</v>
      </c>
      <c r="E16" s="961" t="s">
        <v>1750</v>
      </c>
      <c r="F16" s="961" t="s">
        <v>1751</v>
      </c>
    </row>
    <row r="17" spans="2:8" ht="125.25" customHeight="1">
      <c r="B17" s="975" t="s">
        <v>1749</v>
      </c>
      <c r="C17" s="961" t="s">
        <v>1907</v>
      </c>
      <c r="D17" s="961" t="s">
        <v>1908</v>
      </c>
      <c r="E17" s="958" t="s">
        <v>1909</v>
      </c>
      <c r="F17" s="961" t="s">
        <v>1910</v>
      </c>
      <c r="G17" s="949"/>
      <c r="H17" s="949"/>
    </row>
    <row r="18" spans="2:8" ht="105" customHeight="1">
      <c r="B18" s="975" t="s">
        <v>1758</v>
      </c>
      <c r="C18" s="951" t="s">
        <v>1869</v>
      </c>
      <c r="D18" s="951" t="s">
        <v>1870</v>
      </c>
      <c r="E18" s="951" t="s">
        <v>1761</v>
      </c>
      <c r="F18" s="951" t="s">
        <v>1871</v>
      </c>
    </row>
    <row r="19" spans="2:8" ht="74.25" customHeight="1">
      <c r="B19" s="1398" t="s">
        <v>1911</v>
      </c>
      <c r="C19" s="951" t="s">
        <v>1765</v>
      </c>
      <c r="D19" s="951" t="s">
        <v>1766</v>
      </c>
      <c r="E19" s="951" t="s">
        <v>1873</v>
      </c>
      <c r="F19" s="951" t="s">
        <v>1874</v>
      </c>
    </row>
    <row r="20" spans="2:8" ht="48.75" customHeight="1">
      <c r="B20" s="1399"/>
      <c r="C20" s="951" t="s">
        <v>1771</v>
      </c>
      <c r="D20" s="951" t="s">
        <v>1772</v>
      </c>
      <c r="E20" s="951" t="s">
        <v>1876</v>
      </c>
      <c r="F20" s="951" t="s">
        <v>1877</v>
      </c>
    </row>
    <row r="21" spans="2:8" ht="48" customHeight="1">
      <c r="B21" s="974" t="s">
        <v>1776</v>
      </c>
      <c r="C21" s="954" t="s">
        <v>1777</v>
      </c>
      <c r="D21" s="951" t="s">
        <v>1778</v>
      </c>
      <c r="E21" s="951" t="s">
        <v>1779</v>
      </c>
      <c r="F21" s="951" t="s">
        <v>1878</v>
      </c>
    </row>
    <row r="22" spans="2:8" ht="42.75" customHeight="1">
      <c r="B22" s="956"/>
      <c r="C22" s="958"/>
      <c r="D22" s="953"/>
      <c r="E22" s="953"/>
      <c r="F22" s="953"/>
    </row>
    <row r="23" spans="2:8" ht="30" customHeight="1">
      <c r="B23" s="976" t="s">
        <v>1813</v>
      </c>
      <c r="C23" s="977" t="s">
        <v>1912</v>
      </c>
      <c r="F23" s="953"/>
    </row>
  </sheetData>
  <mergeCells count="2">
    <mergeCell ref="B3:F3"/>
    <mergeCell ref="B19:B20"/>
  </mergeCells>
  <hyperlinks>
    <hyperlink ref="C23" r:id="rId1" xr:uid="{DA927623-9C7B-4854-9986-C9DF2DD122ED}"/>
  </hyperlinks>
  <pageMargins left="0.75" right="0.75" top="1" bottom="1" header="0.5" footer="0.5"/>
  <pageSetup orientation="portrait" horizontalDpi="4294967293"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A174-77B5-4475-9C98-2DA593FD16BA}">
  <sheetPr codeName="Hoja21">
    <tabColor indexed="11"/>
  </sheetPr>
  <dimension ref="B1:G22"/>
  <sheetViews>
    <sheetView workbookViewId="0">
      <selection activeCell="I12" sqref="I12"/>
    </sheetView>
  </sheetViews>
  <sheetFormatPr baseColWidth="10" defaultColWidth="9.140625" defaultRowHeight="12.75"/>
  <cols>
    <col min="1" max="1" width="1" style="1035" customWidth="1"/>
    <col min="2" max="2" width="25" style="1035" customWidth="1"/>
    <col min="3" max="3" width="32" style="1035" customWidth="1"/>
    <col min="4" max="7" width="28.85546875" style="1035" customWidth="1"/>
    <col min="8" max="16384" width="9.140625" style="1035"/>
  </cols>
  <sheetData>
    <row r="1" spans="2:7" ht="9" customHeight="1"/>
    <row r="2" spans="2:7" ht="17.25" customHeight="1">
      <c r="B2" s="1400" t="s">
        <v>2088</v>
      </c>
      <c r="C2" s="1401"/>
      <c r="D2" s="1401"/>
      <c r="E2" s="1401"/>
      <c r="F2" s="1401"/>
      <c r="G2" s="1401"/>
    </row>
    <row r="3" spans="2:7" ht="25.5">
      <c r="B3" s="1013" t="s">
        <v>1689</v>
      </c>
      <c r="C3" s="1014" t="s">
        <v>1690</v>
      </c>
      <c r="D3" s="1015" t="s">
        <v>1785</v>
      </c>
      <c r="E3" s="1015" t="s">
        <v>1692</v>
      </c>
      <c r="F3" s="1015" t="s">
        <v>1693</v>
      </c>
      <c r="G3" s="1015" t="s">
        <v>1693</v>
      </c>
    </row>
    <row r="4" spans="2:7" ht="15.75">
      <c r="B4" s="1047" t="s">
        <v>2087</v>
      </c>
      <c r="C4" s="1046" t="s">
        <v>1694</v>
      </c>
      <c r="D4" s="1046" t="s">
        <v>1695</v>
      </c>
      <c r="E4" s="1046" t="s">
        <v>1696</v>
      </c>
      <c r="F4" s="1046" t="s">
        <v>1697</v>
      </c>
      <c r="G4" s="1046" t="s">
        <v>1698</v>
      </c>
    </row>
    <row r="5" spans="2:7">
      <c r="B5" s="1032" t="s">
        <v>1699</v>
      </c>
      <c r="C5" s="943">
        <v>0.02</v>
      </c>
      <c r="D5" s="943">
        <v>7.0000000000000007E-2</v>
      </c>
      <c r="E5" s="943">
        <v>0.33</v>
      </c>
      <c r="F5" s="943">
        <v>0.38</v>
      </c>
      <c r="G5" s="943">
        <v>0.2</v>
      </c>
    </row>
    <row r="6" spans="2:7" ht="25.5">
      <c r="B6" s="1018" t="s">
        <v>1700</v>
      </c>
      <c r="C6" s="946">
        <v>287233.32</v>
      </c>
      <c r="D6" s="946">
        <v>1005316.62</v>
      </c>
      <c r="E6" s="946">
        <v>4739349.78</v>
      </c>
      <c r="F6" s="946">
        <v>5457433.0800000001</v>
      </c>
      <c r="G6" s="946">
        <v>2872333.2</v>
      </c>
    </row>
    <row r="7" spans="2:7" ht="25.5">
      <c r="B7" s="1032" t="s">
        <v>1701</v>
      </c>
      <c r="C7" s="1045" t="s">
        <v>2086</v>
      </c>
      <c r="D7" s="1045" t="s">
        <v>2085</v>
      </c>
      <c r="E7" s="1045" t="s">
        <v>2084</v>
      </c>
      <c r="F7" s="1045" t="s">
        <v>2083</v>
      </c>
      <c r="G7" s="1045" t="s">
        <v>2082</v>
      </c>
    </row>
    <row r="8" spans="2:7" ht="25.5">
      <c r="B8" s="1044" t="s">
        <v>1707</v>
      </c>
      <c r="C8" s="1043" t="s">
        <v>2081</v>
      </c>
      <c r="D8" s="1045" t="s">
        <v>2080</v>
      </c>
      <c r="E8" s="1045" t="s">
        <v>2079</v>
      </c>
      <c r="F8" s="1045" t="s">
        <v>2078</v>
      </c>
      <c r="G8" s="1045" t="s">
        <v>2077</v>
      </c>
    </row>
    <row r="9" spans="2:7" ht="51">
      <c r="B9" s="1044" t="s">
        <v>1713</v>
      </c>
      <c r="C9" s="1043" t="s">
        <v>1714</v>
      </c>
      <c r="D9" s="1043" t="s">
        <v>1715</v>
      </c>
      <c r="E9" s="1043" t="s">
        <v>1716</v>
      </c>
      <c r="F9" s="1043" t="s">
        <v>1717</v>
      </c>
      <c r="G9" s="1043" t="s">
        <v>1791</v>
      </c>
    </row>
    <row r="10" spans="2:7" ht="89.25">
      <c r="B10" s="1044" t="s">
        <v>1719</v>
      </c>
      <c r="C10" s="1043" t="s">
        <v>1720</v>
      </c>
      <c r="D10" s="1043" t="s">
        <v>1721</v>
      </c>
      <c r="E10" s="1043" t="s">
        <v>1722</v>
      </c>
      <c r="F10" s="1043" t="s">
        <v>1792</v>
      </c>
      <c r="G10" s="1043" t="s">
        <v>1724</v>
      </c>
    </row>
    <row r="11" spans="2:7" ht="51">
      <c r="B11" s="1032" t="s">
        <v>1725</v>
      </c>
      <c r="C11" s="1043" t="s">
        <v>2076</v>
      </c>
      <c r="D11" s="1043" t="s">
        <v>2075</v>
      </c>
      <c r="E11" s="1043" t="s">
        <v>2074</v>
      </c>
      <c r="F11" s="1043" t="s">
        <v>1902</v>
      </c>
      <c r="G11" s="1043" t="s">
        <v>1902</v>
      </c>
    </row>
    <row r="12" spans="2:7" ht="102">
      <c r="B12" s="1044" t="s">
        <v>1731</v>
      </c>
      <c r="C12" s="1043" t="s">
        <v>2073</v>
      </c>
      <c r="D12" s="1043" t="s">
        <v>2072</v>
      </c>
      <c r="E12" s="1043" t="s">
        <v>2071</v>
      </c>
      <c r="F12" s="1043" t="s">
        <v>2070</v>
      </c>
      <c r="G12" s="1043" t="s">
        <v>2069</v>
      </c>
    </row>
    <row r="13" spans="2:7" ht="51">
      <c r="B13" s="1032" t="s">
        <v>1737</v>
      </c>
      <c r="C13" s="1043" t="s">
        <v>1738</v>
      </c>
      <c r="D13" s="1043" t="s">
        <v>1739</v>
      </c>
      <c r="E13" s="1043" t="s">
        <v>1740</v>
      </c>
      <c r="F13" s="1043" t="s">
        <v>1742</v>
      </c>
      <c r="G13" s="1043" t="s">
        <v>1742</v>
      </c>
    </row>
    <row r="14" spans="2:7" ht="76.5">
      <c r="B14" s="1044" t="s">
        <v>1743</v>
      </c>
      <c r="C14" s="1043" t="s">
        <v>1744</v>
      </c>
      <c r="D14" s="1043" t="s">
        <v>1745</v>
      </c>
      <c r="E14" s="1043" t="s">
        <v>1746</v>
      </c>
      <c r="F14" s="1043" t="s">
        <v>1804</v>
      </c>
      <c r="G14" s="1043" t="s">
        <v>1804</v>
      </c>
    </row>
    <row r="15" spans="2:7" ht="51" customHeight="1">
      <c r="B15" s="1044" t="s">
        <v>1749</v>
      </c>
      <c r="C15" s="1043" t="s">
        <v>1750</v>
      </c>
      <c r="D15" s="1043" t="s">
        <v>1750</v>
      </c>
      <c r="E15" s="1033" t="s">
        <v>1750</v>
      </c>
      <c r="F15" s="1033" t="s">
        <v>1751</v>
      </c>
      <c r="G15" s="1033" t="s">
        <v>1751</v>
      </c>
    </row>
    <row r="16" spans="2:7" ht="119.25" customHeight="1">
      <c r="B16" s="1032" t="s">
        <v>1749</v>
      </c>
      <c r="C16" s="1033" t="s">
        <v>2068</v>
      </c>
      <c r="D16" s="1033" t="s">
        <v>2067</v>
      </c>
      <c r="E16" s="1034" t="s">
        <v>1909</v>
      </c>
      <c r="F16" s="1033" t="s">
        <v>2066</v>
      </c>
      <c r="G16" s="1033" t="s">
        <v>2065</v>
      </c>
    </row>
    <row r="17" spans="2:7" ht="102">
      <c r="B17" s="1032" t="s">
        <v>1758</v>
      </c>
      <c r="C17" s="1043" t="s">
        <v>1759</v>
      </c>
      <c r="D17" s="1043" t="s">
        <v>1870</v>
      </c>
      <c r="E17" s="1043" t="s">
        <v>1761</v>
      </c>
      <c r="F17" s="1043" t="s">
        <v>1762</v>
      </c>
      <c r="G17" s="1043" t="s">
        <v>1763</v>
      </c>
    </row>
    <row r="18" spans="2:7" ht="89.25">
      <c r="B18" s="1044" t="s">
        <v>1764</v>
      </c>
      <c r="C18" s="1043" t="s">
        <v>1765</v>
      </c>
      <c r="D18" s="1043" t="s">
        <v>2064</v>
      </c>
      <c r="E18" s="1043" t="s">
        <v>2063</v>
      </c>
      <c r="F18" s="1043" t="s">
        <v>1768</v>
      </c>
      <c r="G18" s="1043" t="s">
        <v>1769</v>
      </c>
    </row>
    <row r="19" spans="2:7" ht="51">
      <c r="B19" s="1044" t="s">
        <v>1770</v>
      </c>
      <c r="C19" s="1043" t="s">
        <v>1771</v>
      </c>
      <c r="D19" s="1043" t="s">
        <v>1772</v>
      </c>
      <c r="E19" s="1043" t="s">
        <v>1773</v>
      </c>
      <c r="F19" s="1043" t="s">
        <v>1774</v>
      </c>
      <c r="G19" s="1043" t="s">
        <v>1775</v>
      </c>
    </row>
    <row r="20" spans="2:7" ht="63.75">
      <c r="B20" s="1044" t="s">
        <v>1776</v>
      </c>
      <c r="C20" s="1034" t="s">
        <v>1777</v>
      </c>
      <c r="D20" s="1043" t="s">
        <v>1778</v>
      </c>
      <c r="E20" s="1043" t="s">
        <v>1779</v>
      </c>
      <c r="F20" s="1043" t="s">
        <v>2062</v>
      </c>
      <c r="G20" s="1043" t="s">
        <v>1781</v>
      </c>
    </row>
    <row r="22" spans="2:7">
      <c r="B22" s="1042" t="s">
        <v>1782</v>
      </c>
      <c r="C22" s="1041" t="s">
        <v>2061</v>
      </c>
    </row>
  </sheetData>
  <mergeCells count="1">
    <mergeCell ref="B2:G2"/>
  </mergeCell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36DE-7748-4420-8768-7F2C1AE45740}">
  <sheetPr codeName="Hoja22"/>
  <dimension ref="A1:H24"/>
  <sheetViews>
    <sheetView showGridLines="0" topLeftCell="A16" zoomScale="85" zoomScaleNormal="85" workbookViewId="0">
      <selection activeCell="E25" sqref="E25"/>
    </sheetView>
  </sheetViews>
  <sheetFormatPr baseColWidth="10" defaultColWidth="18.28515625" defaultRowHeight="52.5" customHeight="1"/>
  <cols>
    <col min="1" max="1" width="28" style="1010" customWidth="1"/>
    <col min="2" max="2" width="42.140625" style="1010" customWidth="1"/>
    <col min="3" max="3" width="41.7109375" style="1010" customWidth="1"/>
    <col min="4" max="4" width="47.140625" style="1010" customWidth="1"/>
    <col min="5" max="5" width="51.140625" style="1010" customWidth="1"/>
    <col min="6" max="6" width="48.7109375" style="1010" customWidth="1"/>
    <col min="7" max="16384" width="18.28515625" style="1010"/>
  </cols>
  <sheetData>
    <row r="1" spans="1:8" ht="12.75" hidden="1" customHeight="1">
      <c r="F1" s="1011"/>
    </row>
    <row r="2" spans="1:8" ht="18" hidden="1" customHeight="1">
      <c r="A2" s="1012" t="s">
        <v>1913</v>
      </c>
      <c r="B2" s="1012"/>
      <c r="C2" s="1012"/>
      <c r="D2" s="1012"/>
      <c r="E2" s="1012"/>
      <c r="F2" s="1012"/>
    </row>
    <row r="3" spans="1:8" ht="18" hidden="1" customHeight="1">
      <c r="A3" s="1012" t="s">
        <v>1914</v>
      </c>
      <c r="B3" s="1012"/>
      <c r="C3" s="1012"/>
      <c r="D3" s="1012"/>
      <c r="E3" s="1012"/>
      <c r="F3" s="1012"/>
    </row>
    <row r="4" spans="1:8" ht="17.25" customHeight="1">
      <c r="A4" s="1401" t="s">
        <v>2014</v>
      </c>
      <c r="B4" s="1401"/>
      <c r="C4" s="1401"/>
      <c r="D4" s="1401"/>
      <c r="E4" s="1401"/>
      <c r="F4" s="1401"/>
    </row>
    <row r="5" spans="1:8" ht="15.75">
      <c r="A5" s="1013" t="s">
        <v>1689</v>
      </c>
      <c r="B5" s="1014" t="s">
        <v>1690</v>
      </c>
      <c r="C5" s="1015" t="s">
        <v>1785</v>
      </c>
      <c r="D5" s="1015" t="s">
        <v>1692</v>
      </c>
      <c r="E5" s="1015" t="s">
        <v>1693</v>
      </c>
      <c r="F5" s="1015" t="s">
        <v>1693</v>
      </c>
    </row>
    <row r="6" spans="1:8" ht="15.75">
      <c r="A6" s="1016" t="s">
        <v>1815</v>
      </c>
      <c r="B6" s="1017" t="s">
        <v>1694</v>
      </c>
      <c r="C6" s="1017" t="s">
        <v>2015</v>
      </c>
      <c r="D6" s="1017" t="s">
        <v>1696</v>
      </c>
      <c r="E6" s="1017" t="s">
        <v>1697</v>
      </c>
      <c r="F6" s="1017" t="s">
        <v>1698</v>
      </c>
    </row>
    <row r="7" spans="1:8" ht="12.75">
      <c r="A7" s="1018" t="s">
        <v>1821</v>
      </c>
      <c r="B7" s="1019">
        <v>3.2000000000000001E-2</v>
      </c>
      <c r="C7" s="1020">
        <v>0.159</v>
      </c>
      <c r="D7" s="1019">
        <v>0.25700000000000001</v>
      </c>
      <c r="E7" s="1019">
        <v>0.35599999999999998</v>
      </c>
      <c r="F7" s="1019">
        <v>0.19600000000000001</v>
      </c>
      <c r="G7" s="1021"/>
      <c r="H7" s="1021"/>
    </row>
    <row r="8" spans="1:8" ht="25.5">
      <c r="A8" s="1022" t="s">
        <v>1700</v>
      </c>
      <c r="B8" s="1023">
        <v>311755.96799999999</v>
      </c>
      <c r="C8" s="1023">
        <v>1549037.466</v>
      </c>
      <c r="D8" s="1023">
        <v>2503790.1180000002</v>
      </c>
      <c r="E8" s="1023">
        <v>3468285.1439999999</v>
      </c>
      <c r="F8" s="1023">
        <v>1909505.304</v>
      </c>
      <c r="G8" s="1024"/>
      <c r="H8" s="1021"/>
    </row>
    <row r="9" spans="1:8" ht="25.5">
      <c r="A9" s="1018" t="s">
        <v>1701</v>
      </c>
      <c r="B9" s="1027" t="s">
        <v>2016</v>
      </c>
      <c r="C9" s="1027" t="s">
        <v>2017</v>
      </c>
      <c r="D9" s="1027" t="s">
        <v>2018</v>
      </c>
      <c r="E9" s="1027" t="s">
        <v>2019</v>
      </c>
      <c r="F9" s="1028" t="s">
        <v>2020</v>
      </c>
    </row>
    <row r="10" spans="1:8" ht="41.25" customHeight="1">
      <c r="A10" s="1025" t="s">
        <v>1707</v>
      </c>
      <c r="B10" s="1029" t="s">
        <v>2021</v>
      </c>
      <c r="C10" s="1029" t="s">
        <v>2022</v>
      </c>
      <c r="D10" s="1027" t="s">
        <v>2023</v>
      </c>
      <c r="E10" s="1027" t="s">
        <v>2024</v>
      </c>
      <c r="F10" s="1027" t="s">
        <v>2025</v>
      </c>
    </row>
    <row r="11" spans="1:8" ht="25.5">
      <c r="A11" s="1030" t="s">
        <v>1713</v>
      </c>
      <c r="B11" s="1031" t="s">
        <v>1714</v>
      </c>
      <c r="C11" s="1031" t="s">
        <v>1927</v>
      </c>
      <c r="D11" s="1031" t="s">
        <v>1928</v>
      </c>
      <c r="E11" s="1031" t="s">
        <v>1929</v>
      </c>
      <c r="F11" s="1031" t="s">
        <v>1791</v>
      </c>
    </row>
    <row r="12" spans="1:8" ht="51">
      <c r="A12" s="1025" t="s">
        <v>1719</v>
      </c>
      <c r="B12" s="1029" t="s">
        <v>1720</v>
      </c>
      <c r="C12" s="1029" t="s">
        <v>1721</v>
      </c>
      <c r="D12" s="1029" t="s">
        <v>1930</v>
      </c>
      <c r="E12" s="1029" t="s">
        <v>1931</v>
      </c>
      <c r="F12" s="1029" t="s">
        <v>1978</v>
      </c>
    </row>
    <row r="13" spans="1:8" ht="76.5">
      <c r="A13" s="1018" t="s">
        <v>1725</v>
      </c>
      <c r="B13" s="1029" t="s">
        <v>2026</v>
      </c>
      <c r="C13" s="1029" t="s">
        <v>2027</v>
      </c>
      <c r="D13" s="1029" t="s">
        <v>2028</v>
      </c>
      <c r="E13" s="1029" t="s">
        <v>1796</v>
      </c>
      <c r="F13" s="1029" t="s">
        <v>1937</v>
      </c>
    </row>
    <row r="14" spans="1:8" ht="76.5">
      <c r="A14" s="1025" t="s">
        <v>1731</v>
      </c>
      <c r="B14" s="1029" t="s">
        <v>2029</v>
      </c>
      <c r="C14" s="1029" t="s">
        <v>2030</v>
      </c>
      <c r="D14" s="1029" t="s">
        <v>2031</v>
      </c>
      <c r="E14" s="1029" t="s">
        <v>2032</v>
      </c>
      <c r="F14" s="1029" t="s">
        <v>1942</v>
      </c>
    </row>
    <row r="15" spans="1:8" ht="54" customHeight="1">
      <c r="A15" s="1018" t="s">
        <v>1737</v>
      </c>
      <c r="B15" s="1029" t="s">
        <v>1943</v>
      </c>
      <c r="C15" s="1029" t="s">
        <v>2033</v>
      </c>
      <c r="D15" s="1029" t="s">
        <v>2034</v>
      </c>
      <c r="E15" s="1029" t="s">
        <v>2035</v>
      </c>
      <c r="F15" s="1026" t="s">
        <v>1856</v>
      </c>
    </row>
    <row r="16" spans="1:8" ht="97.5" customHeight="1">
      <c r="A16" s="1025" t="s">
        <v>1947</v>
      </c>
      <c r="B16" s="1029" t="s">
        <v>1948</v>
      </c>
      <c r="C16" s="1029" t="s">
        <v>1949</v>
      </c>
      <c r="D16" s="1029" t="s">
        <v>1950</v>
      </c>
      <c r="E16" s="1029" t="s">
        <v>1951</v>
      </c>
      <c r="F16" s="1026" t="s">
        <v>1861</v>
      </c>
    </row>
    <row r="17" spans="1:6" ht="27.75" customHeight="1">
      <c r="A17" s="1025" t="s">
        <v>1749</v>
      </c>
      <c r="B17" s="1029" t="s">
        <v>2036</v>
      </c>
      <c r="C17" s="1029" t="s">
        <v>2037</v>
      </c>
      <c r="D17" s="1029" t="s">
        <v>2038</v>
      </c>
      <c r="E17" s="1026" t="s">
        <v>2039</v>
      </c>
      <c r="F17" s="1029" t="s">
        <v>1953</v>
      </c>
    </row>
    <row r="18" spans="1:6" s="1035" customFormat="1" ht="177" customHeight="1">
      <c r="A18" s="1032" t="s">
        <v>1749</v>
      </c>
      <c r="B18" s="1033" t="s">
        <v>2040</v>
      </c>
      <c r="C18" s="1033" t="s">
        <v>2041</v>
      </c>
      <c r="D18" s="1033" t="s">
        <v>2042</v>
      </c>
      <c r="E18" s="1034" t="s">
        <v>2043</v>
      </c>
      <c r="F18" s="1033" t="s">
        <v>2044</v>
      </c>
    </row>
    <row r="19" spans="1:6" ht="120" customHeight="1">
      <c r="A19" s="1018" t="s">
        <v>1758</v>
      </c>
      <c r="B19" s="1029" t="s">
        <v>2045</v>
      </c>
      <c r="C19" s="1029" t="s">
        <v>2046</v>
      </c>
      <c r="D19" s="1029" t="s">
        <v>2047</v>
      </c>
      <c r="E19" s="1029" t="s">
        <v>1871</v>
      </c>
      <c r="F19" s="1029" t="s">
        <v>1763</v>
      </c>
    </row>
    <row r="20" spans="1:6" ht="73.5" customHeight="1">
      <c r="A20" s="1402" t="s">
        <v>1959</v>
      </c>
      <c r="B20" s="1029" t="s">
        <v>2048</v>
      </c>
      <c r="C20" s="1029" t="s">
        <v>2049</v>
      </c>
      <c r="D20" s="1029" t="s">
        <v>2050</v>
      </c>
      <c r="E20" s="1029" t="s">
        <v>2051</v>
      </c>
      <c r="F20" s="1029" t="s">
        <v>2052</v>
      </c>
    </row>
    <row r="21" spans="1:6" ht="25.5">
      <c r="A21" s="1403"/>
      <c r="B21" s="1029" t="s">
        <v>2053</v>
      </c>
      <c r="C21" s="1029" t="s">
        <v>2054</v>
      </c>
      <c r="D21" s="1029" t="s">
        <v>2055</v>
      </c>
      <c r="E21" s="1029" t="s">
        <v>1877</v>
      </c>
      <c r="F21" s="1026" t="s">
        <v>1565</v>
      </c>
    </row>
    <row r="22" spans="1:6" ht="38.25">
      <c r="A22" s="1025" t="s">
        <v>1776</v>
      </c>
      <c r="B22" s="1036" t="s">
        <v>2056</v>
      </c>
      <c r="C22" s="1029" t="s">
        <v>2057</v>
      </c>
      <c r="D22" s="1029" t="s">
        <v>2058</v>
      </c>
      <c r="E22" s="1029" t="s">
        <v>2059</v>
      </c>
      <c r="F22" s="1029" t="s">
        <v>2060</v>
      </c>
    </row>
    <row r="23" spans="1:6" ht="42.75" customHeight="1">
      <c r="A23" s="1037"/>
      <c r="B23" s="1038"/>
      <c r="C23" s="1038"/>
      <c r="D23" s="1039"/>
      <c r="E23" s="1039"/>
      <c r="F23" s="1039"/>
    </row>
    <row r="24" spans="1:6" ht="27.75" customHeight="1">
      <c r="B24" s="1040"/>
    </row>
  </sheetData>
  <mergeCells count="2">
    <mergeCell ref="A4:F4"/>
    <mergeCell ref="A20:A21"/>
  </mergeCells>
  <pageMargins left="0.75" right="0.75" top="1" bottom="1" header="0.5" footer="0.5"/>
  <pageSetup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49DFC-1BD6-4C3E-ADE2-8E71897284B0}">
  <sheetPr codeName="Hoja23"/>
  <dimension ref="A1:G23"/>
  <sheetViews>
    <sheetView showGridLines="0" topLeftCell="A4" zoomScale="85" zoomScaleNormal="85" workbookViewId="0">
      <pane ySplit="3" topLeftCell="A7" activePane="bottomLeft" state="frozen"/>
      <selection activeCell="A9" sqref="A9:XFD10"/>
      <selection pane="bottomLeft" activeCell="A9" sqref="A9:XFD10"/>
    </sheetView>
  </sheetViews>
  <sheetFormatPr baseColWidth="10" defaultColWidth="18.28515625" defaultRowHeight="52.5" customHeight="1"/>
  <cols>
    <col min="1" max="1" width="28" style="983" customWidth="1"/>
    <col min="2" max="2" width="41.140625" style="984" customWidth="1"/>
    <col min="3" max="3" width="41.7109375" style="984" customWidth="1"/>
    <col min="4" max="4" width="47.140625" style="984" customWidth="1"/>
    <col min="5" max="5" width="51.140625" style="984" customWidth="1"/>
    <col min="6" max="6" width="42.140625" style="984" customWidth="1"/>
    <col min="7" max="7" width="18.28515625" style="986"/>
    <col min="8" max="16384" width="18.28515625" style="984"/>
  </cols>
  <sheetData>
    <row r="1" spans="1:7" ht="12.75" hidden="1" customHeight="1">
      <c r="F1" s="985"/>
    </row>
    <row r="2" spans="1:7" ht="18" hidden="1" customHeight="1">
      <c r="A2" s="987" t="s">
        <v>1913</v>
      </c>
      <c r="B2" s="988"/>
      <c r="C2" s="988"/>
      <c r="D2" s="988"/>
      <c r="E2" s="988"/>
      <c r="F2" s="988"/>
    </row>
    <row r="3" spans="1:7" ht="18" hidden="1" customHeight="1">
      <c r="A3" s="987" t="s">
        <v>1914</v>
      </c>
      <c r="B3" s="988"/>
      <c r="C3" s="988"/>
      <c r="D3" s="988"/>
      <c r="E3" s="988"/>
      <c r="F3" s="988"/>
    </row>
    <row r="4" spans="1:7" ht="17.25" customHeight="1">
      <c r="A4" s="1404" t="s">
        <v>1961</v>
      </c>
      <c r="B4" s="1404"/>
      <c r="C4" s="1404"/>
      <c r="D4" s="1404"/>
      <c r="E4" s="1404"/>
      <c r="F4" s="1404"/>
    </row>
    <row r="5" spans="1:7" ht="15.75">
      <c r="A5" s="989" t="s">
        <v>1689</v>
      </c>
      <c r="B5" s="990" t="s">
        <v>1690</v>
      </c>
      <c r="C5" s="991" t="s">
        <v>1785</v>
      </c>
      <c r="D5" s="991" t="s">
        <v>1692</v>
      </c>
      <c r="E5" s="991" t="s">
        <v>1693</v>
      </c>
      <c r="F5" s="991" t="s">
        <v>1693</v>
      </c>
    </row>
    <row r="6" spans="1:7" ht="15.75">
      <c r="A6" s="992" t="s">
        <v>1815</v>
      </c>
      <c r="B6" s="993" t="s">
        <v>1694</v>
      </c>
      <c r="C6" s="993" t="s">
        <v>1695</v>
      </c>
      <c r="D6" s="993" t="s">
        <v>1696</v>
      </c>
      <c r="E6" s="993" t="s">
        <v>1697</v>
      </c>
      <c r="F6" s="993" t="s">
        <v>1698</v>
      </c>
    </row>
    <row r="7" spans="1:7" ht="12.75">
      <c r="A7" s="994" t="s">
        <v>1821</v>
      </c>
      <c r="B7" s="944">
        <v>0.05</v>
      </c>
      <c r="C7" s="944">
        <v>0.15</v>
      </c>
      <c r="D7" s="944">
        <v>0.5</v>
      </c>
      <c r="E7" s="944">
        <v>0.2</v>
      </c>
      <c r="F7" s="944">
        <v>0.1</v>
      </c>
      <c r="G7" s="995"/>
    </row>
    <row r="8" spans="1:7" ht="25.5">
      <c r="A8" s="994" t="s">
        <v>1962</v>
      </c>
      <c r="B8" s="981">
        <v>198364</v>
      </c>
      <c r="C8" s="981">
        <v>595093</v>
      </c>
      <c r="D8" s="981">
        <v>1983644</v>
      </c>
      <c r="E8" s="981">
        <v>793458</v>
      </c>
      <c r="F8" s="981">
        <v>396729</v>
      </c>
      <c r="G8" s="996"/>
    </row>
    <row r="9" spans="1:7" ht="25.5">
      <c r="A9" s="994" t="s">
        <v>1701</v>
      </c>
      <c r="B9" s="998" t="s">
        <v>1963</v>
      </c>
      <c r="C9" s="998" t="s">
        <v>1964</v>
      </c>
      <c r="D9" s="998" t="s">
        <v>1965</v>
      </c>
      <c r="E9" s="998" t="s">
        <v>1966</v>
      </c>
      <c r="F9" s="999" t="s">
        <v>1967</v>
      </c>
    </row>
    <row r="10" spans="1:7" ht="41.25" customHeight="1">
      <c r="A10" s="997" t="s">
        <v>1707</v>
      </c>
      <c r="B10" s="1000" t="s">
        <v>1968</v>
      </c>
      <c r="C10" s="1001" t="s">
        <v>1969</v>
      </c>
      <c r="D10" s="1002" t="s">
        <v>1970</v>
      </c>
      <c r="E10" s="1002" t="s">
        <v>1971</v>
      </c>
      <c r="F10" s="1002" t="s">
        <v>1972</v>
      </c>
    </row>
    <row r="11" spans="1:7" s="983" customFormat="1" ht="38.25">
      <c r="A11" s="997" t="s">
        <v>1713</v>
      </c>
      <c r="B11" s="1000" t="s">
        <v>1973</v>
      </c>
      <c r="C11" s="1000" t="s">
        <v>1973</v>
      </c>
      <c r="D11" s="1000" t="s">
        <v>1928</v>
      </c>
      <c r="E11" s="1000" t="s">
        <v>1974</v>
      </c>
      <c r="F11" s="1000" t="s">
        <v>1975</v>
      </c>
      <c r="G11" s="1003"/>
    </row>
    <row r="12" spans="1:7" ht="38.25">
      <c r="A12" s="997" t="s">
        <v>1719</v>
      </c>
      <c r="B12" s="1004" t="s">
        <v>1720</v>
      </c>
      <c r="C12" s="1004" t="s">
        <v>1721</v>
      </c>
      <c r="D12" s="1004" t="s">
        <v>1976</v>
      </c>
      <c r="E12" s="1004" t="s">
        <v>1977</v>
      </c>
      <c r="F12" s="1004" t="s">
        <v>1978</v>
      </c>
    </row>
    <row r="13" spans="1:7" ht="78.75" customHeight="1">
      <c r="A13" s="994" t="s">
        <v>1725</v>
      </c>
      <c r="B13" s="1004" t="s">
        <v>1979</v>
      </c>
      <c r="C13" s="1004" t="s">
        <v>1980</v>
      </c>
      <c r="D13" s="1004" t="s">
        <v>1981</v>
      </c>
      <c r="E13" s="1004" t="s">
        <v>1982</v>
      </c>
      <c r="F13" s="1004" t="s">
        <v>1983</v>
      </c>
    </row>
    <row r="14" spans="1:7" ht="76.5">
      <c r="A14" s="997" t="s">
        <v>1731</v>
      </c>
      <c r="B14" s="1004" t="s">
        <v>1984</v>
      </c>
      <c r="C14" s="1004" t="s">
        <v>1985</v>
      </c>
      <c r="D14" s="1004" t="s">
        <v>1986</v>
      </c>
      <c r="E14" s="1004" t="s">
        <v>1987</v>
      </c>
      <c r="F14" s="1004" t="s">
        <v>1988</v>
      </c>
    </row>
    <row r="15" spans="1:7" ht="54" customHeight="1">
      <c r="A15" s="994" t="s">
        <v>1737</v>
      </c>
      <c r="B15" s="1004" t="s">
        <v>1943</v>
      </c>
      <c r="C15" s="1004" t="s">
        <v>1989</v>
      </c>
      <c r="D15" s="1004" t="s">
        <v>1990</v>
      </c>
      <c r="E15" s="1004" t="s">
        <v>1991</v>
      </c>
      <c r="F15" s="1005" t="s">
        <v>1992</v>
      </c>
    </row>
    <row r="16" spans="1:7" ht="97.5" customHeight="1">
      <c r="A16" s="997" t="s">
        <v>1947</v>
      </c>
      <c r="B16" s="1004" t="s">
        <v>1948</v>
      </c>
      <c r="C16" s="1004" t="s">
        <v>1949</v>
      </c>
      <c r="D16" s="1004" t="s">
        <v>1950</v>
      </c>
      <c r="E16" s="1004" t="s">
        <v>1951</v>
      </c>
      <c r="F16" s="1005" t="s">
        <v>1861</v>
      </c>
    </row>
    <row r="17" spans="1:6" ht="27.75" customHeight="1">
      <c r="A17" s="997" t="s">
        <v>1749</v>
      </c>
      <c r="B17" s="1004" t="s">
        <v>1750</v>
      </c>
      <c r="C17" s="1004" t="s">
        <v>1750</v>
      </c>
      <c r="D17" s="1004" t="s">
        <v>1993</v>
      </c>
      <c r="E17" s="1005" t="s">
        <v>1952</v>
      </c>
      <c r="F17" s="1004" t="s">
        <v>1994</v>
      </c>
    </row>
    <row r="18" spans="1:6" ht="125.25" customHeight="1">
      <c r="A18" s="994" t="s">
        <v>1749</v>
      </c>
      <c r="B18" s="1005" t="s">
        <v>1995</v>
      </c>
      <c r="C18" s="1005" t="s">
        <v>1996</v>
      </c>
      <c r="D18" s="1005" t="s">
        <v>1997</v>
      </c>
      <c r="E18" s="1006" t="s">
        <v>1998</v>
      </c>
      <c r="F18" s="1005" t="s">
        <v>1958</v>
      </c>
    </row>
    <row r="19" spans="1:6" ht="63.75">
      <c r="A19" s="994" t="s">
        <v>1758</v>
      </c>
      <c r="B19" s="1004" t="s">
        <v>1999</v>
      </c>
      <c r="C19" s="1004" t="s">
        <v>1870</v>
      </c>
      <c r="D19" s="1004" t="s">
        <v>2000</v>
      </c>
      <c r="E19" s="1004" t="s">
        <v>1871</v>
      </c>
      <c r="F19" s="1004" t="s">
        <v>2001</v>
      </c>
    </row>
    <row r="20" spans="1:6" ht="73.5" customHeight="1">
      <c r="A20" s="1405" t="s">
        <v>1959</v>
      </c>
      <c r="B20" s="1004" t="s">
        <v>2002</v>
      </c>
      <c r="C20" s="1004" t="s">
        <v>2003</v>
      </c>
      <c r="D20" s="1004" t="s">
        <v>1873</v>
      </c>
      <c r="E20" s="1004" t="s">
        <v>2004</v>
      </c>
      <c r="F20" s="1004" t="s">
        <v>2005</v>
      </c>
    </row>
    <row r="21" spans="1:6" ht="38.25">
      <c r="A21" s="1406"/>
      <c r="B21" s="1004" t="s">
        <v>2006</v>
      </c>
      <c r="C21" s="1004" t="s">
        <v>2007</v>
      </c>
      <c r="D21" s="1004" t="s">
        <v>2008</v>
      </c>
      <c r="E21" s="1004" t="s">
        <v>2009</v>
      </c>
      <c r="F21" s="1005" t="s">
        <v>2010</v>
      </c>
    </row>
    <row r="22" spans="1:6" ht="51">
      <c r="A22" s="997" t="s">
        <v>1776</v>
      </c>
      <c r="B22" s="1006" t="s">
        <v>1777</v>
      </c>
      <c r="C22" s="1004" t="s">
        <v>1778</v>
      </c>
      <c r="D22" s="1004" t="s">
        <v>2011</v>
      </c>
      <c r="E22" s="1004" t="s">
        <v>2012</v>
      </c>
      <c r="F22" s="1004" t="s">
        <v>2013</v>
      </c>
    </row>
    <row r="23" spans="1:6" ht="42.75" customHeight="1">
      <c r="A23" s="1007"/>
      <c r="B23" s="1008"/>
      <c r="C23" s="1008"/>
      <c r="D23" s="1009"/>
      <c r="E23" s="1009"/>
      <c r="F23" s="1009"/>
    </row>
  </sheetData>
  <mergeCells count="2">
    <mergeCell ref="A4:F4"/>
    <mergeCell ref="A20:A21"/>
  </mergeCells>
  <pageMargins left="0.75" right="0.75" top="1" bottom="1" header="0.5" footer="0.5"/>
  <pageSetup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D863-80E7-4909-B304-516FDB48A9E0}">
  <sheetPr codeName="Hoja24">
    <tabColor indexed="11"/>
  </sheetPr>
  <dimension ref="B2:H23"/>
  <sheetViews>
    <sheetView topLeftCell="B4" workbookViewId="0">
      <selection activeCell="A9" sqref="A9:XFD10"/>
    </sheetView>
  </sheetViews>
  <sheetFormatPr baseColWidth="10" defaultColWidth="9.140625" defaultRowHeight="12.75"/>
  <cols>
    <col min="1" max="1" width="1" style="936" customWidth="1"/>
    <col min="2" max="2" width="25" style="936" customWidth="1"/>
    <col min="3" max="3" width="28.85546875" style="936" customWidth="1"/>
    <col min="4" max="4" width="41" style="936" customWidth="1"/>
    <col min="5" max="5" width="34.140625" style="936" customWidth="1"/>
    <col min="6" max="7" width="28.85546875" style="936" customWidth="1"/>
    <col min="8" max="16384" width="9.140625" style="936"/>
  </cols>
  <sheetData>
    <row r="2" spans="2:8" ht="6.75" customHeight="1"/>
    <row r="3" spans="2:8" ht="18.75" customHeight="1">
      <c r="B3" s="1407" t="s">
        <v>1688</v>
      </c>
      <c r="C3" s="1408"/>
      <c r="D3" s="1408"/>
      <c r="E3" s="1408"/>
      <c r="F3" s="1408"/>
      <c r="G3" s="1408"/>
    </row>
    <row r="4" spans="2:8" ht="15.75">
      <c r="B4" s="937" t="s">
        <v>1689</v>
      </c>
      <c r="C4" s="938" t="s">
        <v>1690</v>
      </c>
      <c r="D4" s="939" t="s">
        <v>1691</v>
      </c>
      <c r="E4" s="939" t="s">
        <v>1692</v>
      </c>
      <c r="F4" s="939" t="s">
        <v>1693</v>
      </c>
      <c r="G4" s="939" t="s">
        <v>1693</v>
      </c>
    </row>
    <row r="5" spans="2:8" ht="15.75">
      <c r="B5" s="940" t="s">
        <v>1815</v>
      </c>
      <c r="C5" s="941" t="s">
        <v>1694</v>
      </c>
      <c r="D5" s="941" t="s">
        <v>1695</v>
      </c>
      <c r="E5" s="941" t="s">
        <v>1696</v>
      </c>
      <c r="F5" s="941" t="s">
        <v>1697</v>
      </c>
      <c r="G5" s="941" t="s">
        <v>1698</v>
      </c>
    </row>
    <row r="6" spans="2:8">
      <c r="B6" s="942" t="s">
        <v>1699</v>
      </c>
      <c r="C6" s="943">
        <v>0.04</v>
      </c>
      <c r="D6" s="943">
        <v>0.08</v>
      </c>
      <c r="E6" s="943">
        <v>0.36</v>
      </c>
      <c r="F6" s="943">
        <v>0.26</v>
      </c>
      <c r="G6" s="944">
        <v>0.26</v>
      </c>
    </row>
    <row r="7" spans="2:8" ht="25.5">
      <c r="B7" s="945" t="s">
        <v>1700</v>
      </c>
      <c r="C7" s="946">
        <v>140179.32</v>
      </c>
      <c r="D7" s="946">
        <v>280358.64</v>
      </c>
      <c r="E7" s="946">
        <v>1261613.8799999999</v>
      </c>
      <c r="F7" s="946">
        <v>911165.58</v>
      </c>
      <c r="G7" s="946">
        <v>911165.58</v>
      </c>
      <c r="H7" s="947"/>
    </row>
    <row r="8" spans="2:8" ht="25.5">
      <c r="B8" s="942" t="s">
        <v>1701</v>
      </c>
      <c r="C8" s="950" t="s">
        <v>1702</v>
      </c>
      <c r="D8" s="950" t="s">
        <v>1703</v>
      </c>
      <c r="E8" s="950" t="s">
        <v>1704</v>
      </c>
      <c r="F8" s="950" t="s">
        <v>1705</v>
      </c>
      <c r="G8" s="950" t="s">
        <v>1706</v>
      </c>
    </row>
    <row r="9" spans="2:8" ht="38.25">
      <c r="B9" s="948" t="s">
        <v>1707</v>
      </c>
      <c r="C9" s="951" t="s">
        <v>1708</v>
      </c>
      <c r="D9" s="950" t="s">
        <v>1709</v>
      </c>
      <c r="E9" s="950" t="s">
        <v>1710</v>
      </c>
      <c r="F9" s="950" t="s">
        <v>1711</v>
      </c>
      <c r="G9" s="950" t="s">
        <v>1712</v>
      </c>
    </row>
    <row r="10" spans="2:8" ht="38.25">
      <c r="B10" s="948" t="s">
        <v>1713</v>
      </c>
      <c r="C10" s="951" t="s">
        <v>1714</v>
      </c>
      <c r="D10" s="951" t="s">
        <v>1715</v>
      </c>
      <c r="E10" s="951" t="s">
        <v>1716</v>
      </c>
      <c r="F10" s="951" t="s">
        <v>1717</v>
      </c>
      <c r="G10" s="951" t="s">
        <v>1718</v>
      </c>
    </row>
    <row r="11" spans="2:8" ht="76.5">
      <c r="B11" s="948" t="s">
        <v>1719</v>
      </c>
      <c r="C11" s="951" t="s">
        <v>1720</v>
      </c>
      <c r="D11" s="951" t="s">
        <v>1721</v>
      </c>
      <c r="E11" s="951" t="s">
        <v>1722</v>
      </c>
      <c r="F11" s="951" t="s">
        <v>1723</v>
      </c>
      <c r="G11" s="951" t="s">
        <v>1724</v>
      </c>
    </row>
    <row r="12" spans="2:8" ht="63.75">
      <c r="B12" s="942" t="s">
        <v>1725</v>
      </c>
      <c r="C12" s="951" t="s">
        <v>1726</v>
      </c>
      <c r="D12" s="951" t="s">
        <v>1727</v>
      </c>
      <c r="E12" s="951" t="s">
        <v>1728</v>
      </c>
      <c r="F12" s="951" t="s">
        <v>1729</v>
      </c>
      <c r="G12" s="951" t="s">
        <v>1730</v>
      </c>
    </row>
    <row r="13" spans="2:8" ht="63.75">
      <c r="B13" s="948" t="s">
        <v>1731</v>
      </c>
      <c r="C13" s="951" t="s">
        <v>1732</v>
      </c>
      <c r="D13" s="951" t="s">
        <v>1733</v>
      </c>
      <c r="E13" s="951" t="s">
        <v>1734</v>
      </c>
      <c r="F13" s="951" t="s">
        <v>1735</v>
      </c>
      <c r="G13" s="951" t="s">
        <v>1736</v>
      </c>
    </row>
    <row r="14" spans="2:8" ht="38.25">
      <c r="B14" s="942" t="s">
        <v>1737</v>
      </c>
      <c r="C14" s="951" t="s">
        <v>1738</v>
      </c>
      <c r="D14" s="951" t="s">
        <v>1739</v>
      </c>
      <c r="E14" s="951" t="s">
        <v>1740</v>
      </c>
      <c r="F14" s="951" t="s">
        <v>1741</v>
      </c>
      <c r="G14" s="951" t="s">
        <v>1742</v>
      </c>
    </row>
    <row r="15" spans="2:8" ht="89.25">
      <c r="B15" s="948" t="s">
        <v>1743</v>
      </c>
      <c r="C15" s="951" t="s">
        <v>1744</v>
      </c>
      <c r="D15" s="951" t="s">
        <v>1745</v>
      </c>
      <c r="E15" s="951" t="s">
        <v>1746</v>
      </c>
      <c r="F15" s="951" t="s">
        <v>1747</v>
      </c>
      <c r="G15" s="951" t="s">
        <v>1748</v>
      </c>
    </row>
    <row r="16" spans="2:8" ht="51" customHeight="1">
      <c r="B16" s="948" t="s">
        <v>1749</v>
      </c>
      <c r="C16" s="951" t="s">
        <v>1750</v>
      </c>
      <c r="D16" s="951" t="s">
        <v>1750</v>
      </c>
      <c r="E16" s="951" t="s">
        <v>1750</v>
      </c>
      <c r="F16" s="951" t="s">
        <v>1751</v>
      </c>
      <c r="G16" s="951" t="s">
        <v>1752</v>
      </c>
    </row>
    <row r="17" spans="2:7" ht="119.25" customHeight="1">
      <c r="B17" s="942" t="s">
        <v>1749</v>
      </c>
      <c r="C17" s="952" t="s">
        <v>1753</v>
      </c>
      <c r="D17" s="953" t="s">
        <v>1754</v>
      </c>
      <c r="E17" s="954" t="s">
        <v>1755</v>
      </c>
      <c r="F17" s="955" t="s">
        <v>1756</v>
      </c>
      <c r="G17" s="955" t="s">
        <v>1757</v>
      </c>
    </row>
    <row r="18" spans="2:7" ht="114.75">
      <c r="B18" s="942" t="s">
        <v>1758</v>
      </c>
      <c r="C18" s="951" t="s">
        <v>1759</v>
      </c>
      <c r="D18" s="951" t="s">
        <v>1760</v>
      </c>
      <c r="E18" s="951" t="s">
        <v>1761</v>
      </c>
      <c r="F18" s="951" t="s">
        <v>1762</v>
      </c>
      <c r="G18" s="951" t="s">
        <v>1763</v>
      </c>
    </row>
    <row r="19" spans="2:7" ht="89.25">
      <c r="B19" s="948" t="s">
        <v>1764</v>
      </c>
      <c r="C19" s="951" t="s">
        <v>1765</v>
      </c>
      <c r="D19" s="951" t="s">
        <v>1766</v>
      </c>
      <c r="E19" s="951" t="s">
        <v>1767</v>
      </c>
      <c r="F19" s="951" t="s">
        <v>1768</v>
      </c>
      <c r="G19" s="951" t="s">
        <v>1769</v>
      </c>
    </row>
    <row r="20" spans="2:7" ht="51">
      <c r="B20" s="948" t="s">
        <v>1770</v>
      </c>
      <c r="C20" s="951" t="s">
        <v>1771</v>
      </c>
      <c r="D20" s="951" t="s">
        <v>1772</v>
      </c>
      <c r="E20" s="951" t="s">
        <v>1773</v>
      </c>
      <c r="F20" s="951" t="s">
        <v>1774</v>
      </c>
      <c r="G20" s="951" t="s">
        <v>1775</v>
      </c>
    </row>
    <row r="21" spans="2:7" ht="76.5">
      <c r="B21" s="948" t="s">
        <v>1776</v>
      </c>
      <c r="C21" s="954" t="s">
        <v>1777</v>
      </c>
      <c r="D21" s="951" t="s">
        <v>1778</v>
      </c>
      <c r="E21" s="951" t="s">
        <v>1779</v>
      </c>
      <c r="F21" s="951" t="s">
        <v>1780</v>
      </c>
      <c r="G21" s="951" t="s">
        <v>1781</v>
      </c>
    </row>
    <row r="23" spans="2:7">
      <c r="B23" s="956" t="s">
        <v>1782</v>
      </c>
      <c r="C23" s="957" t="s">
        <v>1783</v>
      </c>
      <c r="D23" s="958"/>
      <c r="E23" s="958"/>
    </row>
  </sheetData>
  <mergeCells count="1">
    <mergeCell ref="B3:G3"/>
  </mergeCells>
  <hyperlinks>
    <hyperlink ref="C23" r:id="rId1" xr:uid="{4AAA8D13-5AE5-4EA2-A25A-A5C09982A9E4}"/>
  </hyperlinks>
  <pageMargins left="0.75" right="0.75" top="1" bottom="1" header="0.5" footer="0.5"/>
  <pageSetup orientation="portrait" verticalDpi="0" r:id="rId2"/>
  <headerFooter alignWithMargins="0"/>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0150-ADFE-49FA-BF11-DCB096E23FA8}">
  <sheetPr codeName="Hoja25">
    <tabColor indexed="11"/>
  </sheetPr>
  <dimension ref="B2:J22"/>
  <sheetViews>
    <sheetView topLeftCell="B1" workbookViewId="0">
      <selection activeCell="A9" sqref="A9:XFD10"/>
    </sheetView>
  </sheetViews>
  <sheetFormatPr baseColWidth="10" defaultColWidth="9.140625" defaultRowHeight="12.75"/>
  <cols>
    <col min="1" max="1" width="3.28515625" style="936" customWidth="1"/>
    <col min="2" max="2" width="25" style="936" customWidth="1"/>
    <col min="3" max="3" width="33.7109375" style="936" customWidth="1"/>
    <col min="4" max="6" width="28.85546875" style="936" customWidth="1"/>
    <col min="7" max="7" width="39.5703125" style="936" customWidth="1"/>
    <col min="8" max="8" width="9.140625" style="936"/>
    <col min="9" max="9" width="9.7109375" style="936" bestFit="1" customWidth="1"/>
    <col min="10" max="16384" width="9.140625" style="936"/>
  </cols>
  <sheetData>
    <row r="2" spans="2:10" ht="18.75" customHeight="1">
      <c r="B2" s="1407" t="s">
        <v>1784</v>
      </c>
      <c r="C2" s="1408"/>
      <c r="D2" s="1408"/>
      <c r="E2" s="1408"/>
      <c r="F2" s="1408"/>
      <c r="G2" s="1408"/>
    </row>
    <row r="3" spans="2:10" ht="25.5">
      <c r="B3" s="937" t="s">
        <v>1689</v>
      </c>
      <c r="C3" s="938" t="s">
        <v>1690</v>
      </c>
      <c r="D3" s="939" t="s">
        <v>1785</v>
      </c>
      <c r="E3" s="939" t="s">
        <v>1692</v>
      </c>
      <c r="F3" s="939" t="s">
        <v>1693</v>
      </c>
      <c r="G3" s="939" t="s">
        <v>1693</v>
      </c>
    </row>
    <row r="4" spans="2:10" ht="15.75">
      <c r="B4" s="940" t="s">
        <v>1689</v>
      </c>
      <c r="C4" s="941" t="s">
        <v>1694</v>
      </c>
      <c r="D4" s="941" t="s">
        <v>1695</v>
      </c>
      <c r="E4" s="941" t="s">
        <v>1696</v>
      </c>
      <c r="F4" s="941" t="s">
        <v>1697</v>
      </c>
      <c r="G4" s="941" t="s">
        <v>1698</v>
      </c>
    </row>
    <row r="5" spans="2:10">
      <c r="B5" s="942" t="s">
        <v>1699</v>
      </c>
      <c r="C5" s="943">
        <v>0.02</v>
      </c>
      <c r="D5" s="943">
        <v>0.08</v>
      </c>
      <c r="E5" s="943">
        <v>0.35</v>
      </c>
      <c r="F5" s="943">
        <v>0.4</v>
      </c>
      <c r="G5" s="943">
        <v>0.15</v>
      </c>
      <c r="H5" s="947"/>
    </row>
    <row r="6" spans="2:10" ht="25.5">
      <c r="B6" s="945" t="s">
        <v>1700</v>
      </c>
      <c r="C6" s="959">
        <v>148813.24</v>
      </c>
      <c r="D6" s="959">
        <v>595252.96</v>
      </c>
      <c r="E6" s="959">
        <v>2604231.7000000002</v>
      </c>
      <c r="F6" s="959">
        <v>2976264.8</v>
      </c>
      <c r="G6" s="959">
        <v>1116099.3</v>
      </c>
      <c r="I6" s="960"/>
    </row>
    <row r="7" spans="2:10" ht="25.5">
      <c r="B7" s="942" t="s">
        <v>1701</v>
      </c>
      <c r="C7" s="950" t="s">
        <v>1702</v>
      </c>
      <c r="D7" s="950" t="s">
        <v>1703</v>
      </c>
      <c r="E7" s="950" t="s">
        <v>1704</v>
      </c>
      <c r="F7" s="950" t="s">
        <v>1705</v>
      </c>
      <c r="G7" s="950" t="s">
        <v>1706</v>
      </c>
    </row>
    <row r="8" spans="2:10" ht="25.5">
      <c r="B8" s="948" t="s">
        <v>1707</v>
      </c>
      <c r="C8" s="951" t="s">
        <v>1786</v>
      </c>
      <c r="D8" s="950" t="s">
        <v>1787</v>
      </c>
      <c r="E8" s="950" t="s">
        <v>1788</v>
      </c>
      <c r="F8" s="950" t="s">
        <v>1789</v>
      </c>
      <c r="G8" s="950" t="s">
        <v>1790</v>
      </c>
    </row>
    <row r="9" spans="2:10" ht="51">
      <c r="B9" s="948" t="s">
        <v>1713</v>
      </c>
      <c r="C9" s="951" t="s">
        <v>1714</v>
      </c>
      <c r="D9" s="951" t="s">
        <v>1715</v>
      </c>
      <c r="E9" s="951" t="s">
        <v>1716</v>
      </c>
      <c r="F9" s="951" t="s">
        <v>1717</v>
      </c>
      <c r="G9" s="951" t="s">
        <v>1791</v>
      </c>
      <c r="J9" s="949"/>
    </row>
    <row r="10" spans="2:10" ht="89.25">
      <c r="B10" s="948" t="s">
        <v>1719</v>
      </c>
      <c r="C10" s="951" t="s">
        <v>1720</v>
      </c>
      <c r="D10" s="951" t="s">
        <v>1721</v>
      </c>
      <c r="E10" s="951" t="s">
        <v>1722</v>
      </c>
      <c r="F10" s="951" t="s">
        <v>1792</v>
      </c>
      <c r="G10" s="951" t="s">
        <v>1724</v>
      </c>
    </row>
    <row r="11" spans="2:10" ht="38.25">
      <c r="B11" s="942" t="s">
        <v>1725</v>
      </c>
      <c r="C11" s="951" t="s">
        <v>1793</v>
      </c>
      <c r="D11" s="951" t="s">
        <v>1794</v>
      </c>
      <c r="E11" s="951" t="s">
        <v>1795</v>
      </c>
      <c r="F11" s="951" t="s">
        <v>1796</v>
      </c>
      <c r="G11" s="951" t="s">
        <v>1796</v>
      </c>
    </row>
    <row r="12" spans="2:10" ht="89.25">
      <c r="B12" s="948" t="s">
        <v>1731</v>
      </c>
      <c r="C12" s="951" t="s">
        <v>1797</v>
      </c>
      <c r="D12" s="951" t="s">
        <v>1798</v>
      </c>
      <c r="E12" s="951" t="s">
        <v>1799</v>
      </c>
      <c r="F12" s="951" t="s">
        <v>1800</v>
      </c>
      <c r="G12" s="951" t="s">
        <v>1800</v>
      </c>
    </row>
    <row r="13" spans="2:10" ht="38.25">
      <c r="B13" s="942" t="s">
        <v>1737</v>
      </c>
      <c r="C13" s="951" t="s">
        <v>1738</v>
      </c>
      <c r="D13" s="951" t="s">
        <v>1801</v>
      </c>
      <c r="E13" s="951" t="s">
        <v>1802</v>
      </c>
      <c r="F13" s="961" t="s">
        <v>1742</v>
      </c>
      <c r="G13" s="961" t="s">
        <v>1742</v>
      </c>
    </row>
    <row r="14" spans="2:10" ht="76.5">
      <c r="B14" s="948" t="s">
        <v>1743</v>
      </c>
      <c r="C14" s="951" t="s">
        <v>1744</v>
      </c>
      <c r="D14" s="951" t="s">
        <v>1803</v>
      </c>
      <c r="E14" s="951" t="s">
        <v>1746</v>
      </c>
      <c r="F14" s="951" t="s">
        <v>1804</v>
      </c>
      <c r="G14" s="951" t="s">
        <v>1805</v>
      </c>
    </row>
    <row r="15" spans="2:10" ht="51" customHeight="1">
      <c r="B15" s="948" t="s">
        <v>1749</v>
      </c>
      <c r="C15" s="951" t="s">
        <v>1750</v>
      </c>
      <c r="D15" s="951" t="s">
        <v>1750</v>
      </c>
      <c r="E15" s="961" t="s">
        <v>1806</v>
      </c>
      <c r="F15" s="961" t="s">
        <v>1751</v>
      </c>
      <c r="G15" s="961" t="s">
        <v>1807</v>
      </c>
    </row>
    <row r="16" spans="2:10" ht="119.25" customHeight="1">
      <c r="B16" s="942" t="s">
        <v>1749</v>
      </c>
      <c r="C16" s="961" t="s">
        <v>1808</v>
      </c>
      <c r="D16" s="961" t="s">
        <v>1809</v>
      </c>
      <c r="E16" s="954" t="s">
        <v>1810</v>
      </c>
      <c r="F16" s="961" t="s">
        <v>1811</v>
      </c>
      <c r="G16" s="961" t="s">
        <v>1812</v>
      </c>
      <c r="I16" s="949"/>
    </row>
    <row r="17" spans="2:9" ht="102">
      <c r="B17" s="942" t="s">
        <v>1758</v>
      </c>
      <c r="C17" s="951" t="s">
        <v>1759</v>
      </c>
      <c r="D17" s="951" t="s">
        <v>1760</v>
      </c>
      <c r="E17" s="951" t="s">
        <v>1761</v>
      </c>
      <c r="F17" s="951" t="s">
        <v>1762</v>
      </c>
      <c r="G17" s="951" t="s">
        <v>1763</v>
      </c>
      <c r="I17" s="949"/>
    </row>
    <row r="18" spans="2:9" ht="76.5">
      <c r="B18" s="948" t="s">
        <v>1764</v>
      </c>
      <c r="C18" s="951" t="s">
        <v>1765</v>
      </c>
      <c r="D18" s="951" t="s">
        <v>1766</v>
      </c>
      <c r="E18" s="951" t="s">
        <v>1767</v>
      </c>
      <c r="F18" s="951" t="s">
        <v>1768</v>
      </c>
      <c r="G18" s="951" t="s">
        <v>1769</v>
      </c>
    </row>
    <row r="19" spans="2:9" ht="38.25">
      <c r="B19" s="948" t="s">
        <v>1770</v>
      </c>
      <c r="C19" s="951" t="s">
        <v>1771</v>
      </c>
      <c r="D19" s="951" t="s">
        <v>1772</v>
      </c>
      <c r="E19" s="951" t="s">
        <v>1773</v>
      </c>
      <c r="F19" s="951" t="s">
        <v>1774</v>
      </c>
      <c r="G19" s="951" t="s">
        <v>1775</v>
      </c>
    </row>
    <row r="20" spans="2:9" ht="63.75">
      <c r="B20" s="948" t="s">
        <v>1776</v>
      </c>
      <c r="C20" s="954" t="s">
        <v>1777</v>
      </c>
      <c r="D20" s="951" t="s">
        <v>1778</v>
      </c>
      <c r="E20" s="951" t="s">
        <v>1779</v>
      </c>
      <c r="F20" s="951" t="s">
        <v>1780</v>
      </c>
      <c r="G20" s="951" t="s">
        <v>1781</v>
      </c>
    </row>
    <row r="22" spans="2:9">
      <c r="B22" s="956" t="s">
        <v>1813</v>
      </c>
      <c r="C22" s="936" t="s">
        <v>1814</v>
      </c>
    </row>
  </sheetData>
  <mergeCells count="1">
    <mergeCell ref="B2:G2"/>
  </mergeCells>
  <pageMargins left="0.75" right="0.75" top="1" bottom="1" header="0.5" footer="0.5"/>
  <pageSetup orientation="portrait" verticalDpi="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67B3-C8CF-446B-8F85-54F3308BA30C}">
  <sheetPr codeName="Hoja26"/>
  <dimension ref="B1:H22"/>
  <sheetViews>
    <sheetView showGridLines="0" topLeftCell="B1" zoomScale="70" workbookViewId="0">
      <selection activeCell="A9" sqref="A9:XFD10"/>
    </sheetView>
  </sheetViews>
  <sheetFormatPr baseColWidth="10" defaultColWidth="18.28515625" defaultRowHeight="52.5" customHeight="1"/>
  <cols>
    <col min="1" max="1" width="2.140625" style="936" customWidth="1"/>
    <col min="2" max="2" width="25.28515625" style="936" customWidth="1"/>
    <col min="3" max="3" width="54.85546875" style="936" customWidth="1"/>
    <col min="4" max="4" width="51.42578125" style="936" bestFit="1" customWidth="1"/>
    <col min="5" max="5" width="42.5703125" style="936" bestFit="1" customWidth="1"/>
    <col min="6" max="6" width="38.7109375" style="936" bestFit="1" customWidth="1"/>
    <col min="7" max="7" width="39.7109375" style="936" bestFit="1" customWidth="1"/>
    <col min="8" max="8" width="24.28515625" style="936" customWidth="1"/>
    <col min="9" max="16384" width="18.28515625" style="936"/>
  </cols>
  <sheetData>
    <row r="1" spans="2:8" ht="12.75">
      <c r="G1" s="962"/>
    </row>
    <row r="2" spans="2:8" ht="18">
      <c r="B2" s="1407" t="s">
        <v>1784</v>
      </c>
      <c r="C2" s="1408"/>
      <c r="D2" s="1408"/>
      <c r="E2" s="1408"/>
      <c r="F2" s="1408"/>
      <c r="G2" s="1408"/>
    </row>
    <row r="3" spans="2:8" ht="15.75">
      <c r="B3" s="963" t="s">
        <v>1815</v>
      </c>
      <c r="C3" s="1409" t="s">
        <v>1816</v>
      </c>
      <c r="D3" s="1410"/>
      <c r="E3" s="964" t="s">
        <v>1817</v>
      </c>
      <c r="F3" s="964" t="s">
        <v>1818</v>
      </c>
      <c r="G3" s="964" t="s">
        <v>1819</v>
      </c>
    </row>
    <row r="4" spans="2:8" ht="15.75">
      <c r="B4" s="940" t="s">
        <v>1815</v>
      </c>
      <c r="C4" s="941" t="s">
        <v>1694</v>
      </c>
      <c r="D4" s="941" t="s">
        <v>1695</v>
      </c>
      <c r="E4" s="941" t="s">
        <v>1820</v>
      </c>
      <c r="F4" s="941" t="s">
        <v>183</v>
      </c>
      <c r="G4" s="941" t="s">
        <v>1698</v>
      </c>
    </row>
    <row r="5" spans="2:8" ht="12.75">
      <c r="B5" s="942" t="s">
        <v>1821</v>
      </c>
      <c r="C5" s="944">
        <v>0.01</v>
      </c>
      <c r="D5" s="944">
        <v>7.0000000000000007E-2</v>
      </c>
      <c r="E5" s="944">
        <v>0.32</v>
      </c>
      <c r="F5" s="944">
        <v>0.35</v>
      </c>
      <c r="G5" s="944">
        <v>0.25</v>
      </c>
      <c r="H5" s="962"/>
    </row>
    <row r="6" spans="2:8" ht="25.5">
      <c r="B6" s="945" t="s">
        <v>1700</v>
      </c>
      <c r="C6" s="946">
        <v>58155.26</v>
      </c>
      <c r="D6" s="946">
        <v>407086.82</v>
      </c>
      <c r="E6" s="946">
        <v>1860968.32</v>
      </c>
      <c r="F6" s="946">
        <v>2035434.1</v>
      </c>
      <c r="G6" s="946">
        <v>1453881.5</v>
      </c>
    </row>
    <row r="7" spans="2:8" ht="25.5">
      <c r="B7" s="942" t="s">
        <v>1701</v>
      </c>
      <c r="C7" s="965" t="s">
        <v>1822</v>
      </c>
      <c r="D7" s="965" t="s">
        <v>1823</v>
      </c>
      <c r="E7" s="965" t="s">
        <v>1824</v>
      </c>
      <c r="F7" s="965" t="s">
        <v>1825</v>
      </c>
      <c r="G7" s="950" t="s">
        <v>1826</v>
      </c>
      <c r="H7" s="966"/>
    </row>
    <row r="8" spans="2:8" ht="15.75" customHeight="1">
      <c r="B8" s="948" t="s">
        <v>1707</v>
      </c>
      <c r="C8" s="951" t="s">
        <v>1827</v>
      </c>
      <c r="D8" s="965" t="s">
        <v>1828</v>
      </c>
      <c r="E8" s="965" t="s">
        <v>1829</v>
      </c>
      <c r="F8" s="965" t="s">
        <v>1830</v>
      </c>
      <c r="G8" s="965" t="s">
        <v>1831</v>
      </c>
    </row>
    <row r="9" spans="2:8" ht="25.5">
      <c r="B9" s="948" t="s">
        <v>1713</v>
      </c>
      <c r="C9" s="951" t="s">
        <v>1832</v>
      </c>
      <c r="D9" s="951" t="s">
        <v>1833</v>
      </c>
      <c r="E9" s="951" t="s">
        <v>1834</v>
      </c>
      <c r="F9" s="951" t="s">
        <v>1835</v>
      </c>
      <c r="G9" s="951" t="s">
        <v>1836</v>
      </c>
    </row>
    <row r="10" spans="2:8" ht="25.5">
      <c r="B10" s="948" t="s">
        <v>1719</v>
      </c>
      <c r="C10" s="951" t="s">
        <v>1837</v>
      </c>
      <c r="D10" s="951" t="s">
        <v>1838</v>
      </c>
      <c r="E10" s="951" t="s">
        <v>1839</v>
      </c>
      <c r="F10" s="951" t="s">
        <v>1840</v>
      </c>
      <c r="G10" s="951" t="s">
        <v>1841</v>
      </c>
    </row>
    <row r="11" spans="2:8" ht="38.25">
      <c r="B11" s="942" t="s">
        <v>1725</v>
      </c>
      <c r="C11" s="951" t="s">
        <v>1842</v>
      </c>
      <c r="D11" s="951" t="s">
        <v>1843</v>
      </c>
      <c r="E11" s="951" t="s">
        <v>1844</v>
      </c>
      <c r="F11" s="951" t="s">
        <v>1845</v>
      </c>
      <c r="G11" s="951" t="s">
        <v>1846</v>
      </c>
    </row>
    <row r="12" spans="2:8" ht="63.75">
      <c r="B12" s="948" t="s">
        <v>1731</v>
      </c>
      <c r="C12" s="951" t="s">
        <v>1847</v>
      </c>
      <c r="D12" s="951" t="s">
        <v>1848</v>
      </c>
      <c r="E12" s="951" t="s">
        <v>1849</v>
      </c>
      <c r="F12" s="951" t="s">
        <v>1850</v>
      </c>
      <c r="G12" s="951" t="s">
        <v>1851</v>
      </c>
    </row>
    <row r="13" spans="2:8" ht="54" customHeight="1">
      <c r="B13" s="942" t="s">
        <v>1737</v>
      </c>
      <c r="C13" s="951" t="s">
        <v>1852</v>
      </c>
      <c r="D13" s="951" t="s">
        <v>1853</v>
      </c>
      <c r="E13" s="951" t="s">
        <v>1854</v>
      </c>
      <c r="F13" s="951" t="s">
        <v>1855</v>
      </c>
      <c r="G13" s="961" t="s">
        <v>1856</v>
      </c>
    </row>
    <row r="14" spans="2:8" ht="97.5" customHeight="1">
      <c r="B14" s="948" t="s">
        <v>1743</v>
      </c>
      <c r="C14" s="951" t="s">
        <v>1857</v>
      </c>
      <c r="D14" s="951" t="s">
        <v>1858</v>
      </c>
      <c r="E14" s="951" t="s">
        <v>1859</v>
      </c>
      <c r="F14" s="951" t="s">
        <v>1860</v>
      </c>
      <c r="G14" s="961" t="s">
        <v>1861</v>
      </c>
    </row>
    <row r="15" spans="2:8" ht="69.75" customHeight="1">
      <c r="B15" s="948" t="s">
        <v>1749</v>
      </c>
      <c r="C15" s="951" t="s">
        <v>1750</v>
      </c>
      <c r="D15" s="951" t="s">
        <v>1750</v>
      </c>
      <c r="E15" s="951" t="s">
        <v>1750</v>
      </c>
      <c r="F15" s="961" t="s">
        <v>1862</v>
      </c>
      <c r="G15" s="951" t="s">
        <v>1863</v>
      </c>
    </row>
    <row r="16" spans="2:8" ht="125.25" customHeight="1">
      <c r="B16" s="942" t="s">
        <v>1749</v>
      </c>
      <c r="C16" s="961" t="s">
        <v>1864</v>
      </c>
      <c r="D16" s="961" t="s">
        <v>1865</v>
      </c>
      <c r="E16" s="961" t="s">
        <v>1866</v>
      </c>
      <c r="F16" s="954" t="s">
        <v>1867</v>
      </c>
      <c r="G16" s="961" t="s">
        <v>1868</v>
      </c>
      <c r="H16" s="949"/>
    </row>
    <row r="17" spans="2:7" ht="102" customHeight="1">
      <c r="B17" s="942" t="s">
        <v>1758</v>
      </c>
      <c r="C17" s="951" t="s">
        <v>1869</v>
      </c>
      <c r="D17" s="951" t="s">
        <v>1870</v>
      </c>
      <c r="E17" s="951" t="s">
        <v>1761</v>
      </c>
      <c r="F17" s="951" t="s">
        <v>1871</v>
      </c>
      <c r="G17" s="951" t="s">
        <v>1872</v>
      </c>
    </row>
    <row r="18" spans="2:7" ht="51">
      <c r="B18" s="948" t="s">
        <v>1764</v>
      </c>
      <c r="C18" s="951" t="s">
        <v>1765</v>
      </c>
      <c r="D18" s="951" t="s">
        <v>1766</v>
      </c>
      <c r="E18" s="951" t="s">
        <v>1873</v>
      </c>
      <c r="F18" s="951" t="s">
        <v>1874</v>
      </c>
      <c r="G18" s="951" t="s">
        <v>1875</v>
      </c>
    </row>
    <row r="19" spans="2:7" ht="25.5">
      <c r="B19" s="948" t="s">
        <v>1770</v>
      </c>
      <c r="C19" s="951" t="s">
        <v>1771</v>
      </c>
      <c r="D19" s="951" t="s">
        <v>1772</v>
      </c>
      <c r="E19" s="951" t="s">
        <v>1876</v>
      </c>
      <c r="F19" s="951" t="s">
        <v>1877</v>
      </c>
      <c r="G19" s="961" t="s">
        <v>1565</v>
      </c>
    </row>
    <row r="20" spans="2:7" ht="38.25">
      <c r="B20" s="948" t="s">
        <v>1776</v>
      </c>
      <c r="C20" s="954" t="s">
        <v>1777</v>
      </c>
      <c r="D20" s="951" t="s">
        <v>1778</v>
      </c>
      <c r="E20" s="951" t="s">
        <v>1779</v>
      </c>
      <c r="F20" s="951" t="s">
        <v>1878</v>
      </c>
      <c r="G20" s="951" t="s">
        <v>1879</v>
      </c>
    </row>
    <row r="21" spans="2:7" ht="42.75" customHeight="1">
      <c r="B21" s="956"/>
      <c r="C21" s="958"/>
      <c r="D21" s="958"/>
      <c r="E21" s="953"/>
      <c r="F21" s="953"/>
      <c r="G21" s="953"/>
    </row>
    <row r="22" spans="2:7" ht="52.5" customHeight="1">
      <c r="B22" s="956" t="s">
        <v>1880</v>
      </c>
      <c r="C22" s="967" t="s">
        <v>1881</v>
      </c>
    </row>
  </sheetData>
  <mergeCells count="2">
    <mergeCell ref="B2:G2"/>
    <mergeCell ref="C3:D3"/>
  </mergeCells>
  <pageMargins left="0.75" right="0.75" top="1" bottom="1" header="0.5" footer="0.5"/>
  <pageSetup orientation="portrait" horizontalDpi="4294967293" verticalDpi="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E80C-49C6-4C16-A80A-B6BF6D633E6A}">
  <sheetPr codeName="Hoja27">
    <tabColor indexed="11"/>
  </sheetPr>
  <dimension ref="A1:L24"/>
  <sheetViews>
    <sheetView showGridLines="0" zoomScale="75" workbookViewId="0">
      <pane ySplit="11" topLeftCell="A12" activePane="bottomLeft" state="frozen"/>
      <selection activeCell="A9" sqref="A9:XFD10"/>
      <selection pane="bottomLeft" activeCell="A9" sqref="A9:XFD10"/>
    </sheetView>
  </sheetViews>
  <sheetFormatPr baseColWidth="10" defaultColWidth="18.28515625" defaultRowHeight="52.5" customHeight="1"/>
  <cols>
    <col min="1" max="1" width="28" style="936" customWidth="1"/>
    <col min="2" max="2" width="41.140625" style="936" customWidth="1"/>
    <col min="3" max="3" width="41.7109375" style="936" customWidth="1"/>
    <col min="4" max="4" width="47.140625" style="936" customWidth="1"/>
    <col min="5" max="5" width="51.140625" style="936" customWidth="1"/>
    <col min="6" max="6" width="42.140625" style="936" customWidth="1"/>
    <col min="7" max="7" width="6.140625" style="936" customWidth="1"/>
    <col min="8" max="8" width="9.85546875" style="936" customWidth="1"/>
    <col min="9" max="16384" width="18.28515625" style="936"/>
  </cols>
  <sheetData>
    <row r="1" spans="1:12" ht="12.75" hidden="1" customHeight="1">
      <c r="F1" s="962"/>
    </row>
    <row r="2" spans="1:12" ht="18" hidden="1" customHeight="1">
      <c r="A2" s="978" t="s">
        <v>1913</v>
      </c>
      <c r="B2" s="978"/>
      <c r="C2" s="978"/>
      <c r="D2" s="978"/>
      <c r="E2" s="978"/>
      <c r="F2" s="978"/>
    </row>
    <row r="3" spans="1:12" ht="18" hidden="1" customHeight="1">
      <c r="A3" s="978" t="s">
        <v>1914</v>
      </c>
      <c r="B3" s="978"/>
      <c r="C3" s="978"/>
      <c r="D3" s="978"/>
      <c r="E3" s="978"/>
      <c r="F3" s="978"/>
    </row>
    <row r="4" spans="1:12" ht="17.25" customHeight="1">
      <c r="A4" s="1408" t="s">
        <v>1915</v>
      </c>
      <c r="B4" s="1408"/>
      <c r="C4" s="1408"/>
      <c r="D4" s="1408"/>
      <c r="E4" s="1408"/>
      <c r="F4" s="1408"/>
    </row>
    <row r="5" spans="1:12" ht="15.75">
      <c r="A5" s="937" t="s">
        <v>1689</v>
      </c>
      <c r="B5" s="938" t="s">
        <v>1690</v>
      </c>
      <c r="C5" s="939" t="s">
        <v>1785</v>
      </c>
      <c r="D5" s="939" t="s">
        <v>1692</v>
      </c>
      <c r="E5" s="939" t="s">
        <v>1693</v>
      </c>
      <c r="F5" s="939" t="s">
        <v>1693</v>
      </c>
    </row>
    <row r="6" spans="1:12" ht="15.75">
      <c r="A6" s="979" t="s">
        <v>1815</v>
      </c>
      <c r="B6" s="941" t="s">
        <v>1694</v>
      </c>
      <c r="C6" s="941" t="s">
        <v>1695</v>
      </c>
      <c r="D6" s="941" t="s">
        <v>1696</v>
      </c>
      <c r="E6" s="941" t="s">
        <v>1697</v>
      </c>
      <c r="F6" s="941" t="s">
        <v>1698</v>
      </c>
    </row>
    <row r="7" spans="1:12" ht="12.75">
      <c r="A7" s="942" t="s">
        <v>1821</v>
      </c>
      <c r="B7" s="944">
        <v>0.01</v>
      </c>
      <c r="C7" s="944">
        <v>0.08</v>
      </c>
      <c r="D7" s="944">
        <v>0.32</v>
      </c>
      <c r="E7" s="944">
        <v>0.38</v>
      </c>
      <c r="F7" s="944">
        <v>0.21</v>
      </c>
      <c r="G7" s="971"/>
      <c r="H7" s="980"/>
      <c r="I7" s="980"/>
      <c r="J7" s="980"/>
      <c r="K7" s="980"/>
      <c r="L7" s="980"/>
    </row>
    <row r="8" spans="1:12" ht="25.5">
      <c r="A8" s="945" t="s">
        <v>1700</v>
      </c>
      <c r="B8" s="981">
        <v>80459.899999999994</v>
      </c>
      <c r="C8" s="981">
        <v>643679.19999999995</v>
      </c>
      <c r="D8" s="981">
        <v>2574716.7999999998</v>
      </c>
      <c r="E8" s="981">
        <v>3057476.2</v>
      </c>
      <c r="F8" s="981">
        <v>1689657.9</v>
      </c>
      <c r="H8" s="980"/>
      <c r="I8" s="980" t="s">
        <v>1916</v>
      </c>
      <c r="J8" s="982"/>
      <c r="K8" s="980"/>
      <c r="L8" s="980"/>
    </row>
    <row r="9" spans="1:12" ht="25.5">
      <c r="A9" s="942" t="s">
        <v>1701</v>
      </c>
      <c r="B9" s="965" t="s">
        <v>1917</v>
      </c>
      <c r="C9" s="965" t="s">
        <v>1918</v>
      </c>
      <c r="D9" s="965" t="s">
        <v>1919</v>
      </c>
      <c r="E9" s="965" t="s">
        <v>1920</v>
      </c>
      <c r="F9" s="950" t="s">
        <v>1921</v>
      </c>
      <c r="G9" s="966"/>
    </row>
    <row r="10" spans="1:12" ht="41.25" customHeight="1">
      <c r="A10" s="948" t="s">
        <v>1707</v>
      </c>
      <c r="B10" s="951" t="s">
        <v>1922</v>
      </c>
      <c r="C10" s="950" t="s">
        <v>1923</v>
      </c>
      <c r="D10" s="965" t="s">
        <v>1924</v>
      </c>
      <c r="E10" s="965" t="s">
        <v>1925</v>
      </c>
      <c r="F10" s="965" t="s">
        <v>1926</v>
      </c>
    </row>
    <row r="11" spans="1:12" ht="25.5">
      <c r="A11" s="948" t="s">
        <v>1713</v>
      </c>
      <c r="B11" s="951" t="s">
        <v>1714</v>
      </c>
      <c r="C11" s="951" t="s">
        <v>1927</v>
      </c>
      <c r="D11" s="951" t="s">
        <v>1928</v>
      </c>
      <c r="E11" s="951" t="s">
        <v>1929</v>
      </c>
      <c r="F11" s="951" t="s">
        <v>1791</v>
      </c>
    </row>
    <row r="12" spans="1:12" ht="51">
      <c r="A12" s="948" t="s">
        <v>1719</v>
      </c>
      <c r="B12" s="951" t="s">
        <v>1720</v>
      </c>
      <c r="C12" s="951" t="s">
        <v>1721</v>
      </c>
      <c r="D12" s="951" t="s">
        <v>1930</v>
      </c>
      <c r="E12" s="951" t="s">
        <v>1931</v>
      </c>
      <c r="F12" s="951" t="s">
        <v>1932</v>
      </c>
    </row>
    <row r="13" spans="1:12" ht="76.5">
      <c r="A13" s="942" t="s">
        <v>1725</v>
      </c>
      <c r="B13" s="951" t="s">
        <v>1933</v>
      </c>
      <c r="C13" s="951" t="s">
        <v>1934</v>
      </c>
      <c r="D13" s="951" t="s">
        <v>1935</v>
      </c>
      <c r="E13" s="951" t="s">
        <v>1936</v>
      </c>
      <c r="F13" s="951" t="s">
        <v>1937</v>
      </c>
    </row>
    <row r="14" spans="1:12" ht="76.5">
      <c r="A14" s="948" t="s">
        <v>1731</v>
      </c>
      <c r="B14" s="951" t="s">
        <v>1938</v>
      </c>
      <c r="C14" s="951" t="s">
        <v>1939</v>
      </c>
      <c r="D14" s="951" t="s">
        <v>1940</v>
      </c>
      <c r="E14" s="951" t="s">
        <v>1941</v>
      </c>
      <c r="F14" s="951" t="s">
        <v>1942</v>
      </c>
    </row>
    <row r="15" spans="1:12" ht="54" customHeight="1">
      <c r="A15" s="942" t="s">
        <v>1737</v>
      </c>
      <c r="B15" s="951" t="s">
        <v>1943</v>
      </c>
      <c r="C15" s="951" t="s">
        <v>1944</v>
      </c>
      <c r="D15" s="951" t="s">
        <v>1945</v>
      </c>
      <c r="E15" s="951" t="s">
        <v>1946</v>
      </c>
      <c r="F15" s="961" t="s">
        <v>1856</v>
      </c>
    </row>
    <row r="16" spans="1:12" ht="97.5" customHeight="1">
      <c r="A16" s="948" t="s">
        <v>1947</v>
      </c>
      <c r="B16" s="951" t="s">
        <v>1948</v>
      </c>
      <c r="C16" s="951" t="s">
        <v>1949</v>
      </c>
      <c r="D16" s="951" t="s">
        <v>1950</v>
      </c>
      <c r="E16" s="951" t="s">
        <v>1951</v>
      </c>
      <c r="F16" s="961" t="s">
        <v>1861</v>
      </c>
    </row>
    <row r="17" spans="1:6" ht="27.75" customHeight="1">
      <c r="A17" s="948" t="s">
        <v>1749</v>
      </c>
      <c r="B17" s="951" t="s">
        <v>1750</v>
      </c>
      <c r="C17" s="951" t="s">
        <v>1750</v>
      </c>
      <c r="D17" s="951" t="s">
        <v>1750</v>
      </c>
      <c r="E17" s="961" t="s">
        <v>1952</v>
      </c>
      <c r="F17" s="951" t="s">
        <v>1953</v>
      </c>
    </row>
    <row r="18" spans="1:6" ht="125.25" customHeight="1">
      <c r="A18" s="942" t="s">
        <v>1749</v>
      </c>
      <c r="B18" s="961" t="s">
        <v>1954</v>
      </c>
      <c r="C18" s="961" t="s">
        <v>1955</v>
      </c>
      <c r="D18" s="961" t="s">
        <v>1956</v>
      </c>
      <c r="E18" s="954" t="s">
        <v>1957</v>
      </c>
      <c r="F18" s="961" t="s">
        <v>1958</v>
      </c>
    </row>
    <row r="19" spans="1:6" ht="120" customHeight="1">
      <c r="A19" s="942" t="s">
        <v>1758</v>
      </c>
      <c r="B19" s="951" t="s">
        <v>1869</v>
      </c>
      <c r="C19" s="951" t="s">
        <v>1870</v>
      </c>
      <c r="D19" s="951" t="s">
        <v>1761</v>
      </c>
      <c r="E19" s="951" t="s">
        <v>1871</v>
      </c>
      <c r="F19" s="951" t="s">
        <v>1763</v>
      </c>
    </row>
    <row r="20" spans="1:6" ht="73.5" customHeight="1">
      <c r="A20" s="1411" t="s">
        <v>1959</v>
      </c>
      <c r="B20" s="951" t="s">
        <v>1765</v>
      </c>
      <c r="C20" s="951" t="s">
        <v>1766</v>
      </c>
      <c r="D20" s="951" t="s">
        <v>1873</v>
      </c>
      <c r="E20" s="951" t="s">
        <v>1874</v>
      </c>
      <c r="F20" s="951" t="s">
        <v>1769</v>
      </c>
    </row>
    <row r="21" spans="1:6" ht="38.25">
      <c r="A21" s="1412"/>
      <c r="B21" s="951" t="s">
        <v>1771</v>
      </c>
      <c r="C21" s="951" t="s">
        <v>1772</v>
      </c>
      <c r="D21" s="951" t="s">
        <v>1876</v>
      </c>
      <c r="E21" s="951" t="s">
        <v>1877</v>
      </c>
      <c r="F21" s="961" t="s">
        <v>1565</v>
      </c>
    </row>
    <row r="22" spans="1:6" ht="51">
      <c r="A22" s="948" t="s">
        <v>1776</v>
      </c>
      <c r="B22" s="954" t="s">
        <v>1777</v>
      </c>
      <c r="C22" s="951" t="s">
        <v>1778</v>
      </c>
      <c r="D22" s="951" t="s">
        <v>1779</v>
      </c>
      <c r="E22" s="951" t="s">
        <v>1878</v>
      </c>
      <c r="F22" s="951" t="s">
        <v>1781</v>
      </c>
    </row>
    <row r="23" spans="1:6" ht="42.75" customHeight="1">
      <c r="A23" s="956"/>
      <c r="B23" s="958"/>
      <c r="C23" s="958"/>
      <c r="D23" s="953"/>
      <c r="E23" s="953"/>
      <c r="F23" s="953"/>
    </row>
    <row r="24" spans="1:6" ht="27.75" customHeight="1">
      <c r="A24" s="936" t="s">
        <v>1813</v>
      </c>
      <c r="B24" s="967" t="s">
        <v>1960</v>
      </c>
    </row>
  </sheetData>
  <mergeCells count="2">
    <mergeCell ref="A4:F4"/>
    <mergeCell ref="A20:A21"/>
  </mergeCells>
  <pageMargins left="0.75" right="0.75" top="1" bottom="1" header="0.5" footer="0.5"/>
  <pageSetup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5691-32DA-47A6-9C08-7BA6DA9B03AB}">
  <sheetPr codeName="Hoja10"/>
  <dimension ref="A1:AA54"/>
  <sheetViews>
    <sheetView zoomScale="70" zoomScaleNormal="70" workbookViewId="0">
      <selection activeCell="I2" sqref="I2"/>
    </sheetView>
  </sheetViews>
  <sheetFormatPr baseColWidth="10" defaultRowHeight="15"/>
  <cols>
    <col min="1" max="1" width="51.28515625" customWidth="1"/>
    <col min="2" max="2" width="9.7109375" customWidth="1"/>
    <col min="9" max="9" width="18.5703125" customWidth="1"/>
    <col min="10" max="10" width="14.85546875" bestFit="1" customWidth="1"/>
    <col min="11" max="11" width="20" bestFit="1" customWidth="1"/>
    <col min="12" max="13" width="0" hidden="1" customWidth="1"/>
    <col min="14" max="14" width="11.5703125" hidden="1" customWidth="1"/>
    <col min="15" max="15" width="0" hidden="1" customWidth="1"/>
    <col min="16" max="16" width="13.28515625" hidden="1" customWidth="1"/>
    <col min="17" max="17" width="0" hidden="1" customWidth="1"/>
    <col min="18" max="18" width="15.7109375" hidden="1" customWidth="1"/>
    <col min="20" max="20" width="12" style="85" customWidth="1"/>
    <col min="21" max="21" width="19.140625" customWidth="1"/>
    <col min="22" max="22" width="15.28515625" bestFit="1" customWidth="1"/>
    <col min="25" max="25" width="14.28515625" customWidth="1"/>
    <col min="26" max="26" width="13.7109375" customWidth="1"/>
  </cols>
  <sheetData>
    <row r="1" spans="1:26" ht="105">
      <c r="A1" s="319" t="s">
        <v>536</v>
      </c>
      <c r="B1" s="320" t="s">
        <v>537</v>
      </c>
      <c r="C1" s="321" t="s">
        <v>538</v>
      </c>
      <c r="D1" s="322" t="s">
        <v>539</v>
      </c>
      <c r="E1" s="322" t="s">
        <v>540</v>
      </c>
      <c r="F1" s="322" t="s">
        <v>541</v>
      </c>
      <c r="G1" s="322" t="s">
        <v>542</v>
      </c>
      <c r="H1" s="322" t="s">
        <v>543</v>
      </c>
      <c r="I1" s="322" t="s">
        <v>544</v>
      </c>
      <c r="J1" s="322" t="s">
        <v>545</v>
      </c>
      <c r="K1" s="322" t="s">
        <v>546</v>
      </c>
      <c r="L1" s="322" t="s">
        <v>547</v>
      </c>
      <c r="M1" s="322" t="s">
        <v>548</v>
      </c>
      <c r="N1" s="322" t="s">
        <v>549</v>
      </c>
      <c r="O1" s="322" t="s">
        <v>550</v>
      </c>
      <c r="P1" s="322" t="s">
        <v>551</v>
      </c>
      <c r="Q1" s="322" t="s">
        <v>552</v>
      </c>
      <c r="R1" s="322" t="s">
        <v>553</v>
      </c>
      <c r="S1" s="322" t="s">
        <v>554</v>
      </c>
      <c r="T1" s="322" t="s">
        <v>555</v>
      </c>
      <c r="U1" s="322" t="s">
        <v>556</v>
      </c>
      <c r="V1" s="323" t="s">
        <v>557</v>
      </c>
      <c r="W1" s="324" t="s">
        <v>558</v>
      </c>
      <c r="X1" s="325" t="s">
        <v>559</v>
      </c>
      <c r="Y1" s="326" t="s">
        <v>560</v>
      </c>
      <c r="Z1" s="323" t="s">
        <v>561</v>
      </c>
    </row>
    <row r="2" spans="1:26">
      <c r="A2" s="327" t="s">
        <v>562</v>
      </c>
      <c r="B2" s="327">
        <v>1.5</v>
      </c>
      <c r="C2" s="327">
        <v>3</v>
      </c>
      <c r="D2" s="327">
        <f>B2+C2</f>
        <v>4.5</v>
      </c>
      <c r="E2" s="328">
        <v>38855</v>
      </c>
      <c r="F2" s="328">
        <v>186189</v>
      </c>
      <c r="G2" s="327">
        <v>60</v>
      </c>
      <c r="H2" s="327">
        <v>40</v>
      </c>
      <c r="I2" s="329">
        <v>6060.6060606060646</v>
      </c>
      <c r="J2" s="329">
        <f>+E2*G2/100+F2*H2/100+I2</f>
        <v>103849.20606060607</v>
      </c>
      <c r="K2" s="329">
        <f>+J2*D2</f>
        <v>467321.42727272731</v>
      </c>
      <c r="L2" s="328">
        <v>54187</v>
      </c>
      <c r="M2" s="328">
        <v>185579</v>
      </c>
      <c r="N2" s="328">
        <f t="shared" ref="N2:N27" si="0">+(L2*G2/100+M2*H2/100+I2)*C2</f>
        <v>338413.2181818182</v>
      </c>
      <c r="O2" s="330">
        <v>150</v>
      </c>
      <c r="P2" s="330"/>
      <c r="Q2" s="331" t="s">
        <v>563</v>
      </c>
      <c r="R2" s="331" t="s">
        <v>564</v>
      </c>
      <c r="S2" s="78">
        <v>3</v>
      </c>
      <c r="T2" s="332">
        <v>0.1</v>
      </c>
      <c r="U2" s="330">
        <f>+K2*1/(1-T2)</f>
        <v>519246.03030303033</v>
      </c>
      <c r="V2" s="330">
        <f>+U2*1/(1-0.2145)</f>
        <v>661038.86734949762</v>
      </c>
      <c r="W2" s="333">
        <v>0.75</v>
      </c>
      <c r="X2" s="327"/>
      <c r="Y2" s="334">
        <f t="shared" ref="Y2:Y46" si="1">IF(X2=0,0,U2+(X2-1)*ROUND(U2*W2,0))</f>
        <v>0</v>
      </c>
      <c r="Z2" s="334">
        <f t="shared" ref="Z2:Z46" si="2">IF(X2=0,0,V2+(X2-1)*ROUND(V2*W2,0))</f>
        <v>0</v>
      </c>
    </row>
    <row r="3" spans="1:26">
      <c r="A3" s="327" t="s">
        <v>565</v>
      </c>
      <c r="B3" s="327">
        <v>0.5</v>
      </c>
      <c r="C3" s="327">
        <v>18</v>
      </c>
      <c r="D3" s="327">
        <f t="shared" ref="D3:D46" si="3">B3+C3</f>
        <v>18.5</v>
      </c>
      <c r="E3" s="328">
        <v>38855</v>
      </c>
      <c r="F3" s="328">
        <v>186189</v>
      </c>
      <c r="G3" s="327">
        <v>80</v>
      </c>
      <c r="H3" s="327">
        <v>20</v>
      </c>
      <c r="I3" s="329">
        <v>6060.6060606060646</v>
      </c>
      <c r="J3" s="329">
        <f t="shared" ref="J3:J31" si="4">+E3*G3/100+F3*H3/100+I3</f>
        <v>74382.406060606067</v>
      </c>
      <c r="K3" s="329">
        <f t="shared" ref="K3:K46" si="5">+J3*D3</f>
        <v>1376074.5121212122</v>
      </c>
      <c r="L3" s="328">
        <v>54187</v>
      </c>
      <c r="M3" s="328">
        <v>185579</v>
      </c>
      <c r="N3" s="328">
        <f t="shared" si="0"/>
        <v>1557468.1090909091</v>
      </c>
      <c r="O3" s="335">
        <v>1728</v>
      </c>
      <c r="P3" s="335">
        <f>+O3*3500</f>
        <v>6048000</v>
      </c>
      <c r="Q3" s="331" t="s">
        <v>563</v>
      </c>
      <c r="R3" s="331" t="s">
        <v>566</v>
      </c>
      <c r="S3" s="78">
        <v>4</v>
      </c>
      <c r="T3" s="332">
        <v>0.12</v>
      </c>
      <c r="U3" s="330">
        <f t="shared" ref="U3:U46" si="6">+K3*1/(1-T3)</f>
        <v>1563721.0365013776</v>
      </c>
      <c r="V3" s="330">
        <f t="shared" ref="V3:V46" si="7">+U3*1/(1-0.2145)</f>
        <v>1990733.3373664897</v>
      </c>
      <c r="W3" s="333">
        <v>0.75</v>
      </c>
      <c r="X3" s="327"/>
      <c r="Y3" s="334">
        <f t="shared" si="1"/>
        <v>0</v>
      </c>
      <c r="Z3" s="334">
        <f t="shared" si="2"/>
        <v>0</v>
      </c>
    </row>
    <row r="4" spans="1:26">
      <c r="A4" s="327" t="s">
        <v>567</v>
      </c>
      <c r="B4" s="327">
        <v>4</v>
      </c>
      <c r="C4" s="327">
        <v>12</v>
      </c>
      <c r="D4" s="327">
        <f t="shared" si="3"/>
        <v>16</v>
      </c>
      <c r="E4" s="328">
        <v>38855</v>
      </c>
      <c r="F4" s="328">
        <v>186189</v>
      </c>
      <c r="G4" s="327">
        <v>60</v>
      </c>
      <c r="H4" s="327">
        <v>40</v>
      </c>
      <c r="I4" s="329">
        <v>6060.6060606060646</v>
      </c>
      <c r="J4" s="329">
        <f t="shared" si="4"/>
        <v>103849.20606060607</v>
      </c>
      <c r="K4" s="329">
        <f t="shared" si="5"/>
        <v>1661587.2969696971</v>
      </c>
      <c r="L4" s="328">
        <v>54187</v>
      </c>
      <c r="M4" s="328">
        <v>185579</v>
      </c>
      <c r="N4" s="328">
        <f t="shared" si="0"/>
        <v>1353652.8727272728</v>
      </c>
      <c r="O4" s="330">
        <v>590</v>
      </c>
      <c r="P4" s="335">
        <f t="shared" ref="P4:P12" si="8">+O4*3500</f>
        <v>2065000</v>
      </c>
      <c r="Q4" s="331" t="s">
        <v>563</v>
      </c>
      <c r="R4" s="331" t="s">
        <v>568</v>
      </c>
      <c r="S4" s="78">
        <v>3</v>
      </c>
      <c r="T4" s="332">
        <v>0.1</v>
      </c>
      <c r="U4" s="330">
        <f t="shared" si="6"/>
        <v>1846208.107744108</v>
      </c>
      <c r="V4" s="330">
        <f t="shared" si="7"/>
        <v>2350360.4172426583</v>
      </c>
      <c r="W4" s="333">
        <v>0.9</v>
      </c>
      <c r="X4" s="327"/>
      <c r="Y4" s="334">
        <f t="shared" si="1"/>
        <v>0</v>
      </c>
      <c r="Z4" s="334">
        <f t="shared" si="2"/>
        <v>0</v>
      </c>
    </row>
    <row r="5" spans="1:26">
      <c r="A5" s="327" t="s">
        <v>569</v>
      </c>
      <c r="B5" s="327">
        <v>12</v>
      </c>
      <c r="C5" s="327">
        <v>22</v>
      </c>
      <c r="D5" s="327">
        <f t="shared" si="3"/>
        <v>34</v>
      </c>
      <c r="E5" s="328">
        <v>38855</v>
      </c>
      <c r="F5" s="328">
        <v>186189</v>
      </c>
      <c r="G5" s="327">
        <v>70</v>
      </c>
      <c r="H5" s="327">
        <v>30</v>
      </c>
      <c r="I5" s="329">
        <v>6060.6060606060646</v>
      </c>
      <c r="J5" s="329">
        <f>+E5*G5/100+F5*H5/100+I5</f>
        <v>89115.806060606061</v>
      </c>
      <c r="K5" s="329">
        <f t="shared" si="5"/>
        <v>3029937.4060606062</v>
      </c>
      <c r="L5" s="328">
        <v>54187</v>
      </c>
      <c r="M5" s="328">
        <v>185579</v>
      </c>
      <c r="N5" s="328">
        <f t="shared" si="0"/>
        <v>2192634.5333333337</v>
      </c>
      <c r="O5" s="330">
        <v>675</v>
      </c>
      <c r="P5" s="335">
        <f t="shared" si="8"/>
        <v>2362500</v>
      </c>
      <c r="Q5" s="331" t="s">
        <v>563</v>
      </c>
      <c r="R5" s="331" t="s">
        <v>570</v>
      </c>
      <c r="S5" s="78">
        <v>5</v>
      </c>
      <c r="T5" s="332">
        <v>0.14000000000000001</v>
      </c>
      <c r="U5" s="330">
        <f t="shared" si="6"/>
        <v>3523183.0303030307</v>
      </c>
      <c r="V5" s="330">
        <f t="shared" si="7"/>
        <v>4485274.3861273471</v>
      </c>
      <c r="W5" s="333">
        <v>0.9</v>
      </c>
      <c r="X5" s="327"/>
      <c r="Y5" s="334">
        <f t="shared" si="1"/>
        <v>0</v>
      </c>
      <c r="Z5" s="334">
        <f t="shared" si="2"/>
        <v>0</v>
      </c>
    </row>
    <row r="6" spans="1:26">
      <c r="A6" s="327" t="s">
        <v>571</v>
      </c>
      <c r="B6" s="327">
        <v>0.5</v>
      </c>
      <c r="C6" s="327">
        <v>20</v>
      </c>
      <c r="D6" s="327">
        <f t="shared" si="3"/>
        <v>20.5</v>
      </c>
      <c r="E6" s="328">
        <v>38855</v>
      </c>
      <c r="F6" s="328">
        <v>186189</v>
      </c>
      <c r="G6" s="327">
        <v>90</v>
      </c>
      <c r="H6" s="327">
        <v>10</v>
      </c>
      <c r="I6" s="329">
        <v>6060.6060606060646</v>
      </c>
      <c r="J6" s="329">
        <f t="shared" si="4"/>
        <v>59649.006060606065</v>
      </c>
      <c r="K6" s="329">
        <f t="shared" si="5"/>
        <v>1222804.6242424243</v>
      </c>
      <c r="L6" s="328">
        <v>54187</v>
      </c>
      <c r="M6" s="328">
        <v>185579</v>
      </c>
      <c r="N6" s="328">
        <f t="shared" si="0"/>
        <v>1467736.1212121216</v>
      </c>
      <c r="O6" s="335">
        <v>10000</v>
      </c>
      <c r="P6" s="335">
        <f t="shared" si="8"/>
        <v>35000000</v>
      </c>
      <c r="Q6" s="331" t="s">
        <v>563</v>
      </c>
      <c r="R6" s="331" t="s">
        <v>572</v>
      </c>
      <c r="S6" s="78">
        <v>4</v>
      </c>
      <c r="T6" s="332">
        <v>0.12</v>
      </c>
      <c r="U6" s="330">
        <f t="shared" si="6"/>
        <v>1389550.7093663912</v>
      </c>
      <c r="V6" s="330">
        <f t="shared" si="7"/>
        <v>1769001.5396134835</v>
      </c>
      <c r="W6" s="333">
        <v>0.9</v>
      </c>
      <c r="X6" s="327"/>
      <c r="Y6" s="334">
        <f t="shared" si="1"/>
        <v>0</v>
      </c>
      <c r="Z6" s="334">
        <f t="shared" si="2"/>
        <v>0</v>
      </c>
    </row>
    <row r="7" spans="1:26">
      <c r="A7" s="327" t="s">
        <v>573</v>
      </c>
      <c r="B7" s="327">
        <v>0.5</v>
      </c>
      <c r="C7" s="327">
        <v>2.5</v>
      </c>
      <c r="D7" s="327">
        <f t="shared" si="3"/>
        <v>3</v>
      </c>
      <c r="E7" s="328">
        <v>38855</v>
      </c>
      <c r="F7" s="328">
        <v>186189</v>
      </c>
      <c r="G7" s="327">
        <v>90</v>
      </c>
      <c r="H7" s="327">
        <v>10</v>
      </c>
      <c r="I7" s="329">
        <v>6060.6060606060646</v>
      </c>
      <c r="J7" s="329">
        <f t="shared" si="4"/>
        <v>59649.006060606065</v>
      </c>
      <c r="K7" s="329">
        <f t="shared" si="5"/>
        <v>178947.01818181819</v>
      </c>
      <c r="L7" s="328">
        <v>54187</v>
      </c>
      <c r="M7" s="328">
        <v>185579</v>
      </c>
      <c r="N7" s="328">
        <f t="shared" si="0"/>
        <v>183467.0151515152</v>
      </c>
      <c r="O7" s="330">
        <v>236</v>
      </c>
      <c r="P7" s="335">
        <f t="shared" si="8"/>
        <v>826000</v>
      </c>
      <c r="Q7" s="331" t="s">
        <v>563</v>
      </c>
      <c r="R7" s="331" t="s">
        <v>574</v>
      </c>
      <c r="S7" s="78">
        <v>3</v>
      </c>
      <c r="T7" s="332">
        <v>0.1</v>
      </c>
      <c r="U7" s="330">
        <f t="shared" si="6"/>
        <v>198830.02020202021</v>
      </c>
      <c r="V7" s="330">
        <f t="shared" si="7"/>
        <v>253125.42355444966</v>
      </c>
      <c r="W7" s="333">
        <v>0.7</v>
      </c>
      <c r="X7" s="327"/>
      <c r="Y7" s="334">
        <f t="shared" si="1"/>
        <v>0</v>
      </c>
      <c r="Z7" s="334">
        <f t="shared" si="2"/>
        <v>0</v>
      </c>
    </row>
    <row r="8" spans="1:26">
      <c r="A8" s="327" t="s">
        <v>575</v>
      </c>
      <c r="B8" s="327">
        <v>0.5</v>
      </c>
      <c r="C8" s="327">
        <v>2</v>
      </c>
      <c r="D8" s="327">
        <f t="shared" si="3"/>
        <v>2.5</v>
      </c>
      <c r="E8" s="328">
        <v>38855</v>
      </c>
      <c r="F8" s="328">
        <v>186189</v>
      </c>
      <c r="G8" s="327">
        <v>95</v>
      </c>
      <c r="H8" s="327">
        <v>5</v>
      </c>
      <c r="I8" s="329">
        <v>6060.6060606060646</v>
      </c>
      <c r="J8" s="329">
        <f t="shared" si="4"/>
        <v>52282.306060606061</v>
      </c>
      <c r="K8" s="329">
        <f t="shared" si="5"/>
        <v>130705.76515151515</v>
      </c>
      <c r="L8" s="328">
        <v>54187</v>
      </c>
      <c r="M8" s="328">
        <v>185579</v>
      </c>
      <c r="N8" s="328">
        <f t="shared" si="0"/>
        <v>133634.41212121214</v>
      </c>
      <c r="O8" s="335">
        <v>236</v>
      </c>
      <c r="P8" s="335">
        <f t="shared" si="8"/>
        <v>826000</v>
      </c>
      <c r="Q8" s="331" t="s">
        <v>563</v>
      </c>
      <c r="R8" s="331" t="s">
        <v>576</v>
      </c>
      <c r="S8" s="78">
        <v>3</v>
      </c>
      <c r="T8" s="332">
        <v>0.1</v>
      </c>
      <c r="U8" s="330">
        <f t="shared" si="6"/>
        <v>145228.62794612793</v>
      </c>
      <c r="V8" s="330">
        <f t="shared" si="7"/>
        <v>184886.85925668737</v>
      </c>
      <c r="W8" s="333">
        <v>0.5</v>
      </c>
      <c r="X8" s="327"/>
      <c r="Y8" s="334">
        <f t="shared" si="1"/>
        <v>0</v>
      </c>
      <c r="Z8" s="334">
        <f t="shared" si="2"/>
        <v>0</v>
      </c>
    </row>
    <row r="9" spans="1:26">
      <c r="A9" s="327" t="s">
        <v>577</v>
      </c>
      <c r="B9" s="327">
        <v>0.5</v>
      </c>
      <c r="C9" s="327">
        <v>4</v>
      </c>
      <c r="D9" s="327">
        <f t="shared" si="3"/>
        <v>4.5</v>
      </c>
      <c r="E9" s="328">
        <v>38855</v>
      </c>
      <c r="F9" s="328">
        <v>186189</v>
      </c>
      <c r="G9" s="327">
        <v>95</v>
      </c>
      <c r="H9" s="327">
        <v>5</v>
      </c>
      <c r="I9" s="329">
        <v>6060.6060606060646</v>
      </c>
      <c r="J9" s="329">
        <f t="shared" si="4"/>
        <v>52282.306060606061</v>
      </c>
      <c r="K9" s="329">
        <f t="shared" si="5"/>
        <v>235270.37727272726</v>
      </c>
      <c r="L9" s="328">
        <v>54187</v>
      </c>
      <c r="M9" s="328">
        <v>185579</v>
      </c>
      <c r="N9" s="328">
        <f t="shared" si="0"/>
        <v>267268.82424242428</v>
      </c>
      <c r="O9" s="335">
        <v>177</v>
      </c>
      <c r="P9" s="335">
        <f t="shared" si="8"/>
        <v>619500</v>
      </c>
      <c r="Q9" s="331" t="s">
        <v>563</v>
      </c>
      <c r="R9" s="331" t="s">
        <v>578</v>
      </c>
      <c r="S9" s="78">
        <v>4</v>
      </c>
      <c r="T9" s="332">
        <v>0.12</v>
      </c>
      <c r="U9" s="330">
        <f t="shared" si="6"/>
        <v>267352.70144628099</v>
      </c>
      <c r="V9" s="330">
        <f t="shared" si="7"/>
        <v>340359.89999526541</v>
      </c>
      <c r="W9" s="333">
        <v>0.9</v>
      </c>
      <c r="X9" s="327"/>
      <c r="Y9" s="334">
        <f t="shared" si="1"/>
        <v>0</v>
      </c>
      <c r="Z9" s="334">
        <f t="shared" si="2"/>
        <v>0</v>
      </c>
    </row>
    <row r="10" spans="1:26">
      <c r="A10" s="327" t="s">
        <v>579</v>
      </c>
      <c r="B10" s="327">
        <v>1</v>
      </c>
      <c r="C10" s="327">
        <v>4</v>
      </c>
      <c r="D10" s="327">
        <f t="shared" si="3"/>
        <v>5</v>
      </c>
      <c r="E10" s="328">
        <v>38855</v>
      </c>
      <c r="F10" s="328">
        <v>186189</v>
      </c>
      <c r="G10" s="327">
        <v>60</v>
      </c>
      <c r="H10" s="327">
        <v>40</v>
      </c>
      <c r="I10" s="329">
        <v>6060.6060606060646</v>
      </c>
      <c r="J10" s="329">
        <f t="shared" si="4"/>
        <v>103849.20606060607</v>
      </c>
      <c r="K10" s="329">
        <f t="shared" si="5"/>
        <v>519246.03030303033</v>
      </c>
      <c r="L10" s="328">
        <v>54187</v>
      </c>
      <c r="M10" s="328">
        <v>185579</v>
      </c>
      <c r="N10" s="328">
        <f t="shared" si="0"/>
        <v>451217.62424242427</v>
      </c>
      <c r="O10" s="335">
        <v>94</v>
      </c>
      <c r="P10" s="335">
        <f t="shared" si="8"/>
        <v>329000</v>
      </c>
      <c r="Q10" s="331" t="s">
        <v>563</v>
      </c>
      <c r="R10" s="331" t="s">
        <v>580</v>
      </c>
      <c r="S10" s="78">
        <v>3</v>
      </c>
      <c r="T10" s="332">
        <v>0.1</v>
      </c>
      <c r="U10" s="330">
        <f t="shared" si="6"/>
        <v>576940.03367003368</v>
      </c>
      <c r="V10" s="330">
        <f t="shared" si="7"/>
        <v>734487.63038833067</v>
      </c>
      <c r="W10" s="333">
        <v>0.7</v>
      </c>
      <c r="X10" s="327"/>
      <c r="Y10" s="334">
        <f t="shared" si="1"/>
        <v>0</v>
      </c>
      <c r="Z10" s="334">
        <f t="shared" si="2"/>
        <v>0</v>
      </c>
    </row>
    <row r="11" spans="1:26">
      <c r="A11" s="327" t="s">
        <v>581</v>
      </c>
      <c r="B11" s="327">
        <v>0.5</v>
      </c>
      <c r="C11" s="327">
        <v>1.5</v>
      </c>
      <c r="D11" s="327">
        <f t="shared" si="3"/>
        <v>2</v>
      </c>
      <c r="E11" s="328">
        <v>38855</v>
      </c>
      <c r="F11" s="328">
        <v>186189</v>
      </c>
      <c r="G11" s="327">
        <v>95</v>
      </c>
      <c r="H11" s="327">
        <v>5</v>
      </c>
      <c r="I11" s="329">
        <v>6060.6060606060646</v>
      </c>
      <c r="J11" s="329">
        <f t="shared" si="4"/>
        <v>52282.306060606061</v>
      </c>
      <c r="K11" s="329">
        <f t="shared" si="5"/>
        <v>104564.61212121212</v>
      </c>
      <c r="L11" s="328">
        <v>54187</v>
      </c>
      <c r="M11" s="328">
        <v>185579</v>
      </c>
      <c r="N11" s="328">
        <f t="shared" si="0"/>
        <v>100225.80909090911</v>
      </c>
      <c r="O11" s="336">
        <v>94</v>
      </c>
      <c r="P11" s="335">
        <f t="shared" si="8"/>
        <v>329000</v>
      </c>
      <c r="Q11" s="337" t="s">
        <v>563</v>
      </c>
      <c r="R11" s="337" t="s">
        <v>582</v>
      </c>
      <c r="S11" s="78">
        <v>1</v>
      </c>
      <c r="T11" s="338">
        <v>0.06</v>
      </c>
      <c r="U11" s="330">
        <f t="shared" si="6"/>
        <v>111238.94906511929</v>
      </c>
      <c r="V11" s="330">
        <f t="shared" si="7"/>
        <v>141615.46666469675</v>
      </c>
      <c r="W11" s="333">
        <v>0.7</v>
      </c>
      <c r="X11" s="327"/>
      <c r="Y11" s="334">
        <f t="shared" si="1"/>
        <v>0</v>
      </c>
      <c r="Z11" s="334">
        <f t="shared" si="2"/>
        <v>0</v>
      </c>
    </row>
    <row r="12" spans="1:26">
      <c r="A12" s="327" t="s">
        <v>583</v>
      </c>
      <c r="B12" s="327">
        <v>0.5</v>
      </c>
      <c r="C12" s="327">
        <v>2.5</v>
      </c>
      <c r="D12" s="327">
        <f t="shared" si="3"/>
        <v>3</v>
      </c>
      <c r="E12" s="328">
        <v>38855</v>
      </c>
      <c r="F12" s="328">
        <v>186189</v>
      </c>
      <c r="G12" s="327">
        <v>70</v>
      </c>
      <c r="H12" s="327">
        <v>30</v>
      </c>
      <c r="I12" s="329">
        <v>6060.6060606060646</v>
      </c>
      <c r="J12" s="329">
        <f>+E12*G12/100+F12*H12/100+I12</f>
        <v>89115.806060606061</v>
      </c>
      <c r="K12" s="329">
        <f t="shared" si="5"/>
        <v>267347.41818181821</v>
      </c>
      <c r="L12" s="328">
        <v>54187</v>
      </c>
      <c r="M12" s="328">
        <v>185579</v>
      </c>
      <c r="N12" s="328">
        <f t="shared" si="0"/>
        <v>249163.01515151517</v>
      </c>
      <c r="O12" s="335">
        <v>120</v>
      </c>
      <c r="P12" s="335">
        <f t="shared" si="8"/>
        <v>420000</v>
      </c>
      <c r="Q12" s="331" t="s">
        <v>563</v>
      </c>
      <c r="R12" s="331" t="s">
        <v>584</v>
      </c>
      <c r="S12" s="78">
        <v>2</v>
      </c>
      <c r="T12" s="332">
        <v>0.08</v>
      </c>
      <c r="U12" s="330">
        <f t="shared" si="6"/>
        <v>290595.01976284588</v>
      </c>
      <c r="V12" s="330">
        <f t="shared" si="7"/>
        <v>369949.10218058038</v>
      </c>
      <c r="W12" s="333">
        <v>0.3</v>
      </c>
      <c r="X12" s="327"/>
      <c r="Y12" s="334">
        <f t="shared" si="1"/>
        <v>0</v>
      </c>
      <c r="Z12" s="334">
        <f t="shared" si="2"/>
        <v>0</v>
      </c>
    </row>
    <row r="13" spans="1:26" ht="13.9" customHeight="1">
      <c r="A13" s="327" t="s">
        <v>585</v>
      </c>
      <c r="B13" s="327">
        <v>0.5</v>
      </c>
      <c r="C13" s="327">
        <v>2.5</v>
      </c>
      <c r="D13" s="327">
        <f t="shared" si="3"/>
        <v>3</v>
      </c>
      <c r="E13" s="328">
        <v>38855</v>
      </c>
      <c r="F13" s="328">
        <v>186189</v>
      </c>
      <c r="G13" s="327">
        <v>70</v>
      </c>
      <c r="H13" s="327">
        <v>30</v>
      </c>
      <c r="I13" s="329">
        <v>6060.6060606060646</v>
      </c>
      <c r="J13" s="329">
        <f>+E13*G13/100+F13*H13/100+I13</f>
        <v>89115.806060606061</v>
      </c>
      <c r="K13" s="329">
        <f t="shared" si="5"/>
        <v>267347.41818181821</v>
      </c>
      <c r="L13" s="328">
        <v>54187</v>
      </c>
      <c r="M13" s="328">
        <v>185579</v>
      </c>
      <c r="N13" s="328">
        <f t="shared" si="0"/>
        <v>249163.01515151517</v>
      </c>
      <c r="O13" s="335">
        <v>100</v>
      </c>
      <c r="P13" s="335"/>
      <c r="Q13" s="331" t="s">
        <v>563</v>
      </c>
      <c r="R13" s="331" t="s">
        <v>584</v>
      </c>
      <c r="S13" s="78">
        <v>2</v>
      </c>
      <c r="T13" s="332">
        <v>0.08</v>
      </c>
      <c r="U13" s="330">
        <f t="shared" si="6"/>
        <v>290595.01976284588</v>
      </c>
      <c r="V13" s="330">
        <f t="shared" si="7"/>
        <v>369949.10218058038</v>
      </c>
      <c r="W13" s="333">
        <v>0.3</v>
      </c>
      <c r="X13" s="327"/>
      <c r="Y13" s="334">
        <f t="shared" si="1"/>
        <v>0</v>
      </c>
      <c r="Z13" s="334">
        <f t="shared" si="2"/>
        <v>0</v>
      </c>
    </row>
    <row r="14" spans="1:26">
      <c r="A14" s="327" t="s">
        <v>586</v>
      </c>
      <c r="B14" s="327">
        <v>1</v>
      </c>
      <c r="C14" s="327">
        <v>2</v>
      </c>
      <c r="D14" s="327">
        <f t="shared" si="3"/>
        <v>3</v>
      </c>
      <c r="E14" s="328">
        <v>38855</v>
      </c>
      <c r="F14" s="328">
        <v>186189</v>
      </c>
      <c r="G14" s="327">
        <v>70</v>
      </c>
      <c r="H14" s="327">
        <v>30</v>
      </c>
      <c r="I14" s="329">
        <v>6060.6060606060646</v>
      </c>
      <c r="J14" s="329">
        <f t="shared" si="4"/>
        <v>89115.806060606061</v>
      </c>
      <c r="K14" s="329">
        <f t="shared" si="5"/>
        <v>267347.41818181821</v>
      </c>
      <c r="L14" s="328">
        <v>54187</v>
      </c>
      <c r="M14" s="328">
        <v>185579</v>
      </c>
      <c r="N14" s="328">
        <f t="shared" si="0"/>
        <v>199330.41212121214</v>
      </c>
      <c r="O14" s="330"/>
      <c r="P14" s="330"/>
      <c r="Q14" s="331" t="s">
        <v>563</v>
      </c>
      <c r="R14" s="331" t="s">
        <v>587</v>
      </c>
      <c r="S14" s="78">
        <v>1</v>
      </c>
      <c r="T14" s="332">
        <v>0.06</v>
      </c>
      <c r="U14" s="330">
        <f t="shared" si="6"/>
        <v>284412.1470019343</v>
      </c>
      <c r="V14" s="330">
        <f t="shared" si="7"/>
        <v>362077.84468737658</v>
      </c>
      <c r="W14" s="333">
        <v>0.5</v>
      </c>
      <c r="X14" s="327"/>
      <c r="Y14" s="334">
        <f t="shared" si="1"/>
        <v>0</v>
      </c>
      <c r="Z14" s="334">
        <f t="shared" si="2"/>
        <v>0</v>
      </c>
    </row>
    <row r="15" spans="1:26">
      <c r="A15" s="327" t="s">
        <v>588</v>
      </c>
      <c r="B15" s="327">
        <v>1</v>
      </c>
      <c r="C15" s="327">
        <v>3</v>
      </c>
      <c r="D15" s="327">
        <f t="shared" si="3"/>
        <v>4</v>
      </c>
      <c r="E15" s="328">
        <v>38855</v>
      </c>
      <c r="F15" s="328">
        <v>186189</v>
      </c>
      <c r="G15" s="327">
        <v>60</v>
      </c>
      <c r="H15" s="327">
        <v>40</v>
      </c>
      <c r="I15" s="329">
        <v>6060.6060606060646</v>
      </c>
      <c r="J15" s="329">
        <f t="shared" si="4"/>
        <v>103849.20606060607</v>
      </c>
      <c r="K15" s="329">
        <f t="shared" si="5"/>
        <v>415396.82424242428</v>
      </c>
      <c r="L15" s="328">
        <v>54187</v>
      </c>
      <c r="M15" s="328">
        <v>185579</v>
      </c>
      <c r="N15" s="328">
        <f t="shared" si="0"/>
        <v>338413.2181818182</v>
      </c>
      <c r="O15" s="330">
        <v>189</v>
      </c>
      <c r="P15" s="335">
        <f t="shared" ref="P15:P25" si="9">+O15*3500</f>
        <v>661500</v>
      </c>
      <c r="Q15" s="331" t="s">
        <v>563</v>
      </c>
      <c r="R15" s="331" t="s">
        <v>589</v>
      </c>
      <c r="S15" s="78">
        <v>2</v>
      </c>
      <c r="T15" s="332">
        <v>0.08</v>
      </c>
      <c r="U15" s="330">
        <f t="shared" si="6"/>
        <v>451518.28722002637</v>
      </c>
      <c r="V15" s="330">
        <f t="shared" si="7"/>
        <v>574816.40639086743</v>
      </c>
      <c r="W15" s="333">
        <v>0.7</v>
      </c>
      <c r="X15" s="327"/>
      <c r="Y15" s="334">
        <f t="shared" si="1"/>
        <v>0</v>
      </c>
      <c r="Z15" s="334">
        <f t="shared" si="2"/>
        <v>0</v>
      </c>
    </row>
    <row r="16" spans="1:26">
      <c r="A16" s="327" t="s">
        <v>590</v>
      </c>
      <c r="B16" s="327">
        <v>0.5</v>
      </c>
      <c r="C16" s="327">
        <v>2.5</v>
      </c>
      <c r="D16" s="327">
        <f t="shared" si="3"/>
        <v>3</v>
      </c>
      <c r="E16" s="328">
        <v>38855</v>
      </c>
      <c r="F16" s="328">
        <v>186189</v>
      </c>
      <c r="G16" s="327">
        <v>100</v>
      </c>
      <c r="H16" s="327">
        <v>0</v>
      </c>
      <c r="I16" s="329">
        <v>6060.6060606060646</v>
      </c>
      <c r="J16" s="329">
        <f t="shared" si="4"/>
        <v>44915.606060606064</v>
      </c>
      <c r="K16" s="329">
        <f t="shared" si="5"/>
        <v>134746.81818181818</v>
      </c>
      <c r="L16" s="328">
        <v>54187</v>
      </c>
      <c r="M16" s="328">
        <v>185579</v>
      </c>
      <c r="N16" s="328">
        <f t="shared" si="0"/>
        <v>150619.01515151517</v>
      </c>
      <c r="O16" s="335">
        <v>437</v>
      </c>
      <c r="P16" s="335">
        <f t="shared" si="9"/>
        <v>1529500</v>
      </c>
      <c r="Q16" s="331" t="s">
        <v>563</v>
      </c>
      <c r="R16" s="331" t="s">
        <v>591</v>
      </c>
      <c r="S16" s="78">
        <v>3</v>
      </c>
      <c r="T16" s="332">
        <v>0.1</v>
      </c>
      <c r="U16" s="330">
        <f t="shared" si="6"/>
        <v>149718.68686868687</v>
      </c>
      <c r="V16" s="330">
        <f t="shared" si="7"/>
        <v>190603.03866160009</v>
      </c>
      <c r="W16" s="333">
        <v>0.8</v>
      </c>
      <c r="X16" s="327"/>
      <c r="Y16" s="334">
        <f t="shared" si="1"/>
        <v>0</v>
      </c>
      <c r="Z16" s="334">
        <f t="shared" si="2"/>
        <v>0</v>
      </c>
    </row>
    <row r="17" spans="1:27">
      <c r="A17" s="327" t="s">
        <v>592</v>
      </c>
      <c r="B17" s="327">
        <v>0.5</v>
      </c>
      <c r="C17" s="327">
        <v>2.5</v>
      </c>
      <c r="D17" s="327">
        <f t="shared" si="3"/>
        <v>3</v>
      </c>
      <c r="E17" s="328">
        <v>38855</v>
      </c>
      <c r="F17" s="328">
        <v>186189</v>
      </c>
      <c r="G17" s="327">
        <v>100</v>
      </c>
      <c r="H17" s="327">
        <v>0</v>
      </c>
      <c r="I17" s="329">
        <v>6060.6060606060646</v>
      </c>
      <c r="J17" s="329">
        <f t="shared" si="4"/>
        <v>44915.606060606064</v>
      </c>
      <c r="K17" s="329">
        <f t="shared" si="5"/>
        <v>134746.81818181818</v>
      </c>
      <c r="L17" s="328">
        <v>54187</v>
      </c>
      <c r="M17" s="328">
        <v>185579</v>
      </c>
      <c r="N17" s="328">
        <f t="shared" si="0"/>
        <v>150619.01515151517</v>
      </c>
      <c r="O17" s="335">
        <v>200</v>
      </c>
      <c r="P17" s="335">
        <f t="shared" si="9"/>
        <v>700000</v>
      </c>
      <c r="Q17" s="331" t="s">
        <v>563</v>
      </c>
      <c r="R17" s="331" t="s">
        <v>593</v>
      </c>
      <c r="S17" s="78">
        <v>3</v>
      </c>
      <c r="T17" s="332">
        <v>0.1</v>
      </c>
      <c r="U17" s="330">
        <f t="shared" si="6"/>
        <v>149718.68686868687</v>
      </c>
      <c r="V17" s="330">
        <f t="shared" si="7"/>
        <v>190603.03866160009</v>
      </c>
      <c r="W17" s="333">
        <v>0.6</v>
      </c>
      <c r="X17" s="327"/>
      <c r="Y17" s="334">
        <f t="shared" si="1"/>
        <v>0</v>
      </c>
      <c r="Z17" s="334">
        <f t="shared" si="2"/>
        <v>0</v>
      </c>
    </row>
    <row r="18" spans="1:27">
      <c r="A18" s="327" t="s">
        <v>594</v>
      </c>
      <c r="B18" s="327">
        <v>0.5</v>
      </c>
      <c r="C18" s="327">
        <v>9</v>
      </c>
      <c r="D18" s="327">
        <f t="shared" si="3"/>
        <v>9.5</v>
      </c>
      <c r="E18" s="328">
        <v>38855</v>
      </c>
      <c r="F18" s="328">
        <v>186189</v>
      </c>
      <c r="G18" s="327">
        <v>100</v>
      </c>
      <c r="H18" s="327">
        <v>0</v>
      </c>
      <c r="I18" s="329">
        <v>6060.6060606060646</v>
      </c>
      <c r="J18" s="329">
        <f t="shared" si="4"/>
        <v>44915.606060606064</v>
      </c>
      <c r="K18" s="329">
        <f t="shared" si="5"/>
        <v>426698.25757575763</v>
      </c>
      <c r="L18" s="328">
        <v>54187</v>
      </c>
      <c r="M18" s="328">
        <v>185579</v>
      </c>
      <c r="N18" s="328">
        <f t="shared" si="0"/>
        <v>542228.45454545459</v>
      </c>
      <c r="O18" s="335">
        <v>236</v>
      </c>
      <c r="P18" s="335">
        <f t="shared" si="9"/>
        <v>826000</v>
      </c>
      <c r="Q18" s="331" t="s">
        <v>563</v>
      </c>
      <c r="R18" s="331" t="s">
        <v>595</v>
      </c>
      <c r="S18" s="78">
        <v>4</v>
      </c>
      <c r="T18" s="332">
        <v>0.12</v>
      </c>
      <c r="U18" s="330">
        <f t="shared" si="6"/>
        <v>484884.38360881549</v>
      </c>
      <c r="V18" s="330">
        <f t="shared" si="7"/>
        <v>617293.93202904589</v>
      </c>
      <c r="W18" s="333">
        <v>0.9</v>
      </c>
      <c r="X18" s="327"/>
      <c r="Y18" s="334">
        <f t="shared" si="1"/>
        <v>0</v>
      </c>
      <c r="Z18" s="334">
        <f t="shared" si="2"/>
        <v>0</v>
      </c>
    </row>
    <row r="19" spans="1:27">
      <c r="A19" s="339" t="s">
        <v>596</v>
      </c>
      <c r="B19" s="339">
        <v>1</v>
      </c>
      <c r="C19" s="327">
        <v>7.5</v>
      </c>
      <c r="D19" s="327">
        <f t="shared" si="3"/>
        <v>8.5</v>
      </c>
      <c r="E19" s="328">
        <v>38855</v>
      </c>
      <c r="F19" s="328">
        <v>186189</v>
      </c>
      <c r="G19" s="327">
        <v>80</v>
      </c>
      <c r="H19" s="327">
        <v>20</v>
      </c>
      <c r="I19" s="329">
        <v>6060.6060606060646</v>
      </c>
      <c r="J19" s="329">
        <f t="shared" si="4"/>
        <v>74382.406060606067</v>
      </c>
      <c r="K19" s="329">
        <f t="shared" si="5"/>
        <v>632250.45151515154</v>
      </c>
      <c r="L19" s="328">
        <v>54187</v>
      </c>
      <c r="M19" s="328">
        <v>185579</v>
      </c>
      <c r="N19" s="328">
        <f t="shared" si="0"/>
        <v>648945.04545454541</v>
      </c>
      <c r="O19" s="336">
        <v>3540</v>
      </c>
      <c r="P19" s="335">
        <f t="shared" si="9"/>
        <v>12390000</v>
      </c>
      <c r="Q19" s="337" t="s">
        <v>563</v>
      </c>
      <c r="R19" s="337" t="s">
        <v>597</v>
      </c>
      <c r="S19" s="78">
        <v>5</v>
      </c>
      <c r="T19" s="338">
        <v>0.14000000000000001</v>
      </c>
      <c r="U19" s="330">
        <f t="shared" si="6"/>
        <v>735174.9436222692</v>
      </c>
      <c r="V19" s="330">
        <f t="shared" si="7"/>
        <v>935932.45527978265</v>
      </c>
      <c r="W19" s="333">
        <v>0.75</v>
      </c>
      <c r="X19" s="327"/>
      <c r="Y19" s="334">
        <f t="shared" si="1"/>
        <v>0</v>
      </c>
      <c r="Z19" s="334">
        <f t="shared" si="2"/>
        <v>0</v>
      </c>
    </row>
    <row r="20" spans="1:27">
      <c r="A20" s="339" t="s">
        <v>598</v>
      </c>
      <c r="B20" s="339">
        <v>1.5</v>
      </c>
      <c r="C20" s="327">
        <v>9</v>
      </c>
      <c r="D20" s="327">
        <f t="shared" si="3"/>
        <v>10.5</v>
      </c>
      <c r="E20" s="328">
        <v>38855</v>
      </c>
      <c r="F20" s="328">
        <v>186189</v>
      </c>
      <c r="G20" s="327">
        <v>80</v>
      </c>
      <c r="H20" s="327">
        <v>20</v>
      </c>
      <c r="I20" s="329">
        <v>6060.6060606060646</v>
      </c>
      <c r="J20" s="329">
        <f t="shared" si="4"/>
        <v>74382.406060606067</v>
      </c>
      <c r="K20" s="329">
        <f t="shared" si="5"/>
        <v>781015.26363636367</v>
      </c>
      <c r="L20" s="328">
        <v>54187</v>
      </c>
      <c r="M20" s="328">
        <v>185579</v>
      </c>
      <c r="N20" s="328">
        <f t="shared" si="0"/>
        <v>778734.05454545456</v>
      </c>
      <c r="O20" s="336">
        <v>3540</v>
      </c>
      <c r="P20" s="335">
        <f t="shared" si="9"/>
        <v>12390000</v>
      </c>
      <c r="Q20" s="337" t="s">
        <v>563</v>
      </c>
      <c r="R20" s="337" t="s">
        <v>597</v>
      </c>
      <c r="S20" s="78">
        <v>5</v>
      </c>
      <c r="T20" s="338">
        <v>0.14000000000000001</v>
      </c>
      <c r="U20" s="330">
        <f t="shared" si="6"/>
        <v>908157.28329809732</v>
      </c>
      <c r="V20" s="330">
        <f t="shared" si="7"/>
        <v>1156151.8565220844</v>
      </c>
      <c r="W20" s="333">
        <v>0.75</v>
      </c>
      <c r="X20" s="327"/>
      <c r="Y20" s="334">
        <f t="shared" si="1"/>
        <v>0</v>
      </c>
      <c r="Z20" s="334">
        <f t="shared" si="2"/>
        <v>0</v>
      </c>
    </row>
    <row r="21" spans="1:27">
      <c r="A21" s="327" t="s">
        <v>599</v>
      </c>
      <c r="B21" s="327">
        <v>0.5</v>
      </c>
      <c r="C21" s="327">
        <v>3</v>
      </c>
      <c r="D21" s="327">
        <f t="shared" si="3"/>
        <v>3.5</v>
      </c>
      <c r="E21" s="328">
        <v>38855</v>
      </c>
      <c r="F21" s="328">
        <v>186189</v>
      </c>
      <c r="G21" s="327">
        <v>100</v>
      </c>
      <c r="H21" s="327">
        <v>0</v>
      </c>
      <c r="I21" s="329">
        <v>6060.6060606060646</v>
      </c>
      <c r="J21" s="329">
        <f t="shared" si="4"/>
        <v>44915.606060606064</v>
      </c>
      <c r="K21" s="329">
        <f t="shared" si="5"/>
        <v>157204.62121212122</v>
      </c>
      <c r="L21" s="328">
        <v>54187</v>
      </c>
      <c r="M21" s="328">
        <v>185579</v>
      </c>
      <c r="N21" s="328">
        <f t="shared" si="0"/>
        <v>180742.81818181818</v>
      </c>
      <c r="O21" s="335">
        <v>212</v>
      </c>
      <c r="P21" s="335">
        <f t="shared" si="9"/>
        <v>742000</v>
      </c>
      <c r="Q21" s="331" t="s">
        <v>563</v>
      </c>
      <c r="R21" s="331" t="s">
        <v>600</v>
      </c>
      <c r="S21" s="78">
        <v>2</v>
      </c>
      <c r="T21" s="332">
        <v>0.08</v>
      </c>
      <c r="U21" s="330">
        <f t="shared" si="6"/>
        <v>170874.5882740448</v>
      </c>
      <c r="V21" s="330">
        <f t="shared" si="7"/>
        <v>217536.07673334793</v>
      </c>
      <c r="W21" s="333">
        <v>0.4</v>
      </c>
      <c r="X21" s="327"/>
      <c r="Y21" s="334">
        <f t="shared" si="1"/>
        <v>0</v>
      </c>
      <c r="Z21" s="334">
        <f t="shared" si="2"/>
        <v>0</v>
      </c>
    </row>
    <row r="22" spans="1:27">
      <c r="A22" s="327" t="s">
        <v>601</v>
      </c>
      <c r="B22" s="327">
        <v>0.5</v>
      </c>
      <c r="C22" s="327">
        <v>5</v>
      </c>
      <c r="D22" s="327">
        <f t="shared" si="3"/>
        <v>5.5</v>
      </c>
      <c r="E22" s="328">
        <v>38855</v>
      </c>
      <c r="F22" s="328">
        <v>186189</v>
      </c>
      <c r="G22" s="327">
        <v>100</v>
      </c>
      <c r="H22" s="327">
        <v>0</v>
      </c>
      <c r="I22" s="329">
        <v>6060.6060606060646</v>
      </c>
      <c r="J22" s="329">
        <f t="shared" si="4"/>
        <v>44915.606060606064</v>
      </c>
      <c r="K22" s="329">
        <f t="shared" si="5"/>
        <v>247035.83333333334</v>
      </c>
      <c r="L22" s="328">
        <v>54187</v>
      </c>
      <c r="M22" s="328">
        <v>185579</v>
      </c>
      <c r="N22" s="328">
        <f t="shared" si="0"/>
        <v>301238.03030303033</v>
      </c>
      <c r="O22" s="335">
        <v>301</v>
      </c>
      <c r="P22" s="335">
        <f t="shared" si="9"/>
        <v>1053500</v>
      </c>
      <c r="Q22" s="331" t="s">
        <v>563</v>
      </c>
      <c r="R22" s="331" t="s">
        <v>602</v>
      </c>
      <c r="S22" s="78">
        <v>3</v>
      </c>
      <c r="T22" s="332">
        <v>0.1</v>
      </c>
      <c r="U22" s="330">
        <f t="shared" si="6"/>
        <v>274484.25925925927</v>
      </c>
      <c r="V22" s="330">
        <f t="shared" si="7"/>
        <v>349438.9042129335</v>
      </c>
      <c r="W22" s="333">
        <v>0.6</v>
      </c>
      <c r="X22" s="327"/>
      <c r="Y22" s="334">
        <f t="shared" si="1"/>
        <v>0</v>
      </c>
      <c r="Z22" s="334">
        <f t="shared" si="2"/>
        <v>0</v>
      </c>
    </row>
    <row r="23" spans="1:27" ht="16.899999999999999" customHeight="1">
      <c r="A23" s="273" t="s">
        <v>603</v>
      </c>
      <c r="B23" s="273">
        <v>-4</v>
      </c>
      <c r="C23" s="327">
        <v>14</v>
      </c>
      <c r="D23" s="340">
        <f t="shared" si="3"/>
        <v>10</v>
      </c>
      <c r="E23" s="328">
        <v>38855</v>
      </c>
      <c r="F23" s="328">
        <v>186189</v>
      </c>
      <c r="G23" s="327">
        <v>50</v>
      </c>
      <c r="H23" s="327">
        <v>50</v>
      </c>
      <c r="I23" s="329">
        <v>6060.6060606060646</v>
      </c>
      <c r="J23" s="329">
        <f t="shared" si="4"/>
        <v>118582.60606060606</v>
      </c>
      <c r="K23" s="329">
        <f t="shared" si="5"/>
        <v>1185826.0606060605</v>
      </c>
      <c r="L23" s="328">
        <v>54187</v>
      </c>
      <c r="M23" s="328">
        <v>185579</v>
      </c>
      <c r="N23" s="328">
        <f t="shared" si="0"/>
        <v>1763210.4848484849</v>
      </c>
      <c r="O23" s="330">
        <v>472</v>
      </c>
      <c r="P23" s="335">
        <f t="shared" si="9"/>
        <v>1652000</v>
      </c>
      <c r="Q23" s="331" t="s">
        <v>563</v>
      </c>
      <c r="R23" s="331" t="s">
        <v>604</v>
      </c>
      <c r="S23" s="78">
        <v>5</v>
      </c>
      <c r="T23" s="332">
        <v>0.14000000000000001</v>
      </c>
      <c r="U23" s="330">
        <f t="shared" si="6"/>
        <v>1378867.5123326285</v>
      </c>
      <c r="V23" s="330">
        <f t="shared" si="7"/>
        <v>1755401.0341599344</v>
      </c>
      <c r="W23" s="333">
        <v>0.95</v>
      </c>
      <c r="X23" s="327"/>
      <c r="Y23" s="334">
        <f t="shared" si="1"/>
        <v>0</v>
      </c>
      <c r="Z23" s="334">
        <f t="shared" si="2"/>
        <v>0</v>
      </c>
    </row>
    <row r="24" spans="1:27">
      <c r="A24" s="327" t="s">
        <v>605</v>
      </c>
      <c r="B24" s="327">
        <v>0.5</v>
      </c>
      <c r="C24" s="327">
        <v>3.5</v>
      </c>
      <c r="D24" s="327">
        <f t="shared" si="3"/>
        <v>4</v>
      </c>
      <c r="E24" s="328">
        <v>38855</v>
      </c>
      <c r="F24" s="328">
        <v>186189</v>
      </c>
      <c r="G24" s="327">
        <v>80</v>
      </c>
      <c r="H24" s="327">
        <v>20</v>
      </c>
      <c r="I24" s="329">
        <v>6060.6060606060646</v>
      </c>
      <c r="J24" s="329">
        <f t="shared" si="4"/>
        <v>74382.406060606067</v>
      </c>
      <c r="K24" s="329">
        <f t="shared" si="5"/>
        <v>297529.62424242427</v>
      </c>
      <c r="L24" s="328">
        <v>54187</v>
      </c>
      <c r="M24" s="328">
        <v>185579</v>
      </c>
      <c r="N24" s="328">
        <f t="shared" si="0"/>
        <v>302841.02121212118</v>
      </c>
      <c r="O24" s="335">
        <v>413</v>
      </c>
      <c r="P24" s="335">
        <f t="shared" si="9"/>
        <v>1445500</v>
      </c>
      <c r="Q24" s="331" t="s">
        <v>563</v>
      </c>
      <c r="R24" s="331" t="s">
        <v>606</v>
      </c>
      <c r="S24" s="78">
        <v>3</v>
      </c>
      <c r="T24" s="332">
        <v>0.1</v>
      </c>
      <c r="U24" s="330">
        <f t="shared" si="6"/>
        <v>330588.47138047143</v>
      </c>
      <c r="V24" s="330">
        <f t="shared" si="7"/>
        <v>420863.74459639902</v>
      </c>
      <c r="W24" s="333">
        <v>0.9</v>
      </c>
      <c r="X24" s="327"/>
      <c r="Y24" s="334">
        <f t="shared" si="1"/>
        <v>0</v>
      </c>
      <c r="Z24" s="334">
        <f t="shared" si="2"/>
        <v>0</v>
      </c>
    </row>
    <row r="25" spans="1:27">
      <c r="A25" s="327" t="s">
        <v>607</v>
      </c>
      <c r="B25" s="327">
        <v>1</v>
      </c>
      <c r="C25" s="327">
        <v>4.5</v>
      </c>
      <c r="D25" s="327">
        <f t="shared" si="3"/>
        <v>5.5</v>
      </c>
      <c r="E25" s="328">
        <v>38855</v>
      </c>
      <c r="F25" s="328">
        <v>186189</v>
      </c>
      <c r="G25" s="327">
        <v>80</v>
      </c>
      <c r="H25" s="327">
        <v>20</v>
      </c>
      <c r="I25" s="329">
        <v>6060.6060606060646</v>
      </c>
      <c r="J25" s="329">
        <f t="shared" si="4"/>
        <v>74382.406060606067</v>
      </c>
      <c r="K25" s="329">
        <f t="shared" si="5"/>
        <v>409103.2333333334</v>
      </c>
      <c r="L25" s="328">
        <v>54187</v>
      </c>
      <c r="M25" s="328">
        <v>185579</v>
      </c>
      <c r="N25" s="328">
        <f t="shared" si="0"/>
        <v>389367.02727272728</v>
      </c>
      <c r="O25" s="335">
        <v>350</v>
      </c>
      <c r="P25" s="335">
        <f t="shared" si="9"/>
        <v>1225000</v>
      </c>
      <c r="Q25" s="331" t="s">
        <v>563</v>
      </c>
      <c r="R25" s="341"/>
      <c r="S25" s="78">
        <v>5</v>
      </c>
      <c r="T25" s="332">
        <v>0.14000000000000001</v>
      </c>
      <c r="U25" s="330">
        <f t="shared" si="6"/>
        <v>475701.4341085272</v>
      </c>
      <c r="V25" s="330">
        <f t="shared" si="7"/>
        <v>605603.35341632995</v>
      </c>
      <c r="W25" s="333">
        <v>0.9</v>
      </c>
      <c r="X25" s="327"/>
      <c r="Y25" s="334">
        <f t="shared" si="1"/>
        <v>0</v>
      </c>
      <c r="Z25" s="334">
        <f t="shared" si="2"/>
        <v>0</v>
      </c>
    </row>
    <row r="26" spans="1:27">
      <c r="A26" s="327" t="s">
        <v>608</v>
      </c>
      <c r="B26" s="327">
        <v>0.5</v>
      </c>
      <c r="C26" s="327">
        <v>3</v>
      </c>
      <c r="D26" s="327">
        <f t="shared" si="3"/>
        <v>3.5</v>
      </c>
      <c r="E26" s="328">
        <v>38855</v>
      </c>
      <c r="F26" s="328">
        <v>186189</v>
      </c>
      <c r="G26" s="327">
        <v>100</v>
      </c>
      <c r="H26" s="327">
        <v>0</v>
      </c>
      <c r="I26" s="329">
        <v>6060.6060606060646</v>
      </c>
      <c r="J26" s="329">
        <f t="shared" si="4"/>
        <v>44915.606060606064</v>
      </c>
      <c r="K26" s="329">
        <f t="shared" si="5"/>
        <v>157204.62121212122</v>
      </c>
      <c r="L26" s="328">
        <v>54187</v>
      </c>
      <c r="M26" s="328">
        <v>185579</v>
      </c>
      <c r="N26" s="328">
        <f t="shared" si="0"/>
        <v>180742.81818181818</v>
      </c>
      <c r="O26" s="330"/>
      <c r="P26" s="330"/>
      <c r="Q26" s="331" t="s">
        <v>563</v>
      </c>
      <c r="R26" s="342"/>
      <c r="S26" s="78">
        <v>1</v>
      </c>
      <c r="T26" s="332">
        <v>0.06</v>
      </c>
      <c r="U26" s="330">
        <f t="shared" si="6"/>
        <v>167238.95873629919</v>
      </c>
      <c r="V26" s="330">
        <f t="shared" si="7"/>
        <v>212907.64956880864</v>
      </c>
      <c r="W26" s="333">
        <v>0.9</v>
      </c>
      <c r="X26" s="327"/>
      <c r="Y26" s="334">
        <f t="shared" si="1"/>
        <v>0</v>
      </c>
      <c r="Z26" s="334">
        <f t="shared" si="2"/>
        <v>0</v>
      </c>
    </row>
    <row r="27" spans="1:27">
      <c r="A27" s="327" t="s">
        <v>609</v>
      </c>
      <c r="B27" s="327">
        <v>1.5</v>
      </c>
      <c r="C27" s="327">
        <v>3.5</v>
      </c>
      <c r="D27" s="327">
        <f t="shared" si="3"/>
        <v>5</v>
      </c>
      <c r="E27" s="328">
        <v>38855</v>
      </c>
      <c r="F27" s="328">
        <v>186189</v>
      </c>
      <c r="G27" s="327">
        <v>90</v>
      </c>
      <c r="H27" s="327">
        <v>10</v>
      </c>
      <c r="I27" s="329">
        <v>6060.6060606060646</v>
      </c>
      <c r="J27" s="329">
        <f t="shared" si="4"/>
        <v>59649.006060606065</v>
      </c>
      <c r="K27" s="329">
        <f t="shared" si="5"/>
        <v>298245.03030303033</v>
      </c>
      <c r="L27" s="328">
        <v>54187</v>
      </c>
      <c r="M27" s="328">
        <v>185579</v>
      </c>
      <c r="N27" s="328">
        <f t="shared" si="0"/>
        <v>256853.82121212126</v>
      </c>
      <c r="O27" s="336"/>
      <c r="P27" s="336"/>
      <c r="Q27" s="337" t="s">
        <v>563</v>
      </c>
      <c r="R27" s="342"/>
      <c r="S27" s="78">
        <v>2</v>
      </c>
      <c r="T27" s="338">
        <v>0.08</v>
      </c>
      <c r="U27" s="330">
        <f t="shared" si="6"/>
        <v>324179.38076416339</v>
      </c>
      <c r="V27" s="330">
        <f t="shared" si="7"/>
        <v>412704.49492573319</v>
      </c>
      <c r="W27" s="333">
        <v>0.7</v>
      </c>
      <c r="X27" s="327"/>
      <c r="Y27" s="334">
        <f t="shared" si="1"/>
        <v>0</v>
      </c>
      <c r="Z27" s="334">
        <f t="shared" si="2"/>
        <v>0</v>
      </c>
    </row>
    <row r="28" spans="1:27">
      <c r="A28" s="273" t="s">
        <v>610</v>
      </c>
      <c r="B28" s="273">
        <v>1</v>
      </c>
      <c r="C28" s="327">
        <v>32</v>
      </c>
      <c r="D28" s="327">
        <f t="shared" si="3"/>
        <v>33</v>
      </c>
      <c r="E28" s="328">
        <v>38855</v>
      </c>
      <c r="F28" s="328">
        <v>186189</v>
      </c>
      <c r="G28" s="327">
        <v>50</v>
      </c>
      <c r="H28" s="327">
        <v>50</v>
      </c>
      <c r="I28" s="329">
        <v>6060.6060606060646</v>
      </c>
      <c r="J28" s="329">
        <f t="shared" si="4"/>
        <v>118582.60606060606</v>
      </c>
      <c r="K28" s="329">
        <f t="shared" si="5"/>
        <v>3913226</v>
      </c>
      <c r="L28" s="328"/>
      <c r="M28" s="328"/>
      <c r="N28" s="328"/>
      <c r="O28" s="335"/>
      <c r="P28" s="335"/>
      <c r="Q28" s="331"/>
      <c r="R28" s="341"/>
      <c r="S28" s="78">
        <v>4</v>
      </c>
      <c r="T28" s="332">
        <v>0.12</v>
      </c>
      <c r="U28" s="330">
        <f t="shared" si="6"/>
        <v>4446847.7272727275</v>
      </c>
      <c r="V28" s="330">
        <f t="shared" si="7"/>
        <v>5661168.3351657894</v>
      </c>
      <c r="W28" s="333">
        <v>0.95</v>
      </c>
      <c r="X28" s="327"/>
      <c r="Y28" s="334">
        <f t="shared" si="1"/>
        <v>0</v>
      </c>
      <c r="Z28" s="334">
        <f t="shared" si="2"/>
        <v>0</v>
      </c>
    </row>
    <row r="29" spans="1:27" ht="15" customHeight="1">
      <c r="A29" s="273" t="s">
        <v>611</v>
      </c>
      <c r="B29" s="273">
        <v>1.5</v>
      </c>
      <c r="C29" s="327">
        <v>55</v>
      </c>
      <c r="D29" s="327">
        <f t="shared" si="3"/>
        <v>56.5</v>
      </c>
      <c r="E29" s="328">
        <v>38855</v>
      </c>
      <c r="F29" s="328">
        <v>186189</v>
      </c>
      <c r="G29" s="327">
        <v>50</v>
      </c>
      <c r="H29" s="327">
        <v>50</v>
      </c>
      <c r="I29" s="329">
        <v>6060.6060606060646</v>
      </c>
      <c r="J29" s="329">
        <f t="shared" si="4"/>
        <v>118582.60606060606</v>
      </c>
      <c r="K29" s="329">
        <f t="shared" si="5"/>
        <v>6699917.2424242422</v>
      </c>
      <c r="L29" s="328"/>
      <c r="M29" s="328"/>
      <c r="N29" s="328"/>
      <c r="O29" s="330"/>
      <c r="P29" s="330"/>
      <c r="Q29" s="331"/>
      <c r="R29" s="342"/>
      <c r="S29" s="78">
        <v>5</v>
      </c>
      <c r="T29" s="332">
        <v>0.14000000000000001</v>
      </c>
      <c r="U29" s="330">
        <f t="shared" si="6"/>
        <v>7790601.4446793515</v>
      </c>
      <c r="V29" s="330">
        <f t="shared" si="7"/>
        <v>9918015.8430036306</v>
      </c>
      <c r="W29" s="333">
        <v>0.95</v>
      </c>
      <c r="X29" s="327"/>
      <c r="Y29" s="334">
        <f t="shared" si="1"/>
        <v>0</v>
      </c>
      <c r="Z29" s="334">
        <f t="shared" si="2"/>
        <v>0</v>
      </c>
    </row>
    <row r="30" spans="1:27" ht="13.9" customHeight="1">
      <c r="A30" s="327" t="s">
        <v>612</v>
      </c>
      <c r="B30" s="327">
        <v>1.5</v>
      </c>
      <c r="C30" s="327">
        <v>6</v>
      </c>
      <c r="D30" s="327">
        <f t="shared" si="3"/>
        <v>7.5</v>
      </c>
      <c r="E30" s="328">
        <v>38855</v>
      </c>
      <c r="F30" s="328">
        <v>186189</v>
      </c>
      <c r="G30" s="327">
        <v>60</v>
      </c>
      <c r="H30" s="327">
        <v>40</v>
      </c>
      <c r="I30" s="329">
        <v>6006</v>
      </c>
      <c r="J30" s="329">
        <f t="shared" si="4"/>
        <v>103794.6</v>
      </c>
      <c r="K30" s="329">
        <f t="shared" si="5"/>
        <v>778459.5</v>
      </c>
      <c r="L30" s="328"/>
      <c r="M30" s="328"/>
      <c r="N30" s="328"/>
      <c r="O30" s="330"/>
      <c r="P30" s="330"/>
      <c r="Q30" s="331"/>
      <c r="R30" s="342"/>
      <c r="S30" s="78">
        <v>5</v>
      </c>
      <c r="T30" s="332">
        <v>0.14000000000000001</v>
      </c>
      <c r="U30" s="330">
        <f t="shared" si="6"/>
        <v>905185.46511627908</v>
      </c>
      <c r="V30" s="330">
        <f t="shared" si="7"/>
        <v>1152368.5106508965</v>
      </c>
      <c r="W30" s="333">
        <v>0.3</v>
      </c>
      <c r="X30" s="327"/>
      <c r="Y30" s="334">
        <f t="shared" si="1"/>
        <v>0</v>
      </c>
      <c r="Z30" s="334">
        <f t="shared" si="2"/>
        <v>0</v>
      </c>
      <c r="AA30" s="45"/>
    </row>
    <row r="31" spans="1:27" ht="13.9" customHeight="1">
      <c r="A31" s="327" t="s">
        <v>613</v>
      </c>
      <c r="B31" s="327">
        <v>1.5</v>
      </c>
      <c r="C31" s="327">
        <v>4.5</v>
      </c>
      <c r="D31" s="327">
        <f t="shared" si="3"/>
        <v>6</v>
      </c>
      <c r="E31" s="328">
        <v>38855</v>
      </c>
      <c r="F31" s="328">
        <v>186189</v>
      </c>
      <c r="G31" s="327">
        <v>80</v>
      </c>
      <c r="H31" s="327">
        <v>20</v>
      </c>
      <c r="I31" s="329">
        <v>6006</v>
      </c>
      <c r="J31" s="329">
        <f t="shared" si="4"/>
        <v>74327.8</v>
      </c>
      <c r="K31" s="329">
        <f t="shared" si="5"/>
        <v>445966.80000000005</v>
      </c>
      <c r="L31" s="328"/>
      <c r="M31" s="328"/>
      <c r="N31" s="328"/>
      <c r="O31" s="330"/>
      <c r="P31" s="330"/>
      <c r="Q31" s="331"/>
      <c r="R31" s="342"/>
      <c r="S31" s="78">
        <v>5</v>
      </c>
      <c r="T31" s="332">
        <v>0.14000000000000001</v>
      </c>
      <c r="U31" s="330">
        <f t="shared" si="6"/>
        <v>518566.04651162797</v>
      </c>
      <c r="V31" s="330">
        <f t="shared" si="7"/>
        <v>660173.19734134688</v>
      </c>
      <c r="W31" s="333">
        <v>0.3</v>
      </c>
      <c r="X31" s="327"/>
      <c r="Y31" s="334">
        <f t="shared" si="1"/>
        <v>0</v>
      </c>
      <c r="Z31" s="334">
        <f t="shared" si="2"/>
        <v>0</v>
      </c>
    </row>
    <row r="32" spans="1:27" ht="13.15" customHeight="1">
      <c r="A32" s="327" t="s">
        <v>614</v>
      </c>
      <c r="B32" s="327">
        <v>1.5</v>
      </c>
      <c r="C32" s="327">
        <v>6</v>
      </c>
      <c r="D32" s="327">
        <f>B32+C32</f>
        <v>7.5</v>
      </c>
      <c r="E32" s="328">
        <v>38855</v>
      </c>
      <c r="F32" s="328">
        <v>186189</v>
      </c>
      <c r="G32" s="327">
        <v>60</v>
      </c>
      <c r="H32" s="327">
        <v>40</v>
      </c>
      <c r="I32" s="329">
        <v>6006</v>
      </c>
      <c r="J32" s="329">
        <f>+E32*G32/100+F32*H32/100+I32</f>
        <v>103794.6</v>
      </c>
      <c r="K32" s="329">
        <f>+J32*D32</f>
        <v>778459.5</v>
      </c>
      <c r="L32" s="328"/>
      <c r="M32" s="328"/>
      <c r="N32" s="328"/>
      <c r="O32" s="330"/>
      <c r="P32" s="330"/>
      <c r="Q32" s="331"/>
      <c r="R32" s="342"/>
      <c r="S32" s="78">
        <v>5</v>
      </c>
      <c r="T32" s="332">
        <v>0.14000000000000001</v>
      </c>
      <c r="U32" s="330">
        <f>+K32*1/(1-T32)</f>
        <v>905185.46511627908</v>
      </c>
      <c r="V32" s="330">
        <f>+U32*1/(1-0.2145)</f>
        <v>1152368.5106508965</v>
      </c>
      <c r="W32" s="333">
        <v>0.3</v>
      </c>
      <c r="X32" s="327"/>
      <c r="Y32" s="334">
        <f t="shared" si="1"/>
        <v>0</v>
      </c>
      <c r="Z32" s="334">
        <f t="shared" si="2"/>
        <v>0</v>
      </c>
    </row>
    <row r="33" spans="1:27" ht="13.9" customHeight="1">
      <c r="A33" s="327" t="s">
        <v>607</v>
      </c>
      <c r="B33" s="327">
        <v>1.5</v>
      </c>
      <c r="C33" s="327">
        <v>6</v>
      </c>
      <c r="D33" s="327">
        <f t="shared" ref="D33:D34" si="10">B33+C33</f>
        <v>7.5</v>
      </c>
      <c r="E33" s="328">
        <v>38855</v>
      </c>
      <c r="F33" s="328">
        <v>186189</v>
      </c>
      <c r="G33" s="327">
        <v>60</v>
      </c>
      <c r="H33" s="327">
        <v>40</v>
      </c>
      <c r="I33" s="329">
        <v>6006</v>
      </c>
      <c r="J33" s="329">
        <f t="shared" ref="J33:J34" si="11">+E33*G33/100+F33*H33/100+I33</f>
        <v>103794.6</v>
      </c>
      <c r="K33" s="329">
        <f t="shared" ref="K33:K34" si="12">+J33*D33</f>
        <v>778459.5</v>
      </c>
      <c r="L33" s="328"/>
      <c r="M33" s="328"/>
      <c r="N33" s="328"/>
      <c r="O33" s="330"/>
      <c r="P33" s="330"/>
      <c r="Q33" s="331"/>
      <c r="R33" s="342"/>
      <c r="S33" s="78">
        <v>5</v>
      </c>
      <c r="T33" s="332">
        <v>0.14000000000000001</v>
      </c>
      <c r="U33" s="330">
        <f t="shared" ref="U33:U34" si="13">+K33*1/(1-T33)</f>
        <v>905185.46511627908</v>
      </c>
      <c r="V33" s="330">
        <f t="shared" si="7"/>
        <v>1152368.5106508965</v>
      </c>
      <c r="W33" s="333">
        <v>0.3</v>
      </c>
      <c r="X33" s="327"/>
      <c r="Y33" s="334">
        <f t="shared" si="1"/>
        <v>0</v>
      </c>
      <c r="Z33" s="334">
        <f t="shared" si="2"/>
        <v>0</v>
      </c>
      <c r="AA33" s="45"/>
    </row>
    <row r="34" spans="1:27" ht="13.9" customHeight="1">
      <c r="A34" s="327" t="s">
        <v>615</v>
      </c>
      <c r="B34" s="327">
        <v>1</v>
      </c>
      <c r="C34" s="327">
        <v>5</v>
      </c>
      <c r="D34" s="327">
        <f t="shared" si="10"/>
        <v>6</v>
      </c>
      <c r="E34" s="328">
        <v>38855</v>
      </c>
      <c r="F34" s="328">
        <v>186189</v>
      </c>
      <c r="G34" s="327">
        <v>60</v>
      </c>
      <c r="H34" s="327">
        <v>40</v>
      </c>
      <c r="I34" s="329">
        <v>6006</v>
      </c>
      <c r="J34" s="329">
        <f t="shared" si="11"/>
        <v>103794.6</v>
      </c>
      <c r="K34" s="329">
        <f t="shared" si="12"/>
        <v>622767.60000000009</v>
      </c>
      <c r="L34" s="328"/>
      <c r="M34" s="328"/>
      <c r="N34" s="328"/>
      <c r="O34" s="330"/>
      <c r="P34" s="330"/>
      <c r="Q34" s="331"/>
      <c r="R34" s="342"/>
      <c r="S34" s="78">
        <v>5</v>
      </c>
      <c r="T34" s="332">
        <v>0.14000000000000001</v>
      </c>
      <c r="U34" s="330">
        <f t="shared" si="13"/>
        <v>724148.37209302338</v>
      </c>
      <c r="V34" s="330">
        <f t="shared" si="7"/>
        <v>921894.80852071731</v>
      </c>
      <c r="W34" s="333">
        <v>0.5</v>
      </c>
      <c r="X34" s="327"/>
      <c r="Y34" s="334">
        <f t="shared" si="1"/>
        <v>0</v>
      </c>
      <c r="Z34" s="334">
        <f t="shared" si="2"/>
        <v>0</v>
      </c>
    </row>
    <row r="35" spans="1:27">
      <c r="A35" s="327" t="s">
        <v>616</v>
      </c>
      <c r="B35" s="327">
        <v>5</v>
      </c>
      <c r="C35" s="327">
        <v>105</v>
      </c>
      <c r="D35" s="327">
        <f t="shared" si="3"/>
        <v>110</v>
      </c>
      <c r="E35" s="328">
        <v>38855</v>
      </c>
      <c r="F35" s="328">
        <v>186189</v>
      </c>
      <c r="G35" s="327">
        <v>80</v>
      </c>
      <c r="H35" s="327">
        <v>20</v>
      </c>
      <c r="I35" s="329">
        <v>3773.5849056603774</v>
      </c>
      <c r="J35" s="329">
        <f>+E35*G35/100+F35*H35/100+I35*5</f>
        <v>87189.724528301886</v>
      </c>
      <c r="K35" s="329">
        <f t="shared" si="5"/>
        <v>9590869.6981132068</v>
      </c>
      <c r="L35" s="328">
        <v>54187</v>
      </c>
      <c r="M35" s="328">
        <v>185579</v>
      </c>
      <c r="N35" s="328">
        <f t="shared" ref="N35:N41" si="14">+(L35*G35/100+M35*H35/100+I35)*C35</f>
        <v>8845093.4150943384</v>
      </c>
      <c r="O35" s="336"/>
      <c r="P35" s="336"/>
      <c r="Q35" s="337" t="s">
        <v>563</v>
      </c>
      <c r="R35" s="336"/>
      <c r="S35" s="78">
        <v>5</v>
      </c>
      <c r="T35" s="338">
        <v>0.14000000000000001</v>
      </c>
      <c r="U35" s="330">
        <f t="shared" si="6"/>
        <v>11152174.067573497</v>
      </c>
      <c r="V35" s="330">
        <f t="shared" si="7"/>
        <v>14197548.144587521</v>
      </c>
      <c r="W35" s="343">
        <v>1</v>
      </c>
      <c r="X35" s="3"/>
      <c r="Y35" s="334">
        <f t="shared" si="1"/>
        <v>0</v>
      </c>
      <c r="Z35" s="334">
        <f t="shared" si="2"/>
        <v>0</v>
      </c>
    </row>
    <row r="36" spans="1:27">
      <c r="A36" s="327" t="s">
        <v>617</v>
      </c>
      <c r="B36" s="327">
        <v>-6</v>
      </c>
      <c r="C36" s="327">
        <v>12</v>
      </c>
      <c r="D36" s="340">
        <f t="shared" si="3"/>
        <v>6</v>
      </c>
      <c r="E36" s="328">
        <v>38855</v>
      </c>
      <c r="F36" s="328">
        <v>186189</v>
      </c>
      <c r="G36" s="327">
        <v>70</v>
      </c>
      <c r="H36" s="327">
        <v>30</v>
      </c>
      <c r="I36" s="329">
        <v>3773.5849056603774</v>
      </c>
      <c r="J36" s="329">
        <f t="shared" ref="J36:J41" si="15">+E36*G36/100+F36*H36/100+I36</f>
        <v>86828.784905660374</v>
      </c>
      <c r="K36" s="329">
        <f t="shared" si="5"/>
        <v>520972.70943396224</v>
      </c>
      <c r="L36" s="328">
        <v>54187</v>
      </c>
      <c r="M36" s="328">
        <v>185579</v>
      </c>
      <c r="N36" s="328">
        <f t="shared" si="14"/>
        <v>1168538.2188679245</v>
      </c>
      <c r="O36" s="336"/>
      <c r="P36" s="336"/>
      <c r="Q36" s="337" t="s">
        <v>563</v>
      </c>
      <c r="R36" s="336"/>
      <c r="S36" s="78">
        <v>1</v>
      </c>
      <c r="T36" s="338">
        <v>0.06</v>
      </c>
      <c r="U36" s="330">
        <f t="shared" si="6"/>
        <v>554226.28663187474</v>
      </c>
      <c r="V36" s="330">
        <f t="shared" si="7"/>
        <v>705571.33880569669</v>
      </c>
      <c r="W36" s="344">
        <v>0.9</v>
      </c>
      <c r="X36" s="3"/>
      <c r="Y36" s="334">
        <f t="shared" si="1"/>
        <v>0</v>
      </c>
      <c r="Z36" s="334">
        <f t="shared" si="2"/>
        <v>0</v>
      </c>
    </row>
    <row r="37" spans="1:27">
      <c r="A37" s="327" t="s">
        <v>618</v>
      </c>
      <c r="B37" s="327">
        <v>1.5</v>
      </c>
      <c r="C37" s="327">
        <v>4.5</v>
      </c>
      <c r="D37" s="327">
        <f t="shared" si="3"/>
        <v>6</v>
      </c>
      <c r="E37" s="328">
        <v>38855</v>
      </c>
      <c r="F37" s="328">
        <v>186189</v>
      </c>
      <c r="G37" s="327">
        <v>80</v>
      </c>
      <c r="H37" s="327">
        <v>20</v>
      </c>
      <c r="I37" s="329">
        <v>3773.5849056603774</v>
      </c>
      <c r="J37" s="329">
        <f t="shared" si="15"/>
        <v>72095.384905660379</v>
      </c>
      <c r="K37" s="329">
        <f t="shared" si="5"/>
        <v>432572.30943396228</v>
      </c>
      <c r="L37" s="328">
        <v>54187</v>
      </c>
      <c r="M37" s="328">
        <v>185579</v>
      </c>
      <c r="N37" s="328">
        <f t="shared" si="14"/>
        <v>379075.43207547168</v>
      </c>
      <c r="O37" s="336"/>
      <c r="P37" s="336"/>
      <c r="Q37" s="337" t="s">
        <v>563</v>
      </c>
      <c r="R37" s="336"/>
      <c r="S37" s="78">
        <v>1</v>
      </c>
      <c r="T37" s="338">
        <v>0.06</v>
      </c>
      <c r="U37" s="330">
        <f t="shared" si="6"/>
        <v>460183.30790847051</v>
      </c>
      <c r="V37" s="330">
        <f t="shared" si="7"/>
        <v>585847.62305343163</v>
      </c>
      <c r="W37" s="344">
        <v>0.9</v>
      </c>
      <c r="X37" s="3"/>
      <c r="Y37" s="334">
        <f t="shared" si="1"/>
        <v>0</v>
      </c>
      <c r="Z37" s="334">
        <f t="shared" si="2"/>
        <v>0</v>
      </c>
    </row>
    <row r="38" spans="1:27">
      <c r="A38" s="327" t="s">
        <v>619</v>
      </c>
      <c r="B38" s="327">
        <v>1</v>
      </c>
      <c r="C38" s="327">
        <v>5</v>
      </c>
      <c r="D38" s="327">
        <f t="shared" si="3"/>
        <v>6</v>
      </c>
      <c r="E38" s="328">
        <v>38855</v>
      </c>
      <c r="F38" s="328">
        <v>186189</v>
      </c>
      <c r="G38" s="327">
        <v>80</v>
      </c>
      <c r="H38" s="327">
        <v>20</v>
      </c>
      <c r="I38" s="329">
        <v>3773.5849056603774</v>
      </c>
      <c r="J38" s="329">
        <f t="shared" si="15"/>
        <v>72095.384905660379</v>
      </c>
      <c r="K38" s="329">
        <f t="shared" si="5"/>
        <v>432572.30943396228</v>
      </c>
      <c r="L38" s="328">
        <v>54187</v>
      </c>
      <c r="M38" s="328">
        <v>185579</v>
      </c>
      <c r="N38" s="328">
        <f t="shared" si="14"/>
        <v>421194.92452830187</v>
      </c>
      <c r="O38" s="336">
        <v>150</v>
      </c>
      <c r="P38" s="336"/>
      <c r="Q38" s="337" t="s">
        <v>563</v>
      </c>
      <c r="R38" s="336"/>
      <c r="S38" s="78">
        <v>1</v>
      </c>
      <c r="T38" s="338">
        <v>0.06</v>
      </c>
      <c r="U38" s="330">
        <f t="shared" si="6"/>
        <v>460183.30790847051</v>
      </c>
      <c r="V38" s="330">
        <f t="shared" si="7"/>
        <v>585847.62305343163</v>
      </c>
      <c r="W38" s="344">
        <v>0.8</v>
      </c>
      <c r="X38" s="327"/>
      <c r="Y38" s="334">
        <f t="shared" si="1"/>
        <v>0</v>
      </c>
      <c r="Z38" s="334">
        <f t="shared" si="2"/>
        <v>0</v>
      </c>
    </row>
    <row r="39" spans="1:27">
      <c r="A39" s="327" t="s">
        <v>620</v>
      </c>
      <c r="B39" s="327">
        <v>4</v>
      </c>
      <c r="C39" s="327">
        <v>24</v>
      </c>
      <c r="D39" s="327">
        <f t="shared" si="3"/>
        <v>28</v>
      </c>
      <c r="E39" s="328">
        <v>38855</v>
      </c>
      <c r="F39" s="328">
        <v>186189</v>
      </c>
      <c r="G39" s="327">
        <v>70</v>
      </c>
      <c r="H39" s="327">
        <v>30</v>
      </c>
      <c r="I39" s="329">
        <v>6060.6060606060646</v>
      </c>
      <c r="J39" s="329">
        <f t="shared" si="15"/>
        <v>89115.806060606061</v>
      </c>
      <c r="K39" s="329">
        <f t="shared" si="5"/>
        <v>2495242.5696969698</v>
      </c>
      <c r="L39" s="328">
        <v>54187</v>
      </c>
      <c r="M39" s="328">
        <v>185579</v>
      </c>
      <c r="N39" s="328">
        <f t="shared" si="14"/>
        <v>2391964.9454545458</v>
      </c>
      <c r="O39" s="330">
        <v>590</v>
      </c>
      <c r="P39" s="335">
        <f t="shared" ref="P39" si="16">+O39*3500</f>
        <v>2065000</v>
      </c>
      <c r="Q39" s="331" t="s">
        <v>563</v>
      </c>
      <c r="R39" s="331" t="s">
        <v>568</v>
      </c>
      <c r="S39" s="78">
        <v>3</v>
      </c>
      <c r="T39" s="332">
        <v>0.1</v>
      </c>
      <c r="U39" s="330">
        <f t="shared" si="6"/>
        <v>2772491.7441077442</v>
      </c>
      <c r="V39" s="330">
        <f t="shared" si="7"/>
        <v>3529588.4711747221</v>
      </c>
      <c r="W39" s="333">
        <v>0.9</v>
      </c>
      <c r="X39" s="327"/>
      <c r="Y39" s="334">
        <f t="shared" si="1"/>
        <v>0</v>
      </c>
      <c r="Z39" s="334">
        <f t="shared" si="2"/>
        <v>0</v>
      </c>
    </row>
    <row r="40" spans="1:27">
      <c r="A40" s="327" t="s">
        <v>621</v>
      </c>
      <c r="B40" s="327">
        <v>2</v>
      </c>
      <c r="C40" s="327">
        <v>48</v>
      </c>
      <c r="D40" s="327">
        <f t="shared" si="3"/>
        <v>50</v>
      </c>
      <c r="E40" s="328">
        <v>38855</v>
      </c>
      <c r="F40" s="328">
        <v>186189</v>
      </c>
      <c r="G40" s="327">
        <v>60</v>
      </c>
      <c r="H40" s="327">
        <v>40</v>
      </c>
      <c r="I40" s="329">
        <v>3773.5849056603774</v>
      </c>
      <c r="J40" s="329">
        <f t="shared" si="15"/>
        <v>101562.18490566038</v>
      </c>
      <c r="K40" s="329">
        <f t="shared" si="5"/>
        <v>5078109.2452830188</v>
      </c>
      <c r="L40" s="328">
        <v>54187</v>
      </c>
      <c r="M40" s="328">
        <v>185579</v>
      </c>
      <c r="N40" s="328">
        <f t="shared" si="14"/>
        <v>5304834.4754716977</v>
      </c>
      <c r="O40" s="336">
        <v>150</v>
      </c>
      <c r="P40" s="336"/>
      <c r="Q40" s="337" t="s">
        <v>563</v>
      </c>
      <c r="R40" s="336"/>
      <c r="S40" s="78">
        <v>1</v>
      </c>
      <c r="T40" s="338">
        <v>0.06</v>
      </c>
      <c r="U40" s="330">
        <f t="shared" si="6"/>
        <v>5402243.8779606586</v>
      </c>
      <c r="V40" s="330">
        <f t="shared" si="7"/>
        <v>6877458.7879830161</v>
      </c>
      <c r="W40" s="344">
        <v>0.75</v>
      </c>
      <c r="X40" s="327"/>
      <c r="Y40" s="334">
        <f t="shared" si="1"/>
        <v>0</v>
      </c>
      <c r="Z40" s="334">
        <f t="shared" si="2"/>
        <v>0</v>
      </c>
    </row>
    <row r="41" spans="1:27">
      <c r="A41" s="327" t="s">
        <v>622</v>
      </c>
      <c r="B41" s="327">
        <v>0.5</v>
      </c>
      <c r="C41" s="327">
        <v>3</v>
      </c>
      <c r="D41" s="327">
        <f t="shared" si="3"/>
        <v>3.5</v>
      </c>
      <c r="E41" s="328">
        <v>38855</v>
      </c>
      <c r="F41" s="328">
        <v>186189</v>
      </c>
      <c r="G41" s="327">
        <v>80</v>
      </c>
      <c r="H41" s="327">
        <v>20</v>
      </c>
      <c r="I41" s="329">
        <v>3773.5849056603774</v>
      </c>
      <c r="J41" s="329">
        <f t="shared" si="15"/>
        <v>72095.384905660379</v>
      </c>
      <c r="K41" s="329">
        <f t="shared" si="5"/>
        <v>252333.84716981131</v>
      </c>
      <c r="L41" s="328">
        <v>54187</v>
      </c>
      <c r="M41" s="328">
        <v>185579</v>
      </c>
      <c r="N41" s="328">
        <f t="shared" si="14"/>
        <v>252716.9547169811</v>
      </c>
      <c r="O41" s="336">
        <v>150</v>
      </c>
      <c r="P41" s="336"/>
      <c r="Q41" s="337" t="s">
        <v>563</v>
      </c>
      <c r="R41" s="336"/>
      <c r="S41" s="78">
        <v>1</v>
      </c>
      <c r="T41" s="338">
        <v>0.06</v>
      </c>
      <c r="U41" s="330">
        <f t="shared" si="6"/>
        <v>268440.26294660778</v>
      </c>
      <c r="V41" s="330">
        <f t="shared" si="7"/>
        <v>341744.4467811684</v>
      </c>
      <c r="W41" s="344">
        <v>0.75</v>
      </c>
      <c r="X41" s="327"/>
      <c r="Y41" s="334">
        <f t="shared" si="1"/>
        <v>0</v>
      </c>
      <c r="Z41" s="334">
        <f t="shared" si="2"/>
        <v>0</v>
      </c>
    </row>
    <row r="42" spans="1:27">
      <c r="A42" s="327" t="s">
        <v>623</v>
      </c>
      <c r="B42" s="327">
        <v>1.5</v>
      </c>
      <c r="C42" s="327">
        <v>15</v>
      </c>
      <c r="D42" s="327">
        <f t="shared" si="3"/>
        <v>16.5</v>
      </c>
      <c r="E42" s="328">
        <v>38855</v>
      </c>
      <c r="F42" s="328">
        <v>186189</v>
      </c>
      <c r="G42" s="327">
        <v>70</v>
      </c>
      <c r="H42" s="327">
        <v>30</v>
      </c>
      <c r="I42" s="329">
        <f>3773.58490566038+250</f>
        <v>4023.5849056603802</v>
      </c>
      <c r="J42" s="329">
        <f>+E42*G42/100+F42*H42/100+I42</f>
        <v>87078.784905660374</v>
      </c>
      <c r="K42" s="329">
        <f t="shared" si="5"/>
        <v>1436799.9509433962</v>
      </c>
      <c r="L42" s="328"/>
      <c r="M42" s="328"/>
      <c r="N42" s="328"/>
      <c r="O42" s="336">
        <v>350</v>
      </c>
      <c r="P42" s="336"/>
      <c r="Q42" s="337"/>
      <c r="R42" s="336"/>
      <c r="S42" s="78">
        <v>5</v>
      </c>
      <c r="T42" s="338">
        <v>0.14000000000000001</v>
      </c>
      <c r="U42" s="330">
        <f t="shared" si="6"/>
        <v>1670697.6173760421</v>
      </c>
      <c r="V42" s="330">
        <f t="shared" si="7"/>
        <v>2126922.4918854767</v>
      </c>
      <c r="W42" s="344">
        <v>0.5</v>
      </c>
      <c r="X42" s="327"/>
      <c r="Y42" s="334">
        <f t="shared" si="1"/>
        <v>0</v>
      </c>
      <c r="Z42" s="334">
        <f t="shared" si="2"/>
        <v>0</v>
      </c>
    </row>
    <row r="43" spans="1:27" ht="13.9" customHeight="1">
      <c r="A43" s="327" t="s">
        <v>624</v>
      </c>
      <c r="B43" s="327">
        <v>1.5</v>
      </c>
      <c r="C43" s="327">
        <v>2</v>
      </c>
      <c r="D43" s="327">
        <f t="shared" si="3"/>
        <v>3.5</v>
      </c>
      <c r="E43" s="328">
        <v>38855</v>
      </c>
      <c r="F43" s="328">
        <v>186189</v>
      </c>
      <c r="G43" s="327">
        <v>80</v>
      </c>
      <c r="H43" s="327">
        <v>20</v>
      </c>
      <c r="I43" s="329">
        <v>6060.6060606060646</v>
      </c>
      <c r="J43" s="329">
        <f t="shared" ref="J43" si="17">+E43*G43/100+F43*H43/100+I43</f>
        <v>74382.406060606067</v>
      </c>
      <c r="K43" s="329">
        <f t="shared" si="5"/>
        <v>260338.42121212123</v>
      </c>
      <c r="L43" s="328">
        <v>54187</v>
      </c>
      <c r="M43" s="328">
        <v>185579</v>
      </c>
      <c r="N43" s="328">
        <f>+(L43*G43/100+M43*H43/100+I43)*C43</f>
        <v>173052.01212121212</v>
      </c>
      <c r="O43" s="336">
        <v>94</v>
      </c>
      <c r="P43" s="335">
        <f t="shared" ref="P43" si="18">+O43*3500</f>
        <v>329000</v>
      </c>
      <c r="Q43" s="337" t="s">
        <v>563</v>
      </c>
      <c r="R43" s="337" t="s">
        <v>582</v>
      </c>
      <c r="S43" s="78">
        <v>1</v>
      </c>
      <c r="T43" s="338">
        <v>0.06</v>
      </c>
      <c r="U43" s="330">
        <f t="shared" si="6"/>
        <v>276955.7672469375</v>
      </c>
      <c r="V43" s="330">
        <f t="shared" si="7"/>
        <v>352585.31794645131</v>
      </c>
      <c r="W43" s="333">
        <v>0.7</v>
      </c>
      <c r="X43" s="327"/>
      <c r="Y43" s="334">
        <f t="shared" si="1"/>
        <v>0</v>
      </c>
      <c r="Z43" s="334">
        <f t="shared" si="2"/>
        <v>0</v>
      </c>
    </row>
    <row r="44" spans="1:27">
      <c r="A44" s="327" t="s">
        <v>625</v>
      </c>
      <c r="B44" s="327">
        <v>1</v>
      </c>
      <c r="C44" s="327">
        <v>2</v>
      </c>
      <c r="D44" s="327">
        <f t="shared" si="3"/>
        <v>3</v>
      </c>
      <c r="E44" s="328">
        <v>38855</v>
      </c>
      <c r="F44" s="328">
        <v>186189</v>
      </c>
      <c r="G44" s="327">
        <v>70</v>
      </c>
      <c r="H44" s="327">
        <v>30</v>
      </c>
      <c r="I44" s="329">
        <v>6060.6060606060646</v>
      </c>
      <c r="J44" s="329">
        <f>+E44*G44/100+F44*H44/100+I44</f>
        <v>89115.806060606061</v>
      </c>
      <c r="K44" s="329">
        <f t="shared" si="5"/>
        <v>267347.41818181821</v>
      </c>
      <c r="L44" s="328"/>
      <c r="M44" s="328"/>
      <c r="N44" s="328"/>
      <c r="O44" s="336">
        <v>350</v>
      </c>
      <c r="P44" s="336"/>
      <c r="Q44" s="337"/>
      <c r="R44" s="336"/>
      <c r="S44" s="78">
        <v>5</v>
      </c>
      <c r="T44" s="338">
        <v>0.14000000000000001</v>
      </c>
      <c r="U44" s="330">
        <f t="shared" si="6"/>
        <v>310869.09090909094</v>
      </c>
      <c r="V44" s="330">
        <f t="shared" si="7"/>
        <v>395759.50465829531</v>
      </c>
      <c r="W44" s="344">
        <v>0.9</v>
      </c>
      <c r="X44" s="327"/>
      <c r="Y44" s="334">
        <f t="shared" si="1"/>
        <v>0</v>
      </c>
      <c r="Z44" s="334">
        <f t="shared" si="2"/>
        <v>0</v>
      </c>
    </row>
    <row r="45" spans="1:27">
      <c r="A45" s="327" t="s">
        <v>626</v>
      </c>
      <c r="B45" s="327">
        <v>0.5</v>
      </c>
      <c r="C45" s="327">
        <v>3</v>
      </c>
      <c r="D45" s="327">
        <f t="shared" si="3"/>
        <v>3.5</v>
      </c>
      <c r="E45" s="328">
        <v>38855</v>
      </c>
      <c r="F45" s="328">
        <v>186189</v>
      </c>
      <c r="G45" s="327">
        <v>80</v>
      </c>
      <c r="H45" s="327">
        <v>20</v>
      </c>
      <c r="I45" s="329">
        <v>6060.6060606060646</v>
      </c>
      <c r="J45" s="329">
        <f>+E45*G45/100+F45*H45/100+I45</f>
        <v>74382.406060606067</v>
      </c>
      <c r="K45" s="329">
        <f t="shared" si="5"/>
        <v>260338.42121212123</v>
      </c>
      <c r="L45" s="328"/>
      <c r="M45" s="328"/>
      <c r="N45" s="328"/>
      <c r="O45" s="336">
        <v>350</v>
      </c>
      <c r="P45" s="336"/>
      <c r="Q45" s="337"/>
      <c r="R45" s="336"/>
      <c r="S45" s="78">
        <v>5</v>
      </c>
      <c r="T45" s="338">
        <v>0.14000000000000001</v>
      </c>
      <c r="U45" s="330">
        <f t="shared" si="6"/>
        <v>302719.09443269909</v>
      </c>
      <c r="V45" s="330">
        <f t="shared" si="7"/>
        <v>385383.95217402815</v>
      </c>
      <c r="W45" s="344">
        <v>0.5</v>
      </c>
      <c r="X45" s="327"/>
      <c r="Y45" s="334">
        <f t="shared" si="1"/>
        <v>0</v>
      </c>
      <c r="Z45" s="334">
        <f t="shared" si="2"/>
        <v>0</v>
      </c>
    </row>
    <row r="46" spans="1:27">
      <c r="A46" s="327" t="s">
        <v>627</v>
      </c>
      <c r="B46" s="327">
        <v>0.5</v>
      </c>
      <c r="C46" s="327">
        <v>3.5</v>
      </c>
      <c r="D46" s="327">
        <f t="shared" si="3"/>
        <v>4</v>
      </c>
      <c r="E46" s="328">
        <v>38855</v>
      </c>
      <c r="F46" s="328">
        <v>186189</v>
      </c>
      <c r="G46" s="327">
        <v>70</v>
      </c>
      <c r="H46" s="327">
        <v>30</v>
      </c>
      <c r="I46" s="329">
        <v>6060.6060606060646</v>
      </c>
      <c r="J46" s="329">
        <f>+E46*G46/100+F46*H46/100+I46</f>
        <v>89115.806060606061</v>
      </c>
      <c r="K46" s="329">
        <f t="shared" si="5"/>
        <v>356463.22424242424</v>
      </c>
      <c r="L46" s="328"/>
      <c r="M46" s="328"/>
      <c r="N46" s="328"/>
      <c r="O46" s="336">
        <v>350</v>
      </c>
      <c r="P46" s="336"/>
      <c r="Q46" s="337"/>
      <c r="R46" s="336"/>
      <c r="S46" s="78">
        <v>5</v>
      </c>
      <c r="T46" s="338">
        <v>0.14000000000000001</v>
      </c>
      <c r="U46" s="330">
        <f t="shared" si="6"/>
        <v>414492.12121212122</v>
      </c>
      <c r="V46" s="330">
        <f t="shared" si="7"/>
        <v>527679.3395443937</v>
      </c>
      <c r="W46" s="344">
        <v>0.2</v>
      </c>
      <c r="X46" s="327"/>
      <c r="Y46" s="334">
        <f t="shared" si="1"/>
        <v>0</v>
      </c>
      <c r="Z46" s="334">
        <f t="shared" si="2"/>
        <v>0</v>
      </c>
    </row>
    <row r="54" spans="1:2" ht="45">
      <c r="A54" s="322" t="s">
        <v>540</v>
      </c>
      <c r="B54" s="322" t="s">
        <v>541</v>
      </c>
    </row>
  </sheetData>
  <autoFilter ref="A1:AA1" xr:uid="{B181A91F-A20E-42A1-9F08-5E6534C4E82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F696-6F33-4B55-95EE-4A7EEACC7E5C}">
  <sheetPr codeName="Hoja11"/>
  <dimension ref="B2:I29"/>
  <sheetViews>
    <sheetView workbookViewId="0">
      <selection activeCell="B44" sqref="B44"/>
    </sheetView>
  </sheetViews>
  <sheetFormatPr baseColWidth="10" defaultRowHeight="15"/>
  <cols>
    <col min="6" max="6" width="13.85546875" bestFit="1" customWidth="1"/>
  </cols>
  <sheetData>
    <row r="2" spans="2:9">
      <c r="B2" s="377" t="s">
        <v>770</v>
      </c>
      <c r="C2" s="378">
        <v>479749</v>
      </c>
      <c r="D2" s="378">
        <v>1131533</v>
      </c>
    </row>
    <row r="3" spans="2:9">
      <c r="B3" s="377" t="s">
        <v>771</v>
      </c>
      <c r="C3" s="378">
        <v>479749</v>
      </c>
      <c r="D3" s="378">
        <v>1131533</v>
      </c>
      <c r="F3" s="375"/>
    </row>
    <row r="4" spans="2:9">
      <c r="B4" s="377" t="s">
        <v>480</v>
      </c>
      <c r="C4" s="378">
        <v>395156</v>
      </c>
      <c r="D4" s="378">
        <v>990069</v>
      </c>
      <c r="F4" s="375"/>
      <c r="H4">
        <v>27</v>
      </c>
    </row>
    <row r="5" spans="2:9">
      <c r="B5" s="379" t="s">
        <v>481</v>
      </c>
      <c r="C5" s="380">
        <v>263982</v>
      </c>
      <c r="D5" s="380">
        <v>417266</v>
      </c>
      <c r="E5" s="381">
        <v>31</v>
      </c>
      <c r="F5" s="375"/>
      <c r="H5">
        <v>54.7</v>
      </c>
    </row>
    <row r="6" spans="2:9">
      <c r="B6" s="377" t="s">
        <v>482</v>
      </c>
      <c r="C6" s="378">
        <v>132730</v>
      </c>
      <c r="D6" s="378">
        <v>252361</v>
      </c>
      <c r="E6" s="375"/>
      <c r="H6">
        <v>16.600000000000001</v>
      </c>
    </row>
    <row r="7" spans="2:9">
      <c r="B7" s="379" t="s">
        <v>483</v>
      </c>
      <c r="C7" s="380">
        <v>61946</v>
      </c>
      <c r="D7" s="380">
        <v>184949</v>
      </c>
      <c r="E7" s="375">
        <v>122</v>
      </c>
      <c r="F7" s="356">
        <f>+(C7*E7+C5*E5)</f>
        <v>15740854</v>
      </c>
      <c r="G7" s="356"/>
      <c r="H7" s="356">
        <v>1.6</v>
      </c>
      <c r="I7">
        <f>+C7*10+C5*1</f>
        <v>883442</v>
      </c>
    </row>
    <row r="8" spans="2:9">
      <c r="B8" s="377" t="s">
        <v>484</v>
      </c>
      <c r="C8" s="378">
        <v>44097</v>
      </c>
      <c r="D8" s="378">
        <v>119232</v>
      </c>
      <c r="H8">
        <v>0.08</v>
      </c>
    </row>
    <row r="9" spans="2:9">
      <c r="B9" s="377" t="s">
        <v>772</v>
      </c>
      <c r="C9" s="378">
        <v>39979</v>
      </c>
      <c r="D9" s="378">
        <v>119232</v>
      </c>
    </row>
    <row r="12" spans="2:9">
      <c r="E12">
        <f>1330*4000</f>
        <v>5320000</v>
      </c>
      <c r="F12">
        <f>2*6*52</f>
        <v>624</v>
      </c>
    </row>
    <row r="13" spans="2:9">
      <c r="E13">
        <v>2000</v>
      </c>
      <c r="F13" s="375">
        <f>+E12/E13*F12</f>
        <v>1659840</v>
      </c>
      <c r="H13" t="s">
        <v>773</v>
      </c>
    </row>
    <row r="16" spans="2:9">
      <c r="E16">
        <v>50</v>
      </c>
    </row>
    <row r="22" spans="6:7">
      <c r="F22">
        <v>14000</v>
      </c>
    </row>
    <row r="23" spans="6:7">
      <c r="F23" t="s">
        <v>774</v>
      </c>
    </row>
    <row r="24" spans="6:7">
      <c r="F24">
        <v>20</v>
      </c>
    </row>
    <row r="25" spans="6:7">
      <c r="F25">
        <f>+F24*3</f>
        <v>60</v>
      </c>
    </row>
    <row r="26" spans="6:7">
      <c r="F26">
        <f>+F22/F25</f>
        <v>233.33333333333334</v>
      </c>
    </row>
    <row r="28" spans="6:7">
      <c r="F28">
        <v>10</v>
      </c>
    </row>
    <row r="29" spans="6:7">
      <c r="F29">
        <v>20</v>
      </c>
      <c r="G29" t="s">
        <v>775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34CF-837C-4086-A4DC-82D7AC236377}">
  <sheetPr codeName="Hoja12"/>
  <dimension ref="B1:P22"/>
  <sheetViews>
    <sheetView zoomScale="140" zoomScaleNormal="140" workbookViewId="0">
      <selection activeCell="B44" sqref="B44"/>
    </sheetView>
  </sheetViews>
  <sheetFormatPr baseColWidth="10" defaultRowHeight="15"/>
  <cols>
    <col min="2" max="2" width="17" bestFit="1" customWidth="1"/>
    <col min="3" max="3" width="11.7109375" bestFit="1" customWidth="1"/>
    <col min="4" max="4" width="16.140625" customWidth="1"/>
    <col min="5" max="5" width="16.140625" bestFit="1" customWidth="1"/>
    <col min="11" max="11" width="5.42578125" bestFit="1" customWidth="1"/>
    <col min="12" max="12" width="20.42578125" bestFit="1" customWidth="1"/>
    <col min="13" max="13" width="13.7109375" bestFit="1" customWidth="1"/>
    <col min="15" max="15" width="13" bestFit="1" customWidth="1"/>
  </cols>
  <sheetData>
    <row r="1" spans="2:16" ht="15.75" thickBot="1">
      <c r="B1" s="3"/>
      <c r="C1" s="382">
        <v>2022</v>
      </c>
      <c r="D1" s="382" t="s">
        <v>776</v>
      </c>
      <c r="E1" s="382" t="s">
        <v>777</v>
      </c>
      <c r="K1" s="383" t="s">
        <v>778</v>
      </c>
      <c r="L1" s="384" t="s">
        <v>229</v>
      </c>
      <c r="M1" s="385" t="s">
        <v>779</v>
      </c>
    </row>
    <row r="2" spans="2:16" ht="15.75" thickBot="1">
      <c r="B2" s="37" t="s">
        <v>540</v>
      </c>
      <c r="C2" s="37">
        <v>25330</v>
      </c>
      <c r="D2" s="386">
        <f>C2*1.2</f>
        <v>30396</v>
      </c>
      <c r="E2" s="387">
        <f>+L6</f>
        <v>40636</v>
      </c>
      <c r="K2" s="388" t="s">
        <v>480</v>
      </c>
      <c r="L2" s="389" t="s">
        <v>780</v>
      </c>
      <c r="M2" s="390" t="s">
        <v>781</v>
      </c>
    </row>
    <row r="3" spans="2:16" ht="15.75" thickBot="1">
      <c r="B3" s="37" t="s">
        <v>782</v>
      </c>
      <c r="C3" s="37"/>
      <c r="D3" s="386"/>
      <c r="E3" s="387">
        <f>+L5</f>
        <v>45278</v>
      </c>
      <c r="K3" s="391" t="s">
        <v>481</v>
      </c>
      <c r="L3" s="392">
        <v>194724</v>
      </c>
      <c r="M3" s="393">
        <v>238623</v>
      </c>
      <c r="N3">
        <f>+M3*7</f>
        <v>1670361</v>
      </c>
      <c r="O3" s="375">
        <f>+(N3+N5)/(1-0.35)</f>
        <v>2738989.2307692305</v>
      </c>
      <c r="P3" s="98">
        <f>+O3/4700</f>
        <v>582.76366612111292</v>
      </c>
    </row>
    <row r="4" spans="2:16" ht="15.75" thickBot="1">
      <c r="B4" s="37" t="s">
        <v>541</v>
      </c>
      <c r="C4" s="37">
        <v>75707</v>
      </c>
      <c r="D4" s="386">
        <f>C4*1.2</f>
        <v>90848.4</v>
      </c>
      <c r="E4" s="387">
        <f>+L3</f>
        <v>194724</v>
      </c>
      <c r="K4" s="388" t="s">
        <v>482</v>
      </c>
      <c r="L4" s="389" t="s">
        <v>783</v>
      </c>
      <c r="M4" s="394" t="s">
        <v>784</v>
      </c>
    </row>
    <row r="5" spans="2:16" ht="15.75" thickBot="1">
      <c r="K5" s="391" t="s">
        <v>483</v>
      </c>
      <c r="L5" s="392">
        <v>45278</v>
      </c>
      <c r="M5" s="395">
        <v>54991</v>
      </c>
      <c r="N5">
        <f>+M5*2</f>
        <v>109982</v>
      </c>
    </row>
    <row r="6" spans="2:16" ht="15.75" thickBot="1">
      <c r="K6" s="388" t="s">
        <v>484</v>
      </c>
      <c r="L6" s="396">
        <v>40636</v>
      </c>
      <c r="M6" s="394" t="s">
        <v>785</v>
      </c>
    </row>
    <row r="7" spans="2:16" ht="15.75" thickBot="1">
      <c r="E7" t="s">
        <v>786</v>
      </c>
      <c r="K7" s="397" t="s">
        <v>772</v>
      </c>
      <c r="L7" s="398" t="s">
        <v>787</v>
      </c>
      <c r="M7" s="399" t="s">
        <v>785</v>
      </c>
    </row>
    <row r="12" spans="2:16" ht="15.75" thickBot="1"/>
    <row r="13" spans="2:16" ht="24.75" thickBot="1">
      <c r="B13" s="400" t="s">
        <v>788</v>
      </c>
      <c r="C13" s="401" t="s">
        <v>789</v>
      </c>
      <c r="D13" s="401" t="s">
        <v>790</v>
      </c>
      <c r="E13" s="401" t="s">
        <v>791</v>
      </c>
      <c r="F13" s="402" t="s">
        <v>792</v>
      </c>
      <c r="G13" s="402" t="s">
        <v>793</v>
      </c>
      <c r="H13" s="402" t="s">
        <v>229</v>
      </c>
      <c r="I13" s="402" t="s">
        <v>779</v>
      </c>
    </row>
    <row r="14" spans="2:16" ht="15.75" thickBot="1">
      <c r="B14" s="403" t="s">
        <v>772</v>
      </c>
      <c r="C14" s="404" t="s">
        <v>794</v>
      </c>
      <c r="D14" s="405">
        <v>44809</v>
      </c>
      <c r="E14" s="405">
        <v>45016</v>
      </c>
      <c r="F14" s="404" t="s">
        <v>795</v>
      </c>
      <c r="G14" s="404" t="s">
        <v>796</v>
      </c>
      <c r="H14" s="404" t="s">
        <v>797</v>
      </c>
      <c r="I14" s="404" t="s">
        <v>798</v>
      </c>
    </row>
    <row r="15" spans="2:16" ht="15.75" thickBot="1">
      <c r="B15" s="403" t="s">
        <v>484</v>
      </c>
      <c r="C15" s="404" t="s">
        <v>794</v>
      </c>
      <c r="D15" s="405">
        <v>44809</v>
      </c>
      <c r="E15" s="405">
        <v>45016</v>
      </c>
      <c r="F15" s="404" t="s">
        <v>799</v>
      </c>
      <c r="G15" s="404" t="s">
        <v>800</v>
      </c>
      <c r="H15" s="404" t="s">
        <v>801</v>
      </c>
      <c r="I15" s="404" t="s">
        <v>798</v>
      </c>
    </row>
    <row r="16" spans="2:16" ht="15.75" thickBot="1">
      <c r="B16" s="403" t="s">
        <v>483</v>
      </c>
      <c r="C16" s="404" t="s">
        <v>794</v>
      </c>
      <c r="D16" s="405">
        <v>44809</v>
      </c>
      <c r="E16" s="405">
        <v>45016</v>
      </c>
      <c r="F16" s="404" t="s">
        <v>802</v>
      </c>
      <c r="G16" s="404" t="s">
        <v>803</v>
      </c>
      <c r="H16" s="404" t="s">
        <v>804</v>
      </c>
      <c r="I16" s="404" t="s">
        <v>805</v>
      </c>
    </row>
    <row r="17" spans="2:9" ht="15.75" thickBot="1">
      <c r="B17" s="403" t="s">
        <v>482</v>
      </c>
      <c r="C17" s="404" t="s">
        <v>794</v>
      </c>
      <c r="D17" s="405">
        <v>44809</v>
      </c>
      <c r="E17" s="405">
        <v>45016</v>
      </c>
      <c r="F17" s="404" t="s">
        <v>806</v>
      </c>
      <c r="G17" s="404" t="s">
        <v>807</v>
      </c>
      <c r="H17" s="404" t="s">
        <v>808</v>
      </c>
      <c r="I17" s="404" t="s">
        <v>809</v>
      </c>
    </row>
    <row r="18" spans="2:9" ht="15.75" thickBot="1">
      <c r="B18" s="403" t="s">
        <v>481</v>
      </c>
      <c r="C18" s="404" t="s">
        <v>794</v>
      </c>
      <c r="D18" s="405">
        <v>44809</v>
      </c>
      <c r="E18" s="405">
        <v>45016</v>
      </c>
      <c r="F18" s="404" t="s">
        <v>810</v>
      </c>
      <c r="G18" s="404" t="s">
        <v>811</v>
      </c>
      <c r="H18" s="404" t="s">
        <v>812</v>
      </c>
      <c r="I18" s="404" t="s">
        <v>813</v>
      </c>
    </row>
    <row r="19" spans="2:9" ht="15.75" thickBot="1">
      <c r="B19" s="403" t="s">
        <v>480</v>
      </c>
      <c r="C19" s="404" t="s">
        <v>794</v>
      </c>
      <c r="D19" s="405">
        <v>44809</v>
      </c>
      <c r="E19" s="405">
        <v>45016</v>
      </c>
      <c r="F19" s="404" t="s">
        <v>814</v>
      </c>
      <c r="G19" s="404" t="s">
        <v>815</v>
      </c>
      <c r="H19" s="404" t="s">
        <v>816</v>
      </c>
      <c r="I19" s="404" t="s">
        <v>817</v>
      </c>
    </row>
    <row r="20" spans="2:9" ht="15.75" thickBot="1">
      <c r="B20" s="403" t="s">
        <v>771</v>
      </c>
      <c r="C20" s="404" t="s">
        <v>794</v>
      </c>
      <c r="D20" s="405">
        <v>44809</v>
      </c>
      <c r="E20" s="405">
        <v>45016</v>
      </c>
      <c r="F20" s="404" t="s">
        <v>814</v>
      </c>
      <c r="G20" s="404" t="s">
        <v>815</v>
      </c>
      <c r="H20" s="404" t="s">
        <v>816</v>
      </c>
      <c r="I20" s="404" t="s">
        <v>817</v>
      </c>
    </row>
    <row r="21" spans="2:9" ht="15.75" thickBot="1">
      <c r="B21" s="403" t="s">
        <v>770</v>
      </c>
      <c r="C21" s="404" t="s">
        <v>794</v>
      </c>
      <c r="D21" s="405">
        <v>44809</v>
      </c>
      <c r="E21" s="405">
        <v>45016</v>
      </c>
      <c r="F21" s="404" t="s">
        <v>814</v>
      </c>
      <c r="G21" s="404" t="s">
        <v>815</v>
      </c>
      <c r="H21" s="404" t="s">
        <v>816</v>
      </c>
      <c r="I21" s="404" t="s">
        <v>817</v>
      </c>
    </row>
    <row r="22" spans="2:9">
      <c r="B22" s="406"/>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5CC1-EBAA-4581-9B0C-8BADAF6569B9}">
  <sheetPr codeName="Hoja13"/>
  <dimension ref="E9:G13"/>
  <sheetViews>
    <sheetView workbookViewId="0">
      <selection activeCell="B44" sqref="B44"/>
    </sheetView>
  </sheetViews>
  <sheetFormatPr baseColWidth="10" defaultRowHeight="15"/>
  <cols>
    <col min="5" max="5" width="38.7109375" customWidth="1"/>
  </cols>
  <sheetData>
    <row r="9" spans="5:7">
      <c r="E9" s="23" t="s">
        <v>818</v>
      </c>
      <c r="F9" s="23" t="s">
        <v>819</v>
      </c>
      <c r="G9" s="23" t="s">
        <v>399</v>
      </c>
    </row>
    <row r="10" spans="5:7" ht="30">
      <c r="E10" s="273" t="s">
        <v>641</v>
      </c>
      <c r="F10" s="20">
        <v>4</v>
      </c>
      <c r="G10" s="352">
        <v>854658</v>
      </c>
    </row>
    <row r="11" spans="5:7" ht="21.6" customHeight="1">
      <c r="E11" s="273" t="s">
        <v>699</v>
      </c>
      <c r="F11" s="20">
        <v>1</v>
      </c>
      <c r="G11" s="352">
        <v>418847</v>
      </c>
    </row>
    <row r="12" spans="5:7" ht="21.6" customHeight="1">
      <c r="E12" s="327" t="s">
        <v>682</v>
      </c>
      <c r="F12" s="20">
        <v>4</v>
      </c>
      <c r="G12" s="352">
        <v>1682490</v>
      </c>
    </row>
    <row r="13" spans="5:7" ht="19.149999999999999" customHeight="1">
      <c r="E13" s="327" t="s">
        <v>820</v>
      </c>
      <c r="F13" s="20">
        <v>8</v>
      </c>
      <c r="G13" s="352">
        <f>542739*8</f>
        <v>4341912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C86F8-9312-4CDC-9ADD-898923A2034E}">
  <sheetPr codeName="Hoja14"/>
  <dimension ref="A1:I52"/>
  <sheetViews>
    <sheetView zoomScale="80" zoomScaleNormal="80" workbookViewId="0">
      <selection activeCell="B44" sqref="B44"/>
    </sheetView>
  </sheetViews>
  <sheetFormatPr baseColWidth="10" defaultColWidth="10.85546875" defaultRowHeight="15"/>
  <cols>
    <col min="1" max="1" width="63.42578125" customWidth="1"/>
    <col min="2" max="2" width="19.7109375" customWidth="1"/>
    <col min="3" max="7" width="19.5703125" customWidth="1"/>
    <col min="8" max="8" width="241.7109375" customWidth="1"/>
    <col min="9" max="9" width="10.85546875" customWidth="1"/>
    <col min="10" max="10" width="11.5703125" bestFit="1" customWidth="1"/>
  </cols>
  <sheetData>
    <row r="1" spans="1:9" ht="75">
      <c r="A1" s="319" t="s">
        <v>536</v>
      </c>
      <c r="B1" s="326" t="s">
        <v>821</v>
      </c>
      <c r="C1" s="323" t="s">
        <v>557</v>
      </c>
      <c r="D1" s="324" t="s">
        <v>558</v>
      </c>
      <c r="E1" s="325" t="s">
        <v>559</v>
      </c>
      <c r="F1" s="326" t="s">
        <v>560</v>
      </c>
      <c r="G1" s="323" t="s">
        <v>561</v>
      </c>
      <c r="H1" s="322" t="s">
        <v>553</v>
      </c>
      <c r="I1" t="s">
        <v>822</v>
      </c>
    </row>
    <row r="2" spans="1:9">
      <c r="A2" s="327" t="s">
        <v>823</v>
      </c>
      <c r="B2" s="407">
        <v>138220.02020202021</v>
      </c>
      <c r="C2" s="334">
        <f>B2*(1/(1-0.2145))</f>
        <v>175964.3796333803</v>
      </c>
      <c r="D2" s="408">
        <v>0.75</v>
      </c>
      <c r="E2" s="327"/>
      <c r="F2" s="334">
        <f>IF(E2=0,0,B2+(E2-1)*ROUND(B2*D2,0))</f>
        <v>0</v>
      </c>
      <c r="G2" s="334">
        <f t="shared" ref="G2:G32" si="0">IF(E2=0,0,C2+(E2-1)*ROUND(C2*D2,0))</f>
        <v>0</v>
      </c>
      <c r="H2" s="409" t="s">
        <v>700</v>
      </c>
      <c r="I2" t="s">
        <v>824</v>
      </c>
    </row>
    <row r="3" spans="1:9">
      <c r="A3" s="327" t="s">
        <v>565</v>
      </c>
      <c r="B3" s="407">
        <v>745124.44214876031</v>
      </c>
      <c r="C3" s="334">
        <f t="shared" ref="C3:C32" si="1">B3*(1/(1-0.2145))</f>
        <v>948598.90789148363</v>
      </c>
      <c r="D3" s="408">
        <v>0.75</v>
      </c>
      <c r="E3" s="327"/>
      <c r="F3" s="334">
        <f t="shared" ref="F3:F31" si="2">IF(E3=0,0,B3+(E3-1)*ROUND(B3*D3,0))</f>
        <v>0</v>
      </c>
      <c r="G3" s="334">
        <f t="shared" si="0"/>
        <v>0</v>
      </c>
      <c r="H3" s="409" t="s">
        <v>719</v>
      </c>
      <c r="I3" t="s">
        <v>824</v>
      </c>
    </row>
    <row r="4" spans="1:9">
      <c r="A4" s="327" t="s">
        <v>825</v>
      </c>
      <c r="B4" s="407">
        <v>552880.08080808085</v>
      </c>
      <c r="C4" s="334">
        <f t="shared" si="1"/>
        <v>703857.51853352122</v>
      </c>
      <c r="D4" s="408">
        <v>0.9</v>
      </c>
      <c r="E4" s="327"/>
      <c r="F4" s="334">
        <f t="shared" si="2"/>
        <v>0</v>
      </c>
      <c r="G4" s="334">
        <f t="shared" si="0"/>
        <v>0</v>
      </c>
      <c r="H4" s="409" t="s">
        <v>568</v>
      </c>
    </row>
    <row r="5" spans="1:9">
      <c r="A5" s="327" t="s">
        <v>569</v>
      </c>
      <c r="B5" s="407">
        <v>1060758.2945736435</v>
      </c>
      <c r="C5" s="334">
        <f t="shared" si="1"/>
        <v>1350424.308814314</v>
      </c>
      <c r="D5" s="408">
        <v>0.9</v>
      </c>
      <c r="E5" s="327"/>
      <c r="F5" s="334">
        <f t="shared" si="2"/>
        <v>0</v>
      </c>
      <c r="G5" s="334">
        <f t="shared" si="0"/>
        <v>0</v>
      </c>
      <c r="H5" s="409" t="s">
        <v>570</v>
      </c>
      <c r="I5" t="s">
        <v>824</v>
      </c>
    </row>
    <row r="6" spans="1:9">
      <c r="A6" s="327" t="s">
        <v>571</v>
      </c>
      <c r="B6" s="407">
        <v>827916.04683195602</v>
      </c>
      <c r="C6" s="334">
        <f t="shared" si="1"/>
        <v>1053998.7865460932</v>
      </c>
      <c r="D6" s="408">
        <v>0.9</v>
      </c>
      <c r="E6" s="327"/>
      <c r="F6" s="334">
        <f t="shared" si="2"/>
        <v>0</v>
      </c>
      <c r="G6" s="334">
        <f t="shared" si="0"/>
        <v>0</v>
      </c>
      <c r="H6" s="409" t="s">
        <v>572</v>
      </c>
      <c r="I6" t="s">
        <v>824</v>
      </c>
    </row>
    <row r="7" spans="1:9">
      <c r="A7" s="327" t="s">
        <v>573</v>
      </c>
      <c r="B7" s="407">
        <v>101189.73905723906</v>
      </c>
      <c r="C7" s="334">
        <f t="shared" si="1"/>
        <v>128822.07391118915</v>
      </c>
      <c r="D7" s="408">
        <v>0.7</v>
      </c>
      <c r="E7" s="327"/>
      <c r="F7" s="334">
        <f t="shared" si="2"/>
        <v>0</v>
      </c>
      <c r="G7" s="334">
        <f>IF(E7=0,0,C7+(E7-1)*ROUND(C7*D7,0))</f>
        <v>0</v>
      </c>
      <c r="H7" s="409" t="s">
        <v>574</v>
      </c>
      <c r="I7" t="s">
        <v>826</v>
      </c>
    </row>
    <row r="8" spans="1:9">
      <c r="A8" s="327" t="s">
        <v>575</v>
      </c>
      <c r="B8" s="407">
        <v>52317.67676767677</v>
      </c>
      <c r="C8" s="334">
        <f>B8*(1/(1-0.2145))</f>
        <v>66604.298876736822</v>
      </c>
      <c r="D8" s="408">
        <v>0.5</v>
      </c>
      <c r="E8" s="327"/>
      <c r="F8" s="334">
        <f>IF(E8=0,0,B8+(E8-1)*ROUND(B8*D8,0))</f>
        <v>0</v>
      </c>
      <c r="G8" s="334">
        <f>IF(E8=0,0,C8+(E8-1)*ROUND(C8*D8,0))</f>
        <v>0</v>
      </c>
      <c r="H8" s="409" t="s">
        <v>576</v>
      </c>
      <c r="I8" t="s">
        <v>826</v>
      </c>
    </row>
    <row r="9" spans="1:9">
      <c r="A9" s="327" t="s">
        <v>577</v>
      </c>
      <c r="B9" s="407">
        <v>142684.57300275483</v>
      </c>
      <c r="C9" s="334">
        <f t="shared" si="1"/>
        <v>181648.08784564587</v>
      </c>
      <c r="D9" s="408">
        <v>0.9</v>
      </c>
      <c r="E9" s="327"/>
      <c r="F9" s="334">
        <f t="shared" si="2"/>
        <v>0</v>
      </c>
      <c r="G9" s="334">
        <f t="shared" si="0"/>
        <v>0</v>
      </c>
      <c r="H9" s="409" t="s">
        <v>578</v>
      </c>
    </row>
    <row r="10" spans="1:9">
      <c r="A10" s="327" t="s">
        <v>579</v>
      </c>
      <c r="B10" s="407">
        <v>184293.3602693603</v>
      </c>
      <c r="C10" s="334">
        <f t="shared" si="1"/>
        <v>234619.17284450709</v>
      </c>
      <c r="D10" s="408">
        <v>0.7</v>
      </c>
      <c r="E10" s="327">
        <v>2</v>
      </c>
      <c r="F10" s="334">
        <f t="shared" si="2"/>
        <v>313298.3602693603</v>
      </c>
      <c r="G10" s="334">
        <f t="shared" si="0"/>
        <v>398852.17284450709</v>
      </c>
      <c r="H10" s="409" t="s">
        <v>827</v>
      </c>
      <c r="I10" t="s">
        <v>824</v>
      </c>
    </row>
    <row r="11" spans="1:9">
      <c r="A11" s="327" t="s">
        <v>581</v>
      </c>
      <c r="B11" s="407">
        <v>50091.392649903282</v>
      </c>
      <c r="C11" s="334">
        <f t="shared" si="1"/>
        <v>63770.073392620354</v>
      </c>
      <c r="D11" s="408">
        <v>0.7</v>
      </c>
      <c r="E11" s="327"/>
      <c r="F11" s="334">
        <f t="shared" si="2"/>
        <v>0</v>
      </c>
      <c r="G11" s="334">
        <f>IF(E11=0,0,C11+(E11-1)*ROUND(C11*D11,0))</f>
        <v>0</v>
      </c>
      <c r="H11" s="409" t="s">
        <v>828</v>
      </c>
    </row>
    <row r="12" spans="1:9">
      <c r="A12" s="327" t="s">
        <v>583</v>
      </c>
      <c r="B12" s="407">
        <v>98989.962121212113</v>
      </c>
      <c r="C12" s="334">
        <f t="shared" si="1"/>
        <v>126021.59404355458</v>
      </c>
      <c r="D12" s="408">
        <v>0.3</v>
      </c>
      <c r="E12" s="327"/>
      <c r="F12" s="334">
        <f t="shared" si="2"/>
        <v>0</v>
      </c>
      <c r="G12" s="334">
        <f t="shared" si="0"/>
        <v>0</v>
      </c>
      <c r="H12" s="409" t="s">
        <v>829</v>
      </c>
      <c r="I12" t="s">
        <v>826</v>
      </c>
    </row>
    <row r="13" spans="1:9">
      <c r="A13" s="327" t="s">
        <v>585</v>
      </c>
      <c r="B13" s="407">
        <v>98989.962121212113</v>
      </c>
      <c r="C13" s="334">
        <f t="shared" si="1"/>
        <v>126021.59404355458</v>
      </c>
      <c r="D13" s="408">
        <v>0.3</v>
      </c>
      <c r="E13" s="327"/>
      <c r="F13" s="334">
        <f t="shared" si="2"/>
        <v>0</v>
      </c>
      <c r="G13" s="334">
        <f t="shared" si="0"/>
        <v>0</v>
      </c>
      <c r="H13" s="409" t="s">
        <v>829</v>
      </c>
      <c r="I13" t="s">
        <v>826</v>
      </c>
    </row>
    <row r="14" spans="1:9">
      <c r="A14" s="327" t="s">
        <v>586</v>
      </c>
      <c r="B14" s="407">
        <v>88225.544809800136</v>
      </c>
      <c r="C14" s="334">
        <f t="shared" si="1"/>
        <v>112317.68912768956</v>
      </c>
      <c r="D14" s="408">
        <v>0.5</v>
      </c>
      <c r="E14" s="327">
        <v>12</v>
      </c>
      <c r="F14" s="334">
        <f t="shared" si="2"/>
        <v>573468.54480980011</v>
      </c>
      <c r="G14" s="334">
        <f t="shared" si="0"/>
        <v>730066.68912768958</v>
      </c>
      <c r="H14" s="409" t="s">
        <v>587</v>
      </c>
      <c r="I14" t="s">
        <v>826</v>
      </c>
    </row>
    <row r="15" spans="1:9">
      <c r="A15" s="327" t="s">
        <v>676</v>
      </c>
      <c r="B15" s="407">
        <v>119420.7839262187</v>
      </c>
      <c r="C15" s="334">
        <f t="shared" si="1"/>
        <v>152031.55178385577</v>
      </c>
      <c r="D15" s="408">
        <v>0.7</v>
      </c>
      <c r="E15" s="327">
        <v>8</v>
      </c>
      <c r="F15" s="334">
        <f t="shared" si="2"/>
        <v>704585.78392621875</v>
      </c>
      <c r="G15" s="334">
        <f t="shared" si="0"/>
        <v>896985.55178385577</v>
      </c>
      <c r="H15" s="409" t="s">
        <v>830</v>
      </c>
      <c r="I15" t="s">
        <v>826</v>
      </c>
    </row>
    <row r="16" spans="1:9">
      <c r="A16" s="327" t="s">
        <v>590</v>
      </c>
      <c r="B16" s="407">
        <v>104635.35353535354</v>
      </c>
      <c r="C16" s="334">
        <f t="shared" si="1"/>
        <v>133208.59775347364</v>
      </c>
      <c r="D16" s="408">
        <v>0.8</v>
      </c>
      <c r="E16" s="327"/>
      <c r="F16" s="334">
        <f t="shared" si="2"/>
        <v>0</v>
      </c>
      <c r="G16" s="334">
        <f t="shared" si="0"/>
        <v>0</v>
      </c>
      <c r="H16" s="409" t="s">
        <v>591</v>
      </c>
      <c r="I16" t="s">
        <v>824</v>
      </c>
    </row>
    <row r="17" spans="1:9">
      <c r="A17" s="327" t="s">
        <v>592</v>
      </c>
      <c r="B17" s="407">
        <v>104635.35353535354</v>
      </c>
      <c r="C17" s="334">
        <f t="shared" si="1"/>
        <v>133208.59775347364</v>
      </c>
      <c r="D17" s="408">
        <v>0.6</v>
      </c>
      <c r="E17" s="327"/>
      <c r="F17" s="334">
        <f t="shared" si="2"/>
        <v>0</v>
      </c>
      <c r="G17" s="334">
        <f t="shared" si="0"/>
        <v>0</v>
      </c>
      <c r="H17" s="409" t="s">
        <v>705</v>
      </c>
      <c r="I17" t="s">
        <v>824</v>
      </c>
    </row>
    <row r="18" spans="1:9">
      <c r="A18" s="327" t="s">
        <v>594</v>
      </c>
      <c r="B18" s="407">
        <v>321040.28925619833</v>
      </c>
      <c r="C18" s="334">
        <f t="shared" si="1"/>
        <v>408708.19765270321</v>
      </c>
      <c r="D18" s="408">
        <v>0.9</v>
      </c>
      <c r="E18" s="327"/>
      <c r="F18" s="334">
        <f t="shared" si="2"/>
        <v>0</v>
      </c>
      <c r="G18" s="334">
        <f t="shared" si="0"/>
        <v>0</v>
      </c>
      <c r="H18" s="409" t="s">
        <v>831</v>
      </c>
    </row>
    <row r="19" spans="1:9">
      <c r="A19" s="339" t="s">
        <v>596</v>
      </c>
      <c r="B19" s="407">
        <v>385730.2889358704</v>
      </c>
      <c r="C19" s="334">
        <f t="shared" si="1"/>
        <v>491063.38502338692</v>
      </c>
      <c r="D19" s="408">
        <v>0.75</v>
      </c>
      <c r="E19" s="327">
        <v>2</v>
      </c>
      <c r="F19" s="334">
        <f>IF(E19=0,0,B19+(E19-1)*ROUND(B19*D19,0))</f>
        <v>675028.2889358704</v>
      </c>
      <c r="G19" s="334">
        <f>IF(E19=0,0,C19+(E19-1)*ROUND(C19*D19,0))</f>
        <v>859361.38502338692</v>
      </c>
      <c r="H19" s="409" t="s">
        <v>832</v>
      </c>
      <c r="I19" t="s">
        <v>824</v>
      </c>
    </row>
    <row r="20" spans="1:9">
      <c r="A20" s="327" t="s">
        <v>599</v>
      </c>
      <c r="B20" s="407">
        <v>102360.67193675888</v>
      </c>
      <c r="C20" s="334">
        <f t="shared" si="1"/>
        <v>130312.75867187638</v>
      </c>
      <c r="D20" s="408">
        <v>0.4</v>
      </c>
      <c r="E20" s="327"/>
      <c r="F20" s="334">
        <f t="shared" si="2"/>
        <v>0</v>
      </c>
      <c r="G20" s="334">
        <f t="shared" si="0"/>
        <v>0</v>
      </c>
      <c r="H20" s="409" t="s">
        <v>692</v>
      </c>
      <c r="I20" t="s">
        <v>824</v>
      </c>
    </row>
    <row r="21" spans="1:9">
      <c r="A21" s="327" t="s">
        <v>601</v>
      </c>
      <c r="B21" s="407">
        <v>174392.2558922559</v>
      </c>
      <c r="C21" s="334">
        <f t="shared" si="1"/>
        <v>222014.32958912273</v>
      </c>
      <c r="D21" s="408">
        <v>0.6</v>
      </c>
      <c r="E21" s="327"/>
      <c r="F21" s="334">
        <f t="shared" si="2"/>
        <v>0</v>
      </c>
      <c r="G21" s="334">
        <f t="shared" si="0"/>
        <v>0</v>
      </c>
      <c r="H21" s="409" t="s">
        <v>695</v>
      </c>
      <c r="I21" t="s">
        <v>824</v>
      </c>
    </row>
    <row r="22" spans="1:9" ht="13.9" customHeight="1">
      <c r="A22" s="273" t="s">
        <v>603</v>
      </c>
      <c r="B22" s="407">
        <v>675028.0056377732</v>
      </c>
      <c r="C22" s="334">
        <f t="shared" si="1"/>
        <v>859360.92379092716</v>
      </c>
      <c r="D22" s="408">
        <v>0.95</v>
      </c>
      <c r="E22" s="327"/>
      <c r="F22" s="334">
        <f>IF(E22=0,0,B22+(E22-1)*ROUND(B22*D22,0))</f>
        <v>0</v>
      </c>
      <c r="G22" s="334">
        <f>IF(E22=0,0,C22+(E22-1)*ROUND(C22*D22,0))</f>
        <v>0</v>
      </c>
      <c r="H22" s="409" t="s">
        <v>833</v>
      </c>
      <c r="I22" t="s">
        <v>826</v>
      </c>
    </row>
    <row r="23" spans="1:9">
      <c r="A23" s="327" t="s">
        <v>605</v>
      </c>
      <c r="B23" s="407">
        <v>184293.3602693603</v>
      </c>
      <c r="C23" s="334">
        <f t="shared" si="1"/>
        <v>234619.17284450709</v>
      </c>
      <c r="D23" s="408">
        <v>0.9</v>
      </c>
      <c r="E23" s="327"/>
      <c r="F23" s="334">
        <f t="shared" si="2"/>
        <v>0</v>
      </c>
      <c r="G23" s="334">
        <f t="shared" si="0"/>
        <v>0</v>
      </c>
      <c r="H23" s="409" t="s">
        <v>720</v>
      </c>
      <c r="I23" t="s">
        <v>824</v>
      </c>
    </row>
    <row r="24" spans="1:9">
      <c r="A24" s="327" t="s">
        <v>607</v>
      </c>
      <c r="B24" s="407">
        <v>241081.430584919</v>
      </c>
      <c r="C24" s="334">
        <f t="shared" si="1"/>
        <v>306914.61563961685</v>
      </c>
      <c r="D24" s="408">
        <v>0.9</v>
      </c>
      <c r="E24" s="327"/>
      <c r="F24" s="334">
        <f t="shared" si="2"/>
        <v>0</v>
      </c>
      <c r="G24" s="334">
        <f t="shared" si="0"/>
        <v>0</v>
      </c>
      <c r="H24" s="409" t="s">
        <v>710</v>
      </c>
      <c r="I24" t="s">
        <v>826</v>
      </c>
    </row>
    <row r="25" spans="1:9">
      <c r="A25" s="327" t="s">
        <v>608</v>
      </c>
      <c r="B25" s="407">
        <v>116879.91618310768</v>
      </c>
      <c r="C25" s="334">
        <f t="shared" si="1"/>
        <v>148796.83791611419</v>
      </c>
      <c r="D25" s="408">
        <v>0.9</v>
      </c>
      <c r="E25" s="327"/>
      <c r="F25" s="334">
        <f t="shared" si="2"/>
        <v>0</v>
      </c>
      <c r="G25" s="334">
        <f t="shared" si="0"/>
        <v>0</v>
      </c>
      <c r="H25" s="407" t="s">
        <v>694</v>
      </c>
    </row>
    <row r="26" spans="1:9">
      <c r="A26" s="327" t="s">
        <v>609</v>
      </c>
      <c r="B26" s="407">
        <v>1365651.3962264152</v>
      </c>
      <c r="C26" s="334">
        <f t="shared" si="1"/>
        <v>1738575.934088371</v>
      </c>
      <c r="D26" s="408">
        <v>0.7</v>
      </c>
      <c r="E26" s="327"/>
      <c r="F26" s="334">
        <f t="shared" si="2"/>
        <v>0</v>
      </c>
      <c r="G26" s="334">
        <f t="shared" si="0"/>
        <v>0</v>
      </c>
      <c r="H26" s="407" t="s">
        <v>834</v>
      </c>
      <c r="I26" t="s">
        <v>824</v>
      </c>
    </row>
    <row r="27" spans="1:9">
      <c r="A27" s="327" t="s">
        <v>835</v>
      </c>
      <c r="B27" s="334" t="s">
        <v>763</v>
      </c>
      <c r="C27" s="410"/>
      <c r="D27" s="408"/>
      <c r="E27" s="411"/>
      <c r="F27" s="410"/>
      <c r="G27" s="410"/>
      <c r="H27" s="407" t="s">
        <v>763</v>
      </c>
    </row>
    <row r="28" spans="1:9">
      <c r="A28" s="273" t="s">
        <v>610</v>
      </c>
      <c r="B28" s="407">
        <v>1507854.7658402207</v>
      </c>
      <c r="C28" s="334">
        <f t="shared" si="1"/>
        <v>1919611.4141823309</v>
      </c>
      <c r="D28" s="408">
        <v>0.95</v>
      </c>
      <c r="E28" s="327"/>
      <c r="F28" s="334">
        <f t="shared" si="2"/>
        <v>0</v>
      </c>
      <c r="G28" s="334">
        <f>IF(E28=0,0,C28+(E28-1)*ROUND(C28*D28,0))</f>
        <v>0</v>
      </c>
      <c r="H28" s="409" t="s">
        <v>836</v>
      </c>
      <c r="I28" t="s">
        <v>826</v>
      </c>
    </row>
    <row r="29" spans="1:9">
      <c r="A29" s="273" t="s">
        <v>611</v>
      </c>
      <c r="B29" s="407">
        <v>2651895.736434109</v>
      </c>
      <c r="C29" s="334">
        <f t="shared" si="1"/>
        <v>3376060.7720357855</v>
      </c>
      <c r="D29" s="408">
        <v>0.95</v>
      </c>
      <c r="E29" s="327"/>
      <c r="F29" s="334">
        <f t="shared" si="2"/>
        <v>0</v>
      </c>
      <c r="G29" s="334">
        <f t="shared" si="0"/>
        <v>0</v>
      </c>
      <c r="H29" s="409" t="s">
        <v>837</v>
      </c>
      <c r="I29" t="s">
        <v>826</v>
      </c>
    </row>
    <row r="30" spans="1:9">
      <c r="A30" s="327" t="s">
        <v>612</v>
      </c>
      <c r="B30" s="407">
        <v>241081.430584919</v>
      </c>
      <c r="C30" s="334">
        <f>B30*(1/(1-0.2145))</f>
        <v>306914.61563961685</v>
      </c>
      <c r="D30" s="408">
        <v>0.3</v>
      </c>
      <c r="E30" s="327"/>
      <c r="F30" s="334">
        <f t="shared" si="2"/>
        <v>0</v>
      </c>
      <c r="G30" s="334">
        <f t="shared" si="0"/>
        <v>0</v>
      </c>
      <c r="H30" s="409" t="s">
        <v>829</v>
      </c>
      <c r="I30" t="s">
        <v>826</v>
      </c>
    </row>
    <row r="31" spans="1:9">
      <c r="A31" s="412" t="s">
        <v>838</v>
      </c>
      <c r="B31" s="413">
        <f>C37*1.2</f>
        <v>705222.21419999993</v>
      </c>
      <c r="C31" s="414">
        <f>B31*(1/(1-0.2145))</f>
        <v>897800.4</v>
      </c>
      <c r="D31" s="344">
        <v>0.5</v>
      </c>
      <c r="E31" s="327">
        <v>4</v>
      </c>
      <c r="F31" s="334">
        <f t="shared" si="2"/>
        <v>1763055.2141999998</v>
      </c>
      <c r="G31" s="334">
        <f t="shared" si="0"/>
        <v>2244500.4</v>
      </c>
      <c r="H31" s="415"/>
    </row>
    <row r="32" spans="1:9">
      <c r="A32" s="412" t="s">
        <v>839</v>
      </c>
      <c r="B32" s="413">
        <v>166719.08470493776</v>
      </c>
      <c r="C32" s="334">
        <f t="shared" si="1"/>
        <v>212245.81120934154</v>
      </c>
      <c r="D32" s="344">
        <v>0.75</v>
      </c>
      <c r="E32" s="327"/>
      <c r="F32" s="334">
        <f>IF(E32=0,0,B32+(E32-1)*ROUND(B32*D32,0))</f>
        <v>0</v>
      </c>
      <c r="G32" s="334">
        <f t="shared" si="0"/>
        <v>0</v>
      </c>
      <c r="H32" s="415"/>
    </row>
    <row r="33" spans="1:7" ht="34.15" customHeight="1">
      <c r="E33" s="319" t="s">
        <v>840</v>
      </c>
      <c r="F33" s="416">
        <f>SUM(F2:F30)</f>
        <v>2266380.9779412495</v>
      </c>
      <c r="G33" s="416">
        <f>SUM(G2:G30)</f>
        <v>2885265.7987794392</v>
      </c>
    </row>
    <row r="34" spans="1:7">
      <c r="A34" s="417" t="s">
        <v>841</v>
      </c>
      <c r="B34" s="418"/>
      <c r="C34" s="111">
        <f>C16/4861.45</f>
        <v>27.401001296624187</v>
      </c>
      <c r="D34" s="111"/>
      <c r="E34" s="111"/>
      <c r="F34" s="111"/>
      <c r="G34" s="111"/>
    </row>
    <row r="35" spans="1:7">
      <c r="B35" s="111"/>
      <c r="G35" s="111">
        <f>G22/4861.45</f>
        <v>0</v>
      </c>
    </row>
    <row r="36" spans="1:7">
      <c r="G36">
        <f>+G19*2</f>
        <v>1718722.7700467738</v>
      </c>
    </row>
    <row r="37" spans="1:7">
      <c r="C37">
        <f>748167/(1/(1-0.2145))</f>
        <v>587685.17849999992</v>
      </c>
      <c r="F37">
        <v>282713.83791611419</v>
      </c>
      <c r="G37">
        <v>466275.59404355456</v>
      </c>
    </row>
    <row r="39" spans="1:7">
      <c r="F39" s="45">
        <f>+F37-G25</f>
        <v>282713.83791611419</v>
      </c>
      <c r="G39" s="45">
        <f>+G37-G12</f>
        <v>466275.59404355456</v>
      </c>
    </row>
    <row r="49" spans="3:7">
      <c r="C49" s="120"/>
      <c r="D49" s="120"/>
      <c r="E49" s="120"/>
      <c r="F49" s="120"/>
      <c r="G49" s="120"/>
    </row>
    <row r="50" spans="3:7">
      <c r="C50" s="120"/>
      <c r="D50" s="120"/>
      <c r="E50" s="120"/>
      <c r="F50" s="120"/>
      <c r="G50" s="120"/>
    </row>
    <row r="51" spans="3:7">
      <c r="C51" s="120"/>
      <c r="D51" s="120"/>
      <c r="E51" s="120"/>
      <c r="F51" s="120"/>
      <c r="G51" s="120"/>
    </row>
    <row r="52" spans="3:7">
      <c r="C52" s="120"/>
      <c r="D52" s="120"/>
      <c r="E52" s="120"/>
      <c r="F52" s="120"/>
      <c r="G52" s="120"/>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6A1D9-188B-4DB7-B5EC-B86A38F18DB7}">
  <sheetPr codeName="Hoja7"/>
  <dimension ref="A1:P23"/>
  <sheetViews>
    <sheetView zoomScale="85" zoomScaleNormal="85" workbookViewId="0"/>
  </sheetViews>
  <sheetFormatPr baseColWidth="10" defaultColWidth="11.42578125" defaultRowHeight="15"/>
  <cols>
    <col min="2" max="2" width="16" customWidth="1"/>
    <col min="3" max="3" width="17.5703125" customWidth="1"/>
    <col min="4" max="4" width="8.140625" bestFit="1" customWidth="1"/>
    <col min="5" max="5" width="8.85546875" bestFit="1" customWidth="1"/>
    <col min="6" max="6" width="8.140625" bestFit="1" customWidth="1"/>
    <col min="7" max="7" width="11.140625" bestFit="1" customWidth="1"/>
    <col min="8" max="8" width="10" bestFit="1" customWidth="1"/>
    <col min="9" max="9" width="12.28515625" bestFit="1" customWidth="1"/>
    <col min="10" max="10" width="7.7109375" bestFit="1" customWidth="1"/>
    <col min="11" max="11" width="12.85546875" bestFit="1" customWidth="1"/>
    <col min="12" max="13" width="10.42578125" bestFit="1" customWidth="1"/>
    <col min="14" max="14" width="11.85546875" bestFit="1" customWidth="1"/>
    <col min="15" max="15" width="8" bestFit="1" customWidth="1"/>
  </cols>
  <sheetData>
    <row r="1" spans="1:16" ht="15.75" thickBot="1">
      <c r="A1" s="176"/>
      <c r="B1" s="176"/>
      <c r="C1" s="177"/>
      <c r="D1" s="178"/>
      <c r="E1" s="179"/>
      <c r="F1" s="180"/>
      <c r="G1" s="180"/>
      <c r="H1" s="176"/>
      <c r="I1" s="176"/>
      <c r="J1" s="176"/>
    </row>
    <row r="2" spans="1:16">
      <c r="A2" s="176"/>
      <c r="B2" s="1413" t="s">
        <v>435</v>
      </c>
      <c r="C2" s="1414"/>
      <c r="D2" s="1415" t="s">
        <v>436</v>
      </c>
      <c r="E2" s="1414"/>
      <c r="F2" s="1415" t="s">
        <v>437</v>
      </c>
      <c r="G2" s="1414"/>
      <c r="H2" s="1415" t="s">
        <v>438</v>
      </c>
      <c r="I2" s="1416"/>
      <c r="J2" s="176"/>
    </row>
    <row r="3" spans="1:16" ht="24">
      <c r="A3" s="176"/>
      <c r="B3" s="181" t="s">
        <v>439</v>
      </c>
      <c r="C3" s="182" t="s">
        <v>440</v>
      </c>
      <c r="D3" s="182" t="s">
        <v>439</v>
      </c>
      <c r="E3" s="182" t="s">
        <v>440</v>
      </c>
      <c r="F3" s="182" t="s">
        <v>439</v>
      </c>
      <c r="G3" s="182" t="s">
        <v>440</v>
      </c>
      <c r="H3" s="182" t="s">
        <v>441</v>
      </c>
      <c r="I3" s="183" t="s">
        <v>442</v>
      </c>
      <c r="J3" s="176"/>
    </row>
    <row r="4" spans="1:16" ht="15.75" thickBot="1">
      <c r="A4" s="176"/>
      <c r="B4" s="184">
        <v>8700</v>
      </c>
      <c r="C4" s="185">
        <v>2000</v>
      </c>
      <c r="D4" s="185">
        <v>14000</v>
      </c>
      <c r="E4" s="185">
        <v>3000</v>
      </c>
      <c r="F4" s="186">
        <v>17000</v>
      </c>
      <c r="G4" s="186">
        <v>4500</v>
      </c>
      <c r="H4" s="187">
        <v>0.01</v>
      </c>
      <c r="I4" s="188">
        <v>25000</v>
      </c>
      <c r="J4" s="176"/>
    </row>
    <row r="5" spans="1:16">
      <c r="A5" s="176"/>
      <c r="B5" s="177"/>
      <c r="C5" s="178"/>
      <c r="D5" s="179"/>
      <c r="E5" s="180"/>
      <c r="F5" s="180"/>
      <c r="G5" s="176"/>
      <c r="H5" s="176"/>
      <c r="I5" s="176"/>
      <c r="J5" s="176"/>
      <c r="N5" s="83"/>
    </row>
    <row r="6" spans="1:16">
      <c r="A6" s="176"/>
      <c r="B6" s="177"/>
      <c r="C6" s="178"/>
      <c r="D6" s="179"/>
      <c r="E6" s="180"/>
      <c r="F6" s="180"/>
      <c r="G6" s="176"/>
      <c r="H6" s="176"/>
      <c r="I6" s="176"/>
      <c r="J6" s="176"/>
      <c r="N6" s="83"/>
    </row>
    <row r="7" spans="1:16" ht="15.75" thickBot="1"/>
    <row r="8" spans="1:16" ht="15.75" thickBot="1">
      <c r="B8" s="1417" t="s">
        <v>443</v>
      </c>
      <c r="C8" s="1418"/>
      <c r="D8" s="1418"/>
      <c r="E8" s="1418"/>
      <c r="F8" s="1418"/>
      <c r="G8" s="1418"/>
      <c r="H8" s="1418"/>
      <c r="I8" s="1418"/>
      <c r="J8" s="1418"/>
      <c r="K8" s="1418"/>
      <c r="L8" s="1418"/>
      <c r="M8" s="1418"/>
      <c r="N8" s="1418"/>
      <c r="O8" s="1419"/>
    </row>
    <row r="9" spans="1:16" ht="51.75">
      <c r="A9" s="189"/>
      <c r="B9" s="190" t="s">
        <v>444</v>
      </c>
      <c r="C9" s="191" t="s">
        <v>9</v>
      </c>
      <c r="D9" s="192" t="s">
        <v>445</v>
      </c>
      <c r="E9" s="191" t="s">
        <v>446</v>
      </c>
      <c r="F9" s="193" t="s">
        <v>447</v>
      </c>
      <c r="G9" s="194" t="s">
        <v>448</v>
      </c>
      <c r="H9" s="194" t="s">
        <v>449</v>
      </c>
      <c r="I9" s="194" t="s">
        <v>450</v>
      </c>
      <c r="J9" s="192" t="s">
        <v>451</v>
      </c>
      <c r="K9" s="195" t="s">
        <v>452</v>
      </c>
      <c r="L9" s="194" t="s">
        <v>453</v>
      </c>
      <c r="M9" s="192" t="s">
        <v>454</v>
      </c>
      <c r="N9" s="191" t="s">
        <v>455</v>
      </c>
      <c r="O9" s="195" t="s">
        <v>65</v>
      </c>
      <c r="P9" s="189"/>
    </row>
    <row r="10" spans="1:16">
      <c r="B10" s="196" t="s">
        <v>435</v>
      </c>
      <c r="C10" s="3"/>
      <c r="D10" s="115">
        <v>30</v>
      </c>
      <c r="E10" s="115">
        <v>26</v>
      </c>
      <c r="F10" s="115">
        <v>30</v>
      </c>
      <c r="G10" s="97">
        <f t="shared" ref="G10:G12" si="0">+D10*E10*F10/4000</f>
        <v>5.85</v>
      </c>
      <c r="H10" s="115">
        <v>1</v>
      </c>
      <c r="I10" s="197">
        <v>2000000</v>
      </c>
      <c r="J10" s="97">
        <v>6</v>
      </c>
      <c r="K10" s="198">
        <v>8700</v>
      </c>
      <c r="L10" s="198">
        <v>2000</v>
      </c>
      <c r="M10" s="199">
        <f>+(J10-1)*L10</f>
        <v>10000</v>
      </c>
      <c r="N10" s="199">
        <f>I10*1%</f>
        <v>20000</v>
      </c>
      <c r="O10" s="200">
        <f>+K10+M10+N10</f>
        <v>38700</v>
      </c>
    </row>
    <row r="11" spans="1:16">
      <c r="B11" s="196" t="s">
        <v>436</v>
      </c>
      <c r="C11" s="3"/>
      <c r="D11" s="115">
        <v>18</v>
      </c>
      <c r="E11" s="115">
        <v>24</v>
      </c>
      <c r="F11" s="115">
        <v>14</v>
      </c>
      <c r="G11" s="97">
        <f t="shared" si="0"/>
        <v>1.512</v>
      </c>
      <c r="H11" s="115">
        <v>1</v>
      </c>
      <c r="I11" s="197">
        <v>6000</v>
      </c>
      <c r="J11" s="97">
        <v>2</v>
      </c>
      <c r="K11" s="198">
        <v>14000</v>
      </c>
      <c r="L11" s="198">
        <v>3000</v>
      </c>
      <c r="M11" s="199">
        <f>+(J11-1)*L11</f>
        <v>3000</v>
      </c>
      <c r="N11" s="199">
        <f>I11*1%</f>
        <v>60</v>
      </c>
      <c r="O11" s="200">
        <f>+K11+M11+N11</f>
        <v>17060</v>
      </c>
    </row>
    <row r="12" spans="1:16" ht="15.75" thickBot="1">
      <c r="B12" s="201" t="s">
        <v>456</v>
      </c>
      <c r="C12" s="202"/>
      <c r="D12" s="203">
        <v>2</v>
      </c>
      <c r="E12" s="203">
        <v>2</v>
      </c>
      <c r="F12" s="203">
        <v>2</v>
      </c>
      <c r="G12" s="204">
        <f t="shared" si="0"/>
        <v>2E-3</v>
      </c>
      <c r="H12" s="203">
        <v>1</v>
      </c>
      <c r="I12" s="205">
        <v>6000</v>
      </c>
      <c r="J12" s="204">
        <v>1</v>
      </c>
      <c r="K12" s="206">
        <v>17000</v>
      </c>
      <c r="L12" s="206">
        <v>4500</v>
      </c>
      <c r="M12" s="207">
        <f>+(J12-1)*L12</f>
        <v>0</v>
      </c>
      <c r="N12" s="207">
        <f>I12*1%</f>
        <v>60</v>
      </c>
      <c r="O12" s="208">
        <f>+K12+M12+N12</f>
        <v>17060</v>
      </c>
    </row>
    <row r="14" spans="1:16">
      <c r="B14" s="209" t="s">
        <v>457</v>
      </c>
    </row>
    <row r="15" spans="1:16">
      <c r="B15" s="209" t="s">
        <v>458</v>
      </c>
    </row>
    <row r="16" spans="1:16">
      <c r="B16" s="209" t="s">
        <v>459</v>
      </c>
    </row>
    <row r="17" spans="2:3">
      <c r="B17" s="209" t="s">
        <v>460</v>
      </c>
    </row>
    <row r="18" spans="2:3">
      <c r="B18" s="209" t="s">
        <v>461</v>
      </c>
    </row>
    <row r="22" spans="2:3">
      <c r="B22" s="115"/>
      <c r="C22" t="s">
        <v>462</v>
      </c>
    </row>
    <row r="23" spans="2:3">
      <c r="B23" s="210"/>
      <c r="C23" t="s">
        <v>463</v>
      </c>
    </row>
  </sheetData>
  <mergeCells count="5">
    <mergeCell ref="B2:C2"/>
    <mergeCell ref="D2:E2"/>
    <mergeCell ref="F2:G2"/>
    <mergeCell ref="H2:I2"/>
    <mergeCell ref="B8:O8"/>
  </mergeCells>
  <pageMargins left="0.7" right="0.7" top="0.75" bottom="0.75" header="0.3" footer="0.3"/>
  <pageSetup orientation="portrait" horizontalDpi="4294967293"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C0BE-00B3-45AA-BB2E-3726F330B1AB}">
  <sheetPr codeName="Hoja9"/>
  <dimension ref="C2:L62"/>
  <sheetViews>
    <sheetView zoomScale="85" zoomScaleNormal="85" workbookViewId="0">
      <selection activeCell="N53" sqref="N53"/>
    </sheetView>
  </sheetViews>
  <sheetFormatPr baseColWidth="10" defaultColWidth="11.42578125" defaultRowHeight="15"/>
  <cols>
    <col min="3" max="3" width="15.5703125" bestFit="1" customWidth="1"/>
    <col min="4" max="4" width="14.140625" bestFit="1" customWidth="1"/>
    <col min="5" max="5" width="8.42578125" bestFit="1" customWidth="1"/>
    <col min="6" max="6" width="17.5703125" customWidth="1"/>
    <col min="7" max="7" width="14.5703125" bestFit="1" customWidth="1"/>
    <col min="8" max="8" width="14.85546875" customWidth="1"/>
    <col min="9" max="9" width="14.5703125" bestFit="1" customWidth="1"/>
    <col min="10" max="10" width="17.42578125" bestFit="1" customWidth="1"/>
    <col min="11" max="11" width="15.5703125" bestFit="1" customWidth="1"/>
  </cols>
  <sheetData>
    <row r="2" spans="3:12">
      <c r="I2" s="269">
        <v>0.2145</v>
      </c>
      <c r="J2" s="269">
        <v>0.05</v>
      </c>
      <c r="K2" s="120"/>
    </row>
    <row r="3" spans="3:12" ht="36">
      <c r="C3" s="172" t="s">
        <v>250</v>
      </c>
      <c r="D3" s="172" t="s">
        <v>229</v>
      </c>
      <c r="E3" s="247" t="s">
        <v>251</v>
      </c>
      <c r="F3" s="246" t="s">
        <v>252</v>
      </c>
      <c r="G3" s="261" t="s">
        <v>207</v>
      </c>
      <c r="H3" s="261" t="s">
        <v>464</v>
      </c>
      <c r="I3" s="261" t="s">
        <v>465</v>
      </c>
      <c r="J3" s="261" t="s">
        <v>466</v>
      </c>
    </row>
    <row r="4" spans="3:12">
      <c r="C4" s="173" t="s">
        <v>244</v>
      </c>
      <c r="D4" s="174">
        <v>64142</v>
      </c>
      <c r="E4" s="175">
        <v>74672</v>
      </c>
      <c r="F4" s="238">
        <v>64142</v>
      </c>
      <c r="G4" s="168">
        <v>17.5</v>
      </c>
      <c r="H4" s="267">
        <f>+G4*D4</f>
        <v>1122485</v>
      </c>
      <c r="I4" s="267">
        <f>+H4/(1-$I$2)</f>
        <v>1429007.0019096117</v>
      </c>
      <c r="J4" s="267">
        <f>+H4/(1-$J$2)</f>
        <v>1181563.1578947369</v>
      </c>
      <c r="K4" s="46">
        <f>+J4/H4-1</f>
        <v>5.2631578947368363E-2</v>
      </c>
    </row>
    <row r="5" spans="3:12">
      <c r="C5" s="173" t="s">
        <v>245</v>
      </c>
      <c r="D5" s="174">
        <v>64142</v>
      </c>
      <c r="E5" s="175">
        <v>74672</v>
      </c>
      <c r="F5" s="238">
        <v>64142</v>
      </c>
      <c r="G5" s="168"/>
      <c r="H5" s="267">
        <f t="shared" ref="H5:H8" si="0">+G5*D5</f>
        <v>0</v>
      </c>
      <c r="I5" s="267">
        <f t="shared" ref="I5:I8" si="1">+H5/(1-$I$2)</f>
        <v>0</v>
      </c>
      <c r="J5" s="267">
        <f t="shared" ref="J5:J9" si="2">+H5/(1-$J$2)</f>
        <v>0</v>
      </c>
      <c r="K5" s="46" t="e">
        <f t="shared" ref="K5:K9" si="3">+J5/H5-1</f>
        <v>#DIV/0!</v>
      </c>
    </row>
    <row r="6" spans="3:12">
      <c r="C6" s="173" t="s">
        <v>246</v>
      </c>
      <c r="D6" s="174">
        <v>64142</v>
      </c>
      <c r="E6" s="175">
        <v>74672</v>
      </c>
      <c r="F6" s="238">
        <v>64142</v>
      </c>
      <c r="G6" s="168">
        <v>41</v>
      </c>
      <c r="H6" s="267">
        <f t="shared" si="0"/>
        <v>2629822</v>
      </c>
      <c r="I6" s="267">
        <f t="shared" si="1"/>
        <v>3347959.2616168046</v>
      </c>
      <c r="J6" s="267">
        <f t="shared" si="2"/>
        <v>2768233.6842105263</v>
      </c>
      <c r="K6" s="46">
        <f t="shared" si="3"/>
        <v>5.2631578947368363E-2</v>
      </c>
    </row>
    <row r="7" spans="3:12">
      <c r="C7" s="173" t="s">
        <v>247</v>
      </c>
      <c r="D7" s="174">
        <v>63211</v>
      </c>
      <c r="E7" s="175">
        <v>72934</v>
      </c>
      <c r="F7" s="238">
        <v>63211</v>
      </c>
      <c r="G7" s="168">
        <f>85*2</f>
        <v>170</v>
      </c>
      <c r="H7" s="267">
        <f>+G7*D7</f>
        <v>10745870</v>
      </c>
      <c r="I7" s="267">
        <f t="shared" si="1"/>
        <v>13680292.807129217</v>
      </c>
      <c r="J7" s="267">
        <f t="shared" si="2"/>
        <v>11311442.105263159</v>
      </c>
      <c r="K7" s="46">
        <f t="shared" si="3"/>
        <v>5.2631578947368585E-2</v>
      </c>
    </row>
    <row r="8" spans="3:12">
      <c r="C8" s="173" t="s">
        <v>249</v>
      </c>
      <c r="D8" s="174">
        <v>63211</v>
      </c>
      <c r="E8" s="175">
        <v>72934</v>
      </c>
      <c r="F8" s="238">
        <v>63211</v>
      </c>
      <c r="G8" s="168">
        <v>160</v>
      </c>
      <c r="H8" s="267">
        <f t="shared" si="0"/>
        <v>10113760</v>
      </c>
      <c r="I8" s="267">
        <f t="shared" si="1"/>
        <v>12875569.700827498</v>
      </c>
      <c r="J8" s="267">
        <f t="shared" si="2"/>
        <v>10646063.157894738</v>
      </c>
      <c r="K8" s="46">
        <f t="shared" si="3"/>
        <v>5.2631578947368585E-2</v>
      </c>
    </row>
    <row r="9" spans="3:12">
      <c r="C9" s="263"/>
      <c r="D9" s="264"/>
      <c r="E9" s="265"/>
      <c r="F9" s="268" t="s">
        <v>65</v>
      </c>
      <c r="G9" s="3">
        <f>SUM(G4:G8)</f>
        <v>388.5</v>
      </c>
      <c r="H9" s="267">
        <f>SUM(H4:H8)</f>
        <v>24611937</v>
      </c>
      <c r="I9" s="267">
        <f t="shared" ref="I9" si="4">SUM(I4:I8)</f>
        <v>31332828.771483131</v>
      </c>
      <c r="J9" s="267">
        <f t="shared" si="2"/>
        <v>25907302.105263159</v>
      </c>
      <c r="K9" s="46">
        <f t="shared" si="3"/>
        <v>5.2631578947368363E-2</v>
      </c>
    </row>
    <row r="10" spans="3:12">
      <c r="C10" s="263"/>
      <c r="D10" s="264"/>
      <c r="E10" s="265"/>
      <c r="F10" s="266"/>
      <c r="H10" s="262"/>
    </row>
    <row r="11" spans="3:12">
      <c r="C11" s="263"/>
      <c r="D11" s="264"/>
      <c r="E11" s="265"/>
      <c r="F11" s="266" t="s">
        <v>414</v>
      </c>
      <c r="H11" s="262"/>
      <c r="J11" t="s">
        <v>467</v>
      </c>
    </row>
    <row r="12" spans="3:12">
      <c r="F12" t="s">
        <v>63</v>
      </c>
      <c r="G12">
        <v>30</v>
      </c>
    </row>
    <row r="13" spans="3:12">
      <c r="G13" t="s">
        <v>468</v>
      </c>
      <c r="H13" t="s">
        <v>469</v>
      </c>
      <c r="I13" t="s">
        <v>470</v>
      </c>
      <c r="J13" t="s">
        <v>468</v>
      </c>
      <c r="K13" t="s">
        <v>469</v>
      </c>
      <c r="L13" t="s">
        <v>470</v>
      </c>
    </row>
    <row r="14" spans="3:12">
      <c r="F14" t="s">
        <v>471</v>
      </c>
      <c r="G14">
        <v>20</v>
      </c>
      <c r="I14">
        <v>12</v>
      </c>
      <c r="J14">
        <v>20</v>
      </c>
      <c r="L14">
        <v>15</v>
      </c>
    </row>
    <row r="15" spans="3:12">
      <c r="F15" t="s">
        <v>472</v>
      </c>
      <c r="G15">
        <v>6</v>
      </c>
      <c r="H15">
        <v>6</v>
      </c>
      <c r="I15">
        <v>6</v>
      </c>
      <c r="J15">
        <v>6</v>
      </c>
      <c r="K15">
        <v>6</v>
      </c>
      <c r="L15">
        <v>6</v>
      </c>
    </row>
    <row r="16" spans="3:12">
      <c r="F16" t="s">
        <v>473</v>
      </c>
      <c r="G16">
        <v>4</v>
      </c>
      <c r="H16">
        <v>4</v>
      </c>
      <c r="I16">
        <v>4</v>
      </c>
      <c r="J16">
        <v>4</v>
      </c>
      <c r="K16">
        <v>4</v>
      </c>
      <c r="L16">
        <v>4</v>
      </c>
    </row>
    <row r="17" spans="6:12">
      <c r="F17" t="s">
        <v>474</v>
      </c>
      <c r="G17">
        <f>1.5*G12</f>
        <v>45</v>
      </c>
      <c r="H17">
        <f>+G12*5</f>
        <v>150</v>
      </c>
      <c r="I17">
        <f>3*G12</f>
        <v>90</v>
      </c>
      <c r="J17">
        <f>4*30</f>
        <v>120</v>
      </c>
      <c r="K17">
        <f>7*G12</f>
        <v>210</v>
      </c>
      <c r="L17">
        <f>6*30</f>
        <v>180</v>
      </c>
    </row>
    <row r="18" spans="6:12">
      <c r="G18">
        <f>SUM(G14:G17)</f>
        <v>75</v>
      </c>
      <c r="H18">
        <f>SUM(H15:H17)</f>
        <v>160</v>
      </c>
      <c r="I18">
        <f>SUM(I15:I17)</f>
        <v>100</v>
      </c>
      <c r="J18">
        <f>SUM(J14:J17)</f>
        <v>150</v>
      </c>
      <c r="K18">
        <f>SUM(K15:K17)</f>
        <v>220</v>
      </c>
      <c r="L18">
        <f>SUM(L14:L17)</f>
        <v>205</v>
      </c>
    </row>
    <row r="20" spans="6:12">
      <c r="F20" t="s">
        <v>475</v>
      </c>
      <c r="G20">
        <v>6</v>
      </c>
    </row>
    <row r="21" spans="6:12">
      <c r="F21" t="s">
        <v>476</v>
      </c>
      <c r="G21">
        <f>30+5</f>
        <v>35</v>
      </c>
    </row>
    <row r="22" spans="6:12">
      <c r="G22">
        <f>+G21/2</f>
        <v>17.5</v>
      </c>
    </row>
    <row r="24" spans="6:12">
      <c r="F24" t="s">
        <v>63</v>
      </c>
      <c r="G24">
        <v>20</v>
      </c>
    </row>
    <row r="25" spans="6:12">
      <c r="G25" t="s">
        <v>468</v>
      </c>
      <c r="H25" t="s">
        <v>469</v>
      </c>
      <c r="I25" t="s">
        <v>470</v>
      </c>
      <c r="J25" t="s">
        <v>468</v>
      </c>
      <c r="K25" t="s">
        <v>469</v>
      </c>
      <c r="L25" t="s">
        <v>470</v>
      </c>
    </row>
    <row r="26" spans="6:12">
      <c r="F26" t="s">
        <v>471</v>
      </c>
      <c r="G26">
        <v>20</v>
      </c>
      <c r="I26">
        <v>12</v>
      </c>
      <c r="J26">
        <v>20</v>
      </c>
      <c r="L26">
        <v>15</v>
      </c>
    </row>
    <row r="27" spans="6:12">
      <c r="F27" t="s">
        <v>472</v>
      </c>
      <c r="G27">
        <v>6</v>
      </c>
      <c r="H27">
        <v>6</v>
      </c>
      <c r="I27">
        <v>6</v>
      </c>
      <c r="J27">
        <v>6</v>
      </c>
      <c r="K27">
        <v>6</v>
      </c>
      <c r="L27">
        <v>6</v>
      </c>
    </row>
    <row r="28" spans="6:12">
      <c r="F28" t="s">
        <v>473</v>
      </c>
      <c r="G28">
        <v>4</v>
      </c>
      <c r="H28">
        <v>4</v>
      </c>
      <c r="I28">
        <v>4</v>
      </c>
      <c r="J28">
        <v>4</v>
      </c>
      <c r="K28">
        <v>4</v>
      </c>
      <c r="L28">
        <v>4</v>
      </c>
    </row>
    <row r="29" spans="6:12">
      <c r="F29" t="s">
        <v>474</v>
      </c>
      <c r="G29">
        <f>1.5*G24</f>
        <v>30</v>
      </c>
      <c r="H29">
        <f>+G24*7</f>
        <v>140</v>
      </c>
      <c r="I29">
        <f>3*G24</f>
        <v>60</v>
      </c>
      <c r="J29">
        <f>4*G24</f>
        <v>80</v>
      </c>
      <c r="K29">
        <f>7*G24</f>
        <v>140</v>
      </c>
      <c r="L29">
        <f>6*G24</f>
        <v>120</v>
      </c>
    </row>
    <row r="30" spans="6:12">
      <c r="G30">
        <f>SUM(G26:G29)</f>
        <v>60</v>
      </c>
      <c r="H30">
        <f>SUM(H27:H29)</f>
        <v>150</v>
      </c>
      <c r="I30">
        <f>SUM(I27:I29)</f>
        <v>70</v>
      </c>
      <c r="J30">
        <f>SUM(J26:J29)</f>
        <v>110</v>
      </c>
      <c r="K30">
        <f>SUM(K27:K29)</f>
        <v>150</v>
      </c>
      <c r="L30">
        <f>SUM(L26:L29)</f>
        <v>145</v>
      </c>
    </row>
    <row r="32" spans="6:12">
      <c r="F32" t="s">
        <v>475</v>
      </c>
      <c r="G32">
        <v>6</v>
      </c>
    </row>
    <row r="33" spans="3:11">
      <c r="F33" t="s">
        <v>476</v>
      </c>
      <c r="G33">
        <f>20+5</f>
        <v>25</v>
      </c>
    </row>
    <row r="34" spans="3:11">
      <c r="G34">
        <f>+G33/2</f>
        <v>12.5</v>
      </c>
    </row>
    <row r="36" spans="3:11">
      <c r="C36" s="272" t="s">
        <v>477</v>
      </c>
      <c r="D36" s="273"/>
      <c r="E36" s="273"/>
      <c r="F36" s="273"/>
      <c r="G36" s="273"/>
      <c r="H36" s="273"/>
      <c r="I36" s="273"/>
      <c r="J36" s="273"/>
      <c r="K36" s="273"/>
    </row>
    <row r="37" spans="3:11">
      <c r="C37" s="274" t="s">
        <v>478</v>
      </c>
      <c r="D37" s="272" t="s">
        <v>479</v>
      </c>
      <c r="E37" s="272" t="s">
        <v>79</v>
      </c>
      <c r="F37" s="272" t="s">
        <v>65</v>
      </c>
      <c r="G37" s="272" t="s">
        <v>480</v>
      </c>
      <c r="H37" s="272" t="s">
        <v>481</v>
      </c>
      <c r="I37" s="272" t="s">
        <v>482</v>
      </c>
      <c r="J37" s="272" t="s">
        <v>483</v>
      </c>
      <c r="K37" s="272" t="s">
        <v>484</v>
      </c>
    </row>
    <row r="38" spans="3:11">
      <c r="C38" s="274" t="s">
        <v>485</v>
      </c>
      <c r="D38" s="273" t="s">
        <v>486</v>
      </c>
      <c r="E38" s="274">
        <v>1290</v>
      </c>
      <c r="F38" s="273">
        <f>SUM(G38:K38)</f>
        <v>393.5</v>
      </c>
      <c r="G38" s="273">
        <v>17.5</v>
      </c>
      <c r="H38" s="273"/>
      <c r="I38" s="273">
        <v>41</v>
      </c>
      <c r="J38" s="273">
        <f>+G18+I18</f>
        <v>175</v>
      </c>
      <c r="K38" s="273">
        <v>160</v>
      </c>
    </row>
    <row r="39" spans="3:11">
      <c r="C39" s="1420"/>
      <c r="D39" s="1421"/>
      <c r="E39" s="1422"/>
      <c r="F39" s="275">
        <f>SUM(G39:K39)</f>
        <v>24927992</v>
      </c>
      <c r="G39" s="276">
        <f>+G38*$D$4</f>
        <v>1122485</v>
      </c>
      <c r="H39" s="277"/>
      <c r="I39" s="276">
        <f>+I38*$D$6</f>
        <v>2629822</v>
      </c>
      <c r="J39" s="276">
        <f>+J38*$D$7</f>
        <v>11061925</v>
      </c>
      <c r="K39" s="276">
        <f>+K38*$D$7</f>
        <v>10113760</v>
      </c>
    </row>
    <row r="40" spans="3:11">
      <c r="C40" s="274" t="s">
        <v>487</v>
      </c>
      <c r="D40" s="273" t="s">
        <v>488</v>
      </c>
      <c r="E40" s="274">
        <v>564</v>
      </c>
      <c r="F40" s="273">
        <f t="shared" ref="F40:F44" si="5">SUM(G40:K40)</f>
        <v>323.5</v>
      </c>
      <c r="G40" s="273">
        <v>12.5</v>
      </c>
      <c r="H40" s="273"/>
      <c r="I40" s="273">
        <v>31</v>
      </c>
      <c r="J40" s="273">
        <f>+G30+I30</f>
        <v>130</v>
      </c>
      <c r="K40" s="273">
        <f>+H30</f>
        <v>150</v>
      </c>
    </row>
    <row r="41" spans="3:11">
      <c r="C41" s="1420"/>
      <c r="D41" s="1421"/>
      <c r="E41" s="1422"/>
      <c r="F41" s="275">
        <f>SUM(G41:K41)</f>
        <v>20489257</v>
      </c>
      <c r="G41" s="276">
        <f>+G40*$D$4</f>
        <v>801775</v>
      </c>
      <c r="H41" s="277"/>
      <c r="I41" s="276">
        <f>+I40*$D$6</f>
        <v>1988402</v>
      </c>
      <c r="J41" s="276">
        <f>+J40*$D$7</f>
        <v>8217430</v>
      </c>
      <c r="K41" s="276">
        <f>+K40*$D$7</f>
        <v>9481650</v>
      </c>
    </row>
    <row r="42" spans="3:11">
      <c r="C42" s="274" t="s">
        <v>489</v>
      </c>
      <c r="D42" s="273" t="s">
        <v>490</v>
      </c>
      <c r="E42" s="274">
        <v>1293</v>
      </c>
      <c r="F42" s="273">
        <f t="shared" si="5"/>
        <v>388.5</v>
      </c>
      <c r="G42" s="273">
        <v>17.5</v>
      </c>
      <c r="H42" s="273"/>
      <c r="I42" s="273">
        <v>41</v>
      </c>
      <c r="J42" s="273">
        <v>170</v>
      </c>
      <c r="K42" s="273">
        <v>160</v>
      </c>
    </row>
    <row r="43" spans="3:11">
      <c r="C43" s="1420"/>
      <c r="D43" s="1421"/>
      <c r="E43" s="1422"/>
      <c r="F43" s="275">
        <f>SUM(G43:K43)</f>
        <v>24611937</v>
      </c>
      <c r="G43" s="276">
        <f>+G42*$D$4</f>
        <v>1122485</v>
      </c>
      <c r="H43" s="277"/>
      <c r="I43" s="276">
        <f>+I42*$D$6</f>
        <v>2629822</v>
      </c>
      <c r="J43" s="276">
        <f>+J42*$D$7</f>
        <v>10745870</v>
      </c>
      <c r="K43" s="276">
        <f>+K42*$D$7</f>
        <v>10113760</v>
      </c>
    </row>
    <row r="44" spans="3:11">
      <c r="C44" s="274" t="s">
        <v>491</v>
      </c>
      <c r="D44" s="273" t="s">
        <v>492</v>
      </c>
      <c r="E44" s="274">
        <v>564</v>
      </c>
      <c r="F44" s="273">
        <f t="shared" si="5"/>
        <v>448.5</v>
      </c>
      <c r="G44" s="273">
        <v>12.5</v>
      </c>
      <c r="H44" s="273"/>
      <c r="I44" s="273">
        <v>31</v>
      </c>
      <c r="J44" s="273">
        <f>+J30+L30</f>
        <v>255</v>
      </c>
      <c r="K44" s="273">
        <f>+K30</f>
        <v>150</v>
      </c>
    </row>
    <row r="45" spans="3:11">
      <c r="C45" s="1420"/>
      <c r="D45" s="1421"/>
      <c r="E45" s="1422"/>
      <c r="F45" s="275">
        <f>SUM(G45:K45)</f>
        <v>28390632</v>
      </c>
      <c r="G45" s="276">
        <f>+G44*$D$4</f>
        <v>801775</v>
      </c>
      <c r="H45" s="277"/>
      <c r="I45" s="276">
        <f>+I44*$D$6</f>
        <v>1988402</v>
      </c>
      <c r="J45" s="276">
        <f>+J44*$D$7</f>
        <v>16118805</v>
      </c>
      <c r="K45" s="276">
        <f>+K44*$D$7</f>
        <v>9481650</v>
      </c>
    </row>
    <row r="46" spans="3:11">
      <c r="C46" s="274" t="s">
        <v>493</v>
      </c>
      <c r="D46" s="273" t="s">
        <v>494</v>
      </c>
      <c r="E46" s="274">
        <v>0</v>
      </c>
      <c r="F46" s="273">
        <v>18.23</v>
      </c>
      <c r="G46" s="273"/>
      <c r="H46" s="273">
        <v>18.23</v>
      </c>
      <c r="I46" s="273"/>
      <c r="J46" s="273"/>
      <c r="K46" s="273"/>
    </row>
    <row r="47" spans="3:11">
      <c r="C47" s="278"/>
      <c r="D47" s="277"/>
      <c r="E47" s="278"/>
      <c r="F47" s="276">
        <f>SUM(G47:K47)</f>
        <v>1169308.6599999999</v>
      </c>
      <c r="G47" s="277"/>
      <c r="H47" s="276">
        <f>+D5*H46</f>
        <v>1169308.6599999999</v>
      </c>
      <c r="I47" s="277"/>
      <c r="J47" s="277"/>
      <c r="K47" s="277"/>
    </row>
    <row r="48" spans="3:11">
      <c r="C48" s="273"/>
      <c r="D48" s="273"/>
      <c r="E48" s="274">
        <v>3711</v>
      </c>
      <c r="F48" s="273"/>
      <c r="G48" s="273"/>
      <c r="H48" s="273"/>
      <c r="I48" s="273"/>
      <c r="J48" s="273"/>
      <c r="K48" s="273"/>
    </row>
    <row r="49" spans="3:11">
      <c r="C49" s="270"/>
      <c r="D49" s="270"/>
      <c r="E49" s="271" t="s">
        <v>495</v>
      </c>
      <c r="F49" s="270"/>
      <c r="G49" s="270"/>
      <c r="H49" s="270"/>
      <c r="I49" s="270"/>
      <c r="J49" s="270"/>
      <c r="K49" s="270"/>
    </row>
    <row r="50" spans="3:11">
      <c r="C50" s="272" t="s">
        <v>477</v>
      </c>
      <c r="D50" s="279" t="s">
        <v>72</v>
      </c>
      <c r="E50" s="280">
        <v>0.2145</v>
      </c>
      <c r="F50" s="273"/>
      <c r="G50" s="273"/>
      <c r="H50" s="273"/>
      <c r="I50" s="273"/>
      <c r="J50" s="273"/>
      <c r="K50" s="273"/>
    </row>
    <row r="51" spans="3:11">
      <c r="C51" s="274" t="s">
        <v>478</v>
      </c>
      <c r="D51" s="272" t="s">
        <v>479</v>
      </c>
      <c r="E51" s="272" t="s">
        <v>79</v>
      </c>
      <c r="F51" s="272" t="s">
        <v>65</v>
      </c>
      <c r="G51" s="272" t="s">
        <v>480</v>
      </c>
      <c r="H51" s="272" t="s">
        <v>481</v>
      </c>
      <c r="I51" s="272" t="s">
        <v>482</v>
      </c>
      <c r="J51" s="272" t="s">
        <v>483</v>
      </c>
      <c r="K51" s="272" t="s">
        <v>484</v>
      </c>
    </row>
    <row r="52" spans="3:11">
      <c r="C52" s="274" t="s">
        <v>485</v>
      </c>
      <c r="D52" s="273" t="s">
        <v>486</v>
      </c>
      <c r="E52" s="274">
        <v>1290</v>
      </c>
      <c r="F52" s="273">
        <f>SUM(G52:K52)</f>
        <v>224.5</v>
      </c>
      <c r="G52" s="273">
        <v>17.5</v>
      </c>
      <c r="H52" s="273"/>
      <c r="I52" s="273">
        <v>41</v>
      </c>
      <c r="J52" s="273">
        <f>+G32+I32</f>
        <v>6</v>
      </c>
      <c r="K52" s="273">
        <v>160</v>
      </c>
    </row>
    <row r="53" spans="3:11">
      <c r="C53" s="1420"/>
      <c r="D53" s="1421"/>
      <c r="E53" s="1422"/>
      <c r="F53" s="275">
        <f>SUM(G53:K53)</f>
        <v>30275046.283999998</v>
      </c>
      <c r="G53" s="275">
        <f>+G39*$E$50+G39</f>
        <v>1363258.0325</v>
      </c>
      <c r="H53" s="277"/>
      <c r="I53" s="275">
        <f>+I39*$E$50+I39</f>
        <v>3193918.8190000001</v>
      </c>
      <c r="J53" s="275">
        <f>+J39*$E$50+J39</f>
        <v>13434707.9125</v>
      </c>
      <c r="K53" s="275">
        <f>+K39*$E$50+K39</f>
        <v>12283161.52</v>
      </c>
    </row>
    <row r="54" spans="3:11">
      <c r="C54" s="274" t="s">
        <v>487</v>
      </c>
      <c r="D54" s="273" t="s">
        <v>488</v>
      </c>
      <c r="E54" s="274">
        <v>564</v>
      </c>
      <c r="F54" s="273">
        <f t="shared" ref="F54" si="6">SUM(G54:K54)</f>
        <v>87</v>
      </c>
      <c r="G54" s="273">
        <v>12.5</v>
      </c>
      <c r="H54" s="273"/>
      <c r="I54" s="273">
        <v>31</v>
      </c>
      <c r="J54" s="273">
        <f>+G44+I44</f>
        <v>43.5</v>
      </c>
      <c r="K54" s="273">
        <f>+H44</f>
        <v>0</v>
      </c>
    </row>
    <row r="55" spans="3:11">
      <c r="C55" s="1420"/>
      <c r="D55" s="1421"/>
      <c r="E55" s="1422"/>
      <c r="F55" s="275">
        <f>SUM(G55:K55)</f>
        <v>24884202.626499999</v>
      </c>
      <c r="G55" s="275">
        <f>+G41*$E$50+G41</f>
        <v>973755.73750000005</v>
      </c>
      <c r="H55" s="277"/>
      <c r="I55" s="275">
        <f>+I41*$E$50+I41</f>
        <v>2414914.2289999998</v>
      </c>
      <c r="J55" s="275">
        <f>+J41*$E$50+J41</f>
        <v>9980068.7349999994</v>
      </c>
      <c r="K55" s="275">
        <f>+K41*$E$50+K41</f>
        <v>11515463.925000001</v>
      </c>
    </row>
    <row r="56" spans="3:11">
      <c r="C56" s="274" t="s">
        <v>489</v>
      </c>
      <c r="D56" s="273" t="s">
        <v>490</v>
      </c>
      <c r="E56" s="274">
        <v>1293</v>
      </c>
      <c r="F56" s="273">
        <f t="shared" ref="F56" si="7">SUM(G56:K56)</f>
        <v>388.5</v>
      </c>
      <c r="G56" s="273">
        <v>17.5</v>
      </c>
      <c r="H56" s="273"/>
      <c r="I56" s="273">
        <v>41</v>
      </c>
      <c r="J56" s="273">
        <v>170</v>
      </c>
      <c r="K56" s="273">
        <v>160</v>
      </c>
    </row>
    <row r="57" spans="3:11">
      <c r="C57" s="1420"/>
      <c r="D57" s="1421"/>
      <c r="E57" s="1422"/>
      <c r="F57" s="275">
        <f>SUM(G57:K57)</f>
        <v>29891197.486499999</v>
      </c>
      <c r="G57" s="275">
        <f>+G43*$E$50+G43</f>
        <v>1363258.0325</v>
      </c>
      <c r="H57" s="277"/>
      <c r="I57" s="275">
        <f>+I43*$E$50+I43</f>
        <v>3193918.8190000001</v>
      </c>
      <c r="J57" s="275">
        <f>+J43*$E$50+J43</f>
        <v>13050859.115</v>
      </c>
      <c r="K57" s="275">
        <f>+K43*$E$50+K43</f>
        <v>12283161.52</v>
      </c>
    </row>
    <row r="58" spans="3:11">
      <c r="C58" s="274" t="s">
        <v>491</v>
      </c>
      <c r="D58" s="273" t="s">
        <v>492</v>
      </c>
      <c r="E58" s="274">
        <v>564</v>
      </c>
      <c r="F58" s="273">
        <f t="shared" ref="F58" si="8">SUM(G58:K58)</f>
        <v>448.5</v>
      </c>
      <c r="G58" s="273">
        <v>12.5</v>
      </c>
      <c r="H58" s="273"/>
      <c r="I58" s="273">
        <v>31</v>
      </c>
      <c r="J58" s="273">
        <f>+J44+L44</f>
        <v>255</v>
      </c>
      <c r="K58" s="273">
        <f>+K44</f>
        <v>150</v>
      </c>
    </row>
    <row r="59" spans="3:11">
      <c r="C59" s="1420"/>
      <c r="D59" s="1421"/>
      <c r="E59" s="1422"/>
      <c r="F59" s="275">
        <f>SUM(G59:K59)</f>
        <v>34480422.563999996</v>
      </c>
      <c r="G59" s="275">
        <f>+G45*$E$50+G45</f>
        <v>973755.73750000005</v>
      </c>
      <c r="H59" s="277"/>
      <c r="I59" s="275">
        <f>+I45*$E$50+I45</f>
        <v>2414914.2289999998</v>
      </c>
      <c r="J59" s="275">
        <f>+J45*$E$50+J45</f>
        <v>19576288.672499999</v>
      </c>
      <c r="K59" s="275">
        <f>+K45*$E$50+K45</f>
        <v>11515463.925000001</v>
      </c>
    </row>
    <row r="60" spans="3:11">
      <c r="C60" s="274" t="s">
        <v>493</v>
      </c>
      <c r="D60" s="273" t="s">
        <v>494</v>
      </c>
      <c r="E60" s="274">
        <v>0</v>
      </c>
      <c r="F60" s="273">
        <v>18.23</v>
      </c>
      <c r="G60" s="273"/>
      <c r="H60" s="273">
        <v>18.23</v>
      </c>
      <c r="I60" s="273"/>
      <c r="J60" s="273"/>
      <c r="K60" s="273"/>
    </row>
    <row r="61" spans="3:11">
      <c r="C61" s="278"/>
      <c r="D61" s="277"/>
      <c r="E61" s="278"/>
      <c r="F61" s="276">
        <f>SUM(G61:K61)</f>
        <v>1420125.3675699998</v>
      </c>
      <c r="G61" s="275">
        <f>+G47*$E$50+G47</f>
        <v>0</v>
      </c>
      <c r="H61" s="275">
        <f>+H47*$E$50+H47</f>
        <v>1420125.3675699998</v>
      </c>
      <c r="I61" s="275">
        <f>+I47*$E$50+I47</f>
        <v>0</v>
      </c>
      <c r="J61" s="275">
        <f>+J47*$E$50+J47</f>
        <v>0</v>
      </c>
      <c r="K61" s="275">
        <f>+K47*$E$50+K47</f>
        <v>0</v>
      </c>
    </row>
    <row r="62" spans="3:11">
      <c r="C62" s="273"/>
      <c r="D62" s="273"/>
      <c r="E62" s="274">
        <v>3711</v>
      </c>
      <c r="F62" s="273"/>
      <c r="G62" s="273"/>
      <c r="H62" s="273"/>
      <c r="I62" s="273"/>
      <c r="J62" s="273"/>
      <c r="K62" s="273"/>
    </row>
  </sheetData>
  <mergeCells count="8">
    <mergeCell ref="C57:E57"/>
    <mergeCell ref="C59:E59"/>
    <mergeCell ref="C39:E39"/>
    <mergeCell ref="C41:E41"/>
    <mergeCell ref="C43:E43"/>
    <mergeCell ref="C45:E45"/>
    <mergeCell ref="C53:E53"/>
    <mergeCell ref="C55:E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27</vt:i4>
      </vt:variant>
      <vt:variant>
        <vt:lpstr>Rangos con nombre</vt:lpstr>
      </vt:variant>
      <vt:variant>
        <vt:i4>23</vt:i4>
      </vt:variant>
    </vt:vector>
  </HeadingPairs>
  <TitlesOfParts>
    <vt:vector size="50" baseType="lpstr">
      <vt:lpstr>Entradas</vt:lpstr>
      <vt:lpstr>Tarifario Estadistica2</vt:lpstr>
      <vt:lpstr>MuestraTec1</vt:lpstr>
      <vt:lpstr>MuestraTec2</vt:lpstr>
      <vt:lpstr>MYSTERY</vt:lpstr>
      <vt:lpstr>Costos Directos discriminados</vt:lpstr>
      <vt:lpstr>Valores Insumos reclutamiento</vt:lpstr>
      <vt:lpstr>Parametros</vt:lpstr>
      <vt:lpstr>Precios bases</vt:lpstr>
      <vt:lpstr>Horas</vt:lpstr>
      <vt:lpstr>Codificación</vt:lpstr>
      <vt:lpstr>Bitacora de ajustes</vt:lpstr>
      <vt:lpstr>Costa Rica </vt:lpstr>
      <vt:lpstr>Guatemala</vt:lpstr>
      <vt:lpstr>Rep. Dominicana</vt:lpstr>
      <vt:lpstr>Puerto Rico</vt:lpstr>
      <vt:lpstr>Panama</vt:lpstr>
      <vt:lpstr>El Salvador</vt:lpstr>
      <vt:lpstr>Nicaragua</vt:lpstr>
      <vt:lpstr>Honduras</vt:lpstr>
      <vt:lpstr>Estructura de costos - 2023</vt:lpstr>
      <vt:lpstr>Hoja1</vt:lpstr>
      <vt:lpstr>Valor Hora - Alternativas</vt:lpstr>
      <vt:lpstr>Hoja4</vt:lpstr>
      <vt:lpstr>Hoja2 (2)</vt:lpstr>
      <vt:lpstr>Valor por peso</vt:lpstr>
      <vt:lpstr>Hoja2</vt:lpstr>
      <vt:lpstr>'Precios bases'!BHT</vt:lpstr>
      <vt:lpstr>BHT</vt:lpstr>
      <vt:lpstr>'Precios bases'!CEX</vt:lpstr>
      <vt:lpstr>CEX</vt:lpstr>
      <vt:lpstr>CRE</vt:lpstr>
      <vt:lpstr>'Precios bases'!CREATIVE</vt:lpstr>
      <vt:lpstr>CREATIVE</vt:lpstr>
      <vt:lpstr>'Precios bases'!HEC</vt:lpstr>
      <vt:lpstr>HEC</vt:lpstr>
      <vt:lpstr>Horas</vt:lpstr>
      <vt:lpstr>'Precios bases'!INNO</vt:lpstr>
      <vt:lpstr>INNO</vt:lpstr>
      <vt:lpstr>Metodologia</vt:lpstr>
      <vt:lpstr>'Precios bases'!MSU</vt:lpstr>
      <vt:lpstr>MSU</vt:lpstr>
      <vt:lpstr>OBS</vt:lpstr>
      <vt:lpstr>OPS</vt:lpstr>
      <vt:lpstr>'Precios bases'!PA</vt:lpstr>
      <vt:lpstr>PA</vt:lpstr>
      <vt:lpstr>Record_Detail_Level</vt:lpstr>
      <vt:lpstr>SL</vt:lpstr>
      <vt:lpstr>'Precios bases'!UX</vt:lpstr>
      <vt:lpstr>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Fabiola Marin</dc:creator>
  <cp:keywords/>
  <dc:description/>
  <cp:lastModifiedBy>John David Patiño</cp:lastModifiedBy>
  <cp:revision/>
  <dcterms:created xsi:type="dcterms:W3CDTF">2024-03-18T14:42:34Z</dcterms:created>
  <dcterms:modified xsi:type="dcterms:W3CDTF">2026-01-06T03:55:20Z</dcterms:modified>
  <cp:category/>
  <cp:contentStatus/>
</cp:coreProperties>
</file>