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johnd\OneDrive\Desktop\"/>
    </mc:Choice>
  </mc:AlternateContent>
  <xr:revisionPtr revIDLastSave="0" documentId="13_ncr:1_{60BF487B-B6DC-4F42-9417-8876A4ED2EC7}" xr6:coauthVersionLast="47" xr6:coauthVersionMax="47" xr10:uidLastSave="{00000000-0000-0000-0000-000000000000}"/>
  <bookViews>
    <workbookView xWindow="-110" yWindow="-110" windowWidth="19420" windowHeight="10560" activeTab="1" xr2:uid="{00000000-000D-0000-FFFF-FFFF00000000}"/>
  </bookViews>
  <sheets>
    <sheet name="Financial analysis basic" sheetId="1" r:id="rId1"/>
    <sheet name="Financial analysis advanced" sheetId="3" r:id="rId2"/>
    <sheet name="extra data&gt;&gt;" sheetId="4" r:id="rId3"/>
    <sheet name="Research" sheetId="2" r:id="rId4"/>
  </sheets>
  <definedNames>
    <definedName name="Gross_Profit">'Financial analysis advanced'!$A$6:$J$6</definedName>
    <definedName name="Sensitivity">'Financial analysis advanced'!$B$36</definedName>
    <definedName name="SG_A">'Financial analysis advanced'!$A$7:$J$7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60" i="3" l="1"/>
  <c r="E61" i="3"/>
  <c r="E62" i="3"/>
  <c r="E63" i="3"/>
  <c r="E64" i="3"/>
  <c r="D64" i="3"/>
  <c r="D63" i="3"/>
  <c r="D62" i="3"/>
  <c r="D61" i="3"/>
  <c r="D60" i="3"/>
  <c r="D53" i="3"/>
  <c r="D56" i="3" s="1"/>
  <c r="D57" i="3" s="1"/>
  <c r="D52" i="3"/>
  <c r="D55" i="3" s="1"/>
  <c r="E51" i="3"/>
  <c r="E52" i="3" s="1"/>
  <c r="E55" i="3" s="1"/>
  <c r="F51" i="3"/>
  <c r="G51" i="3" s="1"/>
  <c r="G53" i="3" s="1"/>
  <c r="G56" i="3" s="1"/>
  <c r="G57" i="3" s="1"/>
  <c r="A3" i="3"/>
  <c r="E38" i="3"/>
  <c r="E40" i="3"/>
  <c r="E42" i="3"/>
  <c r="E43" i="3"/>
  <c r="E45" i="3"/>
  <c r="D38" i="3"/>
  <c r="D40" i="3"/>
  <c r="D42" i="3"/>
  <c r="D43" i="3"/>
  <c r="D45" i="3"/>
  <c r="E37" i="3"/>
  <c r="D37" i="3"/>
  <c r="E25" i="3"/>
  <c r="E26" i="3"/>
  <c r="E28" i="3"/>
  <c r="E30" i="3"/>
  <c r="E31" i="3"/>
  <c r="E33" i="3"/>
  <c r="D26" i="3"/>
  <c r="D28" i="3"/>
  <c r="D30" i="3"/>
  <c r="D31" i="3"/>
  <c r="D33" i="3"/>
  <c r="D25" i="3"/>
  <c r="E20" i="3"/>
  <c r="D20" i="3"/>
  <c r="E19" i="3"/>
  <c r="D19" i="3"/>
  <c r="E18" i="3"/>
  <c r="D18" i="3"/>
  <c r="E17" i="3"/>
  <c r="D17" i="3"/>
  <c r="E16" i="3"/>
  <c r="J10" i="3"/>
  <c r="J43" i="3" s="1"/>
  <c r="I10" i="3"/>
  <c r="I43" i="3" s="1"/>
  <c r="H10" i="3"/>
  <c r="H43" i="3" s="1"/>
  <c r="G10" i="3"/>
  <c r="G43" i="3" s="1"/>
  <c r="F10" i="3"/>
  <c r="F43" i="3" s="1"/>
  <c r="J7" i="3"/>
  <c r="J40" i="3" s="1"/>
  <c r="I7" i="3"/>
  <c r="I40" i="3" s="1"/>
  <c r="H7" i="3"/>
  <c r="H40" i="3" s="1"/>
  <c r="G7" i="3"/>
  <c r="G40" i="3" s="1"/>
  <c r="F7" i="3"/>
  <c r="F40" i="3" s="1"/>
  <c r="E6" i="3"/>
  <c r="E8" i="3" s="1"/>
  <c r="E11" i="3" s="1"/>
  <c r="E32" i="3" s="1"/>
  <c r="D6" i="3"/>
  <c r="D39" i="3" s="1"/>
  <c r="F4" i="3"/>
  <c r="G4" i="3" s="1"/>
  <c r="G25" i="3" s="1"/>
  <c r="E1" i="3"/>
  <c r="F1" i="3" s="1"/>
  <c r="G1" i="3" s="1"/>
  <c r="H1" i="3" s="1"/>
  <c r="I1" i="3" s="1"/>
  <c r="J1" i="3" s="1"/>
  <c r="H7" i="1"/>
  <c r="G4" i="1"/>
  <c r="H4" i="1"/>
  <c r="I4" i="1"/>
  <c r="G5" i="1"/>
  <c r="G6" i="1" s="1"/>
  <c r="G8" i="1" s="1"/>
  <c r="G11" i="1" s="1"/>
  <c r="H5" i="1"/>
  <c r="H6" i="1"/>
  <c r="H8" i="1" s="1"/>
  <c r="H11" i="1" s="1"/>
  <c r="G7" i="1"/>
  <c r="I7" i="1"/>
  <c r="J7" i="1"/>
  <c r="G9" i="1"/>
  <c r="H9" i="1"/>
  <c r="G10" i="1"/>
  <c r="H10" i="1"/>
  <c r="I10" i="1"/>
  <c r="J10" i="1"/>
  <c r="F13" i="1"/>
  <c r="F12" i="1"/>
  <c r="F11" i="1"/>
  <c r="F10" i="1"/>
  <c r="F9" i="1"/>
  <c r="F8" i="1"/>
  <c r="F7" i="1"/>
  <c r="F6" i="1"/>
  <c r="F5" i="1"/>
  <c r="F4" i="1"/>
  <c r="E21" i="1"/>
  <c r="D21" i="1"/>
  <c r="E20" i="1"/>
  <c r="D20" i="1"/>
  <c r="E19" i="1"/>
  <c r="D19" i="1"/>
  <c r="E18" i="1"/>
  <c r="D18" i="1"/>
  <c r="E17" i="1"/>
  <c r="D17" i="1"/>
  <c r="E16" i="1"/>
  <c r="E11" i="1"/>
  <c r="E13" i="1" s="1"/>
  <c r="D11" i="1"/>
  <c r="D13" i="1" s="1"/>
  <c r="E8" i="1"/>
  <c r="D8" i="1"/>
  <c r="E6" i="1"/>
  <c r="D6" i="1"/>
  <c r="F1" i="1"/>
  <c r="G1" i="1"/>
  <c r="H1" i="1"/>
  <c r="I1" i="1"/>
  <c r="J1" i="1"/>
  <c r="E1" i="1"/>
  <c r="E67" i="3" l="1" a="1"/>
  <c r="E67" i="3" s="1"/>
  <c r="E77" i="3" s="1"/>
  <c r="E78" i="3" s="1"/>
  <c r="D66" i="3"/>
  <c r="E81" i="3"/>
  <c r="D84" i="3"/>
  <c r="E84" i="3"/>
  <c r="I63" i="3"/>
  <c r="E80" i="3"/>
  <c r="D83" i="3"/>
  <c r="F63" i="3"/>
  <c r="D81" i="3"/>
  <c r="D65" i="3"/>
  <c r="D80" i="3"/>
  <c r="J61" i="3"/>
  <c r="E68" i="3"/>
  <c r="E83" i="3"/>
  <c r="F52" i="3"/>
  <c r="F55" i="3" s="1"/>
  <c r="F53" i="3"/>
  <c r="F56" i="3" s="1"/>
  <c r="F57" i="3" s="1"/>
  <c r="I61" i="3"/>
  <c r="E66" i="3"/>
  <c r="D68" i="3"/>
  <c r="E53" i="3"/>
  <c r="E56" i="3" s="1"/>
  <c r="E57" i="3" s="1"/>
  <c r="H61" i="3"/>
  <c r="E65" i="3"/>
  <c r="D67" i="3" a="1"/>
  <c r="D67" i="3" s="1"/>
  <c r="D77" i="3" s="1"/>
  <c r="D78" i="3" s="1"/>
  <c r="J63" i="3"/>
  <c r="F61" i="3"/>
  <c r="E48" i="3"/>
  <c r="E49" i="3" s="1"/>
  <c r="H63" i="3"/>
  <c r="G61" i="3"/>
  <c r="D48" i="3"/>
  <c r="D49" i="3" s="1"/>
  <c r="G63" i="3"/>
  <c r="G52" i="3"/>
  <c r="G55" i="3" s="1"/>
  <c r="H51" i="3"/>
  <c r="H53" i="3" s="1"/>
  <c r="H56" i="3" s="1"/>
  <c r="H57" i="3" s="1"/>
  <c r="D8" i="3"/>
  <c r="D11" i="3" s="1"/>
  <c r="D32" i="3" s="1"/>
  <c r="G31" i="3"/>
  <c r="E39" i="3"/>
  <c r="E44" i="3"/>
  <c r="E29" i="3"/>
  <c r="E41" i="3"/>
  <c r="F28" i="3"/>
  <c r="D27" i="3"/>
  <c r="E27" i="3"/>
  <c r="G28" i="3"/>
  <c r="G37" i="3"/>
  <c r="F37" i="3"/>
  <c r="F31" i="3"/>
  <c r="F25" i="3"/>
  <c r="F9" i="3"/>
  <c r="F62" i="3" s="1"/>
  <c r="F5" i="3"/>
  <c r="E21" i="3"/>
  <c r="E13" i="3"/>
  <c r="H4" i="3"/>
  <c r="G9" i="3"/>
  <c r="G62" i="3" s="1"/>
  <c r="G5" i="3"/>
  <c r="D13" i="3"/>
  <c r="G12" i="1"/>
  <c r="G13" i="1"/>
  <c r="H12" i="1"/>
  <c r="H13" i="1" s="1"/>
  <c r="J4" i="1"/>
  <c r="I9" i="1"/>
  <c r="I5" i="1"/>
  <c r="I6" i="1" s="1"/>
  <c r="I8" i="1" s="1"/>
  <c r="I11" i="1" s="1"/>
  <c r="D29" i="3" l="1"/>
  <c r="D21" i="3"/>
  <c r="D41" i="3"/>
  <c r="D72" i="3"/>
  <c r="D71" i="3"/>
  <c r="D73" i="3" s="1"/>
  <c r="D44" i="3"/>
  <c r="E71" i="3"/>
  <c r="E72" i="3"/>
  <c r="F38" i="3"/>
  <c r="F60" i="3"/>
  <c r="G38" i="3"/>
  <c r="G60" i="3"/>
  <c r="I51" i="3"/>
  <c r="I53" i="3" s="1"/>
  <c r="I56" i="3" s="1"/>
  <c r="I57" i="3" s="1"/>
  <c r="H52" i="3"/>
  <c r="H55" i="3" s="1"/>
  <c r="F30" i="3"/>
  <c r="F42" i="3"/>
  <c r="D46" i="3"/>
  <c r="D34" i="3"/>
  <c r="G30" i="3"/>
  <c r="G42" i="3"/>
  <c r="E46" i="3"/>
  <c r="E34" i="3"/>
  <c r="F6" i="3"/>
  <c r="F26" i="3"/>
  <c r="H37" i="3"/>
  <c r="H31" i="3"/>
  <c r="H25" i="3"/>
  <c r="G6" i="3"/>
  <c r="G26" i="3"/>
  <c r="H28" i="3"/>
  <c r="I4" i="3"/>
  <c r="H9" i="3"/>
  <c r="H62" i="3" s="1"/>
  <c r="H5" i="3"/>
  <c r="I12" i="1"/>
  <c r="I13" i="1" s="1"/>
  <c r="J5" i="1"/>
  <c r="J6" i="1" s="1"/>
  <c r="J8" i="1" s="1"/>
  <c r="J11" i="1" s="1"/>
  <c r="J9" i="1"/>
  <c r="E73" i="3" l="1"/>
  <c r="E87" i="3" s="1"/>
  <c r="D86" i="3"/>
  <c r="E86" i="3" s="1"/>
  <c r="D75" i="3"/>
  <c r="D87" i="3"/>
  <c r="D88" i="3" s="1"/>
  <c r="H38" i="3"/>
  <c r="H60" i="3"/>
  <c r="J51" i="3"/>
  <c r="I52" i="3"/>
  <c r="I55" i="3" s="1"/>
  <c r="G39" i="3"/>
  <c r="G48" i="3"/>
  <c r="G49" i="3" s="1"/>
  <c r="F39" i="3"/>
  <c r="F48" i="3"/>
  <c r="F49" i="3" s="1"/>
  <c r="H30" i="3"/>
  <c r="H42" i="3"/>
  <c r="G8" i="3"/>
  <c r="G41" i="3" s="1"/>
  <c r="G27" i="3"/>
  <c r="I37" i="3"/>
  <c r="I25" i="3"/>
  <c r="I31" i="3"/>
  <c r="I28" i="3"/>
  <c r="H6" i="3"/>
  <c r="H26" i="3"/>
  <c r="F8" i="3"/>
  <c r="F41" i="3" s="1"/>
  <c r="F27" i="3"/>
  <c r="J4" i="3"/>
  <c r="I5" i="3"/>
  <c r="I60" i="3" s="1"/>
  <c r="I9" i="3"/>
  <c r="I62" i="3" s="1"/>
  <c r="J12" i="1"/>
  <c r="J13" i="1"/>
  <c r="E75" i="3" l="1"/>
  <c r="I6" i="3"/>
  <c r="J52" i="3"/>
  <c r="J55" i="3" s="1"/>
  <c r="J53" i="3"/>
  <c r="J56" i="3" s="1"/>
  <c r="J57" i="3" s="1"/>
  <c r="H39" i="3"/>
  <c r="H48" i="3"/>
  <c r="H49" i="3" s="1"/>
  <c r="I39" i="3"/>
  <c r="I48" i="3"/>
  <c r="I49" i="3" s="1"/>
  <c r="I26" i="3"/>
  <c r="I38" i="3"/>
  <c r="I30" i="3"/>
  <c r="I42" i="3"/>
  <c r="J37" i="3"/>
  <c r="J25" i="3"/>
  <c r="J28" i="3"/>
  <c r="J31" i="3"/>
  <c r="H8" i="3"/>
  <c r="H41" i="3" s="1"/>
  <c r="H27" i="3"/>
  <c r="I8" i="3"/>
  <c r="I41" i="3" s="1"/>
  <c r="I27" i="3"/>
  <c r="F11" i="3"/>
  <c r="F44" i="3" s="1"/>
  <c r="F29" i="3"/>
  <c r="G11" i="3"/>
  <c r="G44" i="3" s="1"/>
  <c r="G29" i="3"/>
  <c r="J9" i="3"/>
  <c r="J62" i="3" s="1"/>
  <c r="J5" i="3"/>
  <c r="J38" i="3" l="1"/>
  <c r="J60" i="3"/>
  <c r="J30" i="3"/>
  <c r="J42" i="3"/>
  <c r="J6" i="3"/>
  <c r="J26" i="3"/>
  <c r="G32" i="3"/>
  <c r="G12" i="3"/>
  <c r="I11" i="3"/>
  <c r="I44" i="3" s="1"/>
  <c r="I29" i="3"/>
  <c r="H11" i="3"/>
  <c r="H44" i="3" s="1"/>
  <c r="H29" i="3"/>
  <c r="F32" i="3"/>
  <c r="F12" i="3"/>
  <c r="G45" i="3" l="1"/>
  <c r="G64" i="3"/>
  <c r="F45" i="3"/>
  <c r="F64" i="3"/>
  <c r="J39" i="3"/>
  <c r="J48" i="3"/>
  <c r="J49" i="3" s="1"/>
  <c r="H32" i="3"/>
  <c r="H12" i="3"/>
  <c r="H64" i="3" s="1"/>
  <c r="I32" i="3"/>
  <c r="I12" i="3"/>
  <c r="G13" i="3"/>
  <c r="G33" i="3"/>
  <c r="F13" i="3"/>
  <c r="F33" i="3"/>
  <c r="J8" i="3"/>
  <c r="J41" i="3" s="1"/>
  <c r="J27" i="3"/>
  <c r="G80" i="3" l="1"/>
  <c r="G83" i="3"/>
  <c r="G81" i="3"/>
  <c r="G84" i="3"/>
  <c r="F80" i="3"/>
  <c r="F83" i="3"/>
  <c r="F81" i="3"/>
  <c r="F84" i="3"/>
  <c r="H81" i="3"/>
  <c r="H84" i="3"/>
  <c r="H83" i="3"/>
  <c r="H80" i="3"/>
  <c r="I13" i="3"/>
  <c r="I64" i="3"/>
  <c r="F67" i="3" a="1"/>
  <c r="F67" i="3" s="1"/>
  <c r="F77" i="3" s="1"/>
  <c r="F78" i="3" s="1"/>
  <c r="F68" i="3"/>
  <c r="F65" i="3"/>
  <c r="F66" i="3"/>
  <c r="G66" i="3"/>
  <c r="G65" i="3"/>
  <c r="G67" i="3" a="1"/>
  <c r="G67" i="3" s="1"/>
  <c r="G77" i="3" s="1"/>
  <c r="G78" i="3" s="1"/>
  <c r="G68" i="3"/>
  <c r="H65" i="3"/>
  <c r="H66" i="3"/>
  <c r="H67" i="3" a="1"/>
  <c r="H67" i="3" s="1"/>
  <c r="H77" i="3" s="1"/>
  <c r="H78" i="3" s="1"/>
  <c r="H68" i="3"/>
  <c r="G34" i="3"/>
  <c r="G46" i="3"/>
  <c r="F34" i="3"/>
  <c r="F46" i="3"/>
  <c r="I34" i="3"/>
  <c r="I46" i="3"/>
  <c r="I33" i="3"/>
  <c r="I45" i="3"/>
  <c r="H33" i="3"/>
  <c r="H45" i="3"/>
  <c r="J11" i="3"/>
  <c r="J44" i="3" s="1"/>
  <c r="J29" i="3"/>
  <c r="H13" i="3"/>
  <c r="H71" i="3" l="1"/>
  <c r="H72" i="3"/>
  <c r="I84" i="3"/>
  <c r="I80" i="3"/>
  <c r="I83" i="3"/>
  <c r="I81" i="3"/>
  <c r="G71" i="3"/>
  <c r="G72" i="3"/>
  <c r="F71" i="3"/>
  <c r="F72" i="3"/>
  <c r="I66" i="3"/>
  <c r="I65" i="3"/>
  <c r="I67" i="3" a="1"/>
  <c r="I67" i="3" s="1"/>
  <c r="I77" i="3" s="1"/>
  <c r="I78" i="3" s="1"/>
  <c r="I68" i="3"/>
  <c r="H34" i="3"/>
  <c r="H46" i="3"/>
  <c r="J32" i="3"/>
  <c r="J12" i="3"/>
  <c r="I71" i="3" l="1"/>
  <c r="I72" i="3"/>
  <c r="G73" i="3"/>
  <c r="F73" i="3"/>
  <c r="H73" i="3"/>
  <c r="J45" i="3"/>
  <c r="J64" i="3"/>
  <c r="J13" i="3"/>
  <c r="J33" i="3"/>
  <c r="J80" i="3" l="1"/>
  <c r="J83" i="3"/>
  <c r="J81" i="3"/>
  <c r="J84" i="3"/>
  <c r="H75" i="3"/>
  <c r="H87" i="3"/>
  <c r="F87" i="3"/>
  <c r="F75" i="3"/>
  <c r="F86" i="3"/>
  <c r="G86" i="3" s="1"/>
  <c r="H86" i="3" s="1"/>
  <c r="I86" i="3" s="1"/>
  <c r="G87" i="3"/>
  <c r="G75" i="3"/>
  <c r="I73" i="3"/>
  <c r="J67" i="3" a="1"/>
  <c r="J67" i="3" s="1"/>
  <c r="J77" i="3" s="1"/>
  <c r="J78" i="3" s="1"/>
  <c r="J68" i="3"/>
  <c r="J65" i="3"/>
  <c r="J66" i="3"/>
  <c r="J34" i="3"/>
  <c r="J46" i="3"/>
  <c r="J72" i="3" l="1"/>
  <c r="J71" i="3"/>
  <c r="J73" i="3" s="1"/>
  <c r="I75" i="3"/>
  <c r="I87" i="3"/>
  <c r="J86" i="3"/>
  <c r="J75" i="3" l="1"/>
  <c r="J87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<sst xmlns="http://schemas.openxmlformats.org/spreadsheetml/2006/main" count="90" uniqueCount="43">
  <si>
    <t>USD $000's</t>
  </si>
  <si>
    <t>Income Statement</t>
  </si>
  <si>
    <t>Revenue</t>
  </si>
  <si>
    <t>COGS</t>
  </si>
  <si>
    <t>Gross Profit</t>
  </si>
  <si>
    <t>SG&amp;A</t>
  </si>
  <si>
    <t>EBITDA</t>
  </si>
  <si>
    <t>Depreciation</t>
  </si>
  <si>
    <t>Interest</t>
  </si>
  <si>
    <t>EBT</t>
  </si>
  <si>
    <t>Taxes</t>
  </si>
  <si>
    <t>Net Income</t>
  </si>
  <si>
    <t>Assumptions</t>
  </si>
  <si>
    <t>Revenue growth</t>
  </si>
  <si>
    <t>COGS % of revenue</t>
  </si>
  <si>
    <t>Depreciation % of revenue</t>
  </si>
  <si>
    <t>Tax rate</t>
  </si>
  <si>
    <t>Analysis</t>
  </si>
  <si>
    <t>Common size income statement</t>
  </si>
  <si>
    <t>%change</t>
  </si>
  <si>
    <t>EBITDA Sensitivity</t>
  </si>
  <si>
    <t>Time Periods</t>
  </si>
  <si>
    <t>Annual data</t>
  </si>
  <si>
    <t>Monthly data</t>
  </si>
  <si>
    <t>Monthly period</t>
  </si>
  <si>
    <t>Annual period</t>
  </si>
  <si>
    <t>Cost analysis</t>
  </si>
  <si>
    <t>Total</t>
  </si>
  <si>
    <t>Average</t>
  </si>
  <si>
    <t>Weighted average</t>
  </si>
  <si>
    <t>Median</t>
  </si>
  <si>
    <t>Stub or full period</t>
  </si>
  <si>
    <t>Return total expenses</t>
  </si>
  <si>
    <t>if &lt; 150,000</t>
  </si>
  <si>
    <t>if &gt;= 150,000</t>
  </si>
  <si>
    <t>Error check</t>
  </si>
  <si>
    <t>Rounding(decimals)</t>
  </si>
  <si>
    <t>Rounding(multiples)</t>
  </si>
  <si>
    <t>Min</t>
  </si>
  <si>
    <t>Max</t>
  </si>
  <si>
    <t>Small</t>
  </si>
  <si>
    <t>Large</t>
  </si>
  <si>
    <t>DIV/0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</si>
</sst>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0&quot;A&quot;"/>
    <numFmt numFmtId="165" formatCode="0&quot;E&quot;"/>
    <numFmt numFmtId="166" formatCode="0.0%"/>
    <numFmt numFmtId="167" formatCode="#,##0.0_ ;[Red]\-#,##0.0\ "/>
    <numFmt numFmtId="168" formatCode="0.000"/>
    <numFmt numFmtId="169" formatCode="#,##0.0_ ;\-#,##0.0\ "/>
    <numFmt numFmtId="170" formatCode="#,##0.00_ ;[Red]\-#,##0.00\ "/>
    <numFmt numFmtId="171" formatCode="#,##0.0000_ ;[Red]\-#,##0.0000\ 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u/>
      <sz val="10"/>
      <color theme="10"/>
      <name val="Arial"/>
      <family val="2"/>
    </font>
    <font>
      <sz val="11"/>
      <color theme="4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rgb="FFFF9933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1" fillId="0" borderId="0"/>
    <xf numFmtId="0" fontId="5" fillId="0" borderId="0" applyNumberFormat="0" applyFill="0" applyBorder="0" applyAlignment="0" applyProtection="0"/>
  </cellStyleXfs>
  <cellXfs count="36">
    <xf numFmtId="0" fontId="0" fillId="0" borderId="0" xfId="0"/>
    <xf numFmtId="0" fontId="3" fillId="2" borderId="0" xfId="0" applyFont="1" applyFill="1"/>
    <xf numFmtId="164" fontId="4" fillId="2" borderId="0" xfId="0" applyNumberFormat="1" applyFont="1" applyFill="1"/>
    <xf numFmtId="165" fontId="4" fillId="2" borderId="0" xfId="0" applyNumberFormat="1" applyFont="1" applyFill="1"/>
    <xf numFmtId="0" fontId="2" fillId="0" borderId="0" xfId="0" applyFont="1"/>
    <xf numFmtId="167" fontId="0" fillId="0" borderId="0" xfId="0" applyNumberFormat="1"/>
    <xf numFmtId="167" fontId="6" fillId="0" borderId="0" xfId="0" applyNumberFormat="1" applyFont="1"/>
    <xf numFmtId="166" fontId="6" fillId="0" borderId="0" xfId="1" applyNumberFormat="1" applyFont="1"/>
    <xf numFmtId="166" fontId="0" fillId="0" borderId="0" xfId="1" applyNumberFormat="1" applyFont="1"/>
    <xf numFmtId="0" fontId="0" fillId="0" borderId="0" xfId="0"/>
    <xf numFmtId="167" fontId="7" fillId="0" borderId="0" xfId="0" applyNumberFormat="1" applyFont="1"/>
    <xf numFmtId="167" fontId="2" fillId="0" borderId="0" xfId="0" applyNumberFormat="1" applyFont="1"/>
    <xf numFmtId="0" fontId="0" fillId="0" borderId="1" xfId="0" applyBorder="1"/>
    <xf numFmtId="167" fontId="0" fillId="0" borderId="1" xfId="0" applyNumberFormat="1" applyBorder="1"/>
    <xf numFmtId="0" fontId="2" fillId="0" borderId="2" xfId="0" applyFont="1" applyBorder="1"/>
    <xf numFmtId="0" fontId="0" fillId="0" borderId="2" xfId="0" applyBorder="1"/>
    <xf numFmtId="167" fontId="2" fillId="0" borderId="2" xfId="0" applyNumberFormat="1" applyFont="1" applyBorder="1"/>
    <xf numFmtId="0" fontId="2" fillId="3" borderId="0" xfId="0" applyFont="1" applyFill="1"/>
    <xf numFmtId="0" fontId="0" fillId="3" borderId="0" xfId="0" applyFill="1"/>
    <xf numFmtId="9" fontId="6" fillId="0" borderId="0" xfId="1" applyFont="1"/>
    <xf numFmtId="14" fontId="0" fillId="0" borderId="0" xfId="0" applyNumberFormat="1"/>
    <xf numFmtId="14" fontId="6" fillId="0" borderId="0" xfId="0" applyNumberFormat="1" applyFont="1"/>
    <xf numFmtId="168" fontId="0" fillId="0" borderId="0" xfId="0" applyNumberFormat="1"/>
    <xf numFmtId="167" fontId="2" fillId="0" borderId="1" xfId="0" applyNumberFormat="1" applyFont="1" applyBorder="1"/>
    <xf numFmtId="0" fontId="2" fillId="0" borderId="1" xfId="0" applyFont="1" applyBorder="1"/>
    <xf numFmtId="0" fontId="6" fillId="0" borderId="0" xfId="0" applyFont="1"/>
    <xf numFmtId="168" fontId="0" fillId="0" borderId="0" xfId="0" applyNumberFormat="1" applyAlignment="1">
      <alignment horizontal="right"/>
    </xf>
    <xf numFmtId="169" fontId="0" fillId="0" borderId="0" xfId="0" applyNumberFormat="1"/>
    <xf numFmtId="169" fontId="2" fillId="0" borderId="1" xfId="0" applyNumberFormat="1" applyFont="1" applyBorder="1"/>
    <xf numFmtId="169" fontId="6" fillId="0" borderId="0" xfId="0" applyNumberFormat="1" applyFont="1"/>
    <xf numFmtId="0" fontId="0" fillId="0" borderId="0" xfId="0" applyAlignment="1">
      <alignment horizontal="right"/>
    </xf>
    <xf numFmtId="170" fontId="0" fillId="0" borderId="0" xfId="0" applyNumberFormat="1"/>
    <xf numFmtId="171" fontId="0" fillId="0" borderId="0" xfId="0" applyNumberFormat="1"/>
    <xf numFmtId="169" fontId="6" fillId="0" borderId="0" xfId="0" applyNumberFormat="1" applyFont="1" applyAlignment="1">
      <alignment horizontal="center"/>
    </xf>
    <xf numFmtId="0" fontId="0" fillId="0" borderId="0" xfId="0" applyFill="1"/>
    <xf numFmtId="0" fontId="2" fillId="0" borderId="0" xfId="0" applyFont="1" applyFill="1"/>
  </cellXfs>
  <cellStyles count="4">
    <cellStyle name="Hyperlink 2 2" xfId="3" xr:uid="{8711A460-B161-4464-BBF9-03E2E9A9A580}"/>
    <cellStyle name="Normal" xfId="0" builtinId="0"/>
    <cellStyle name="Normal 2" xfId="2" xr:uid="{781D4812-E85C-48C4-8A3A-AC8365C99993}"/>
    <cellStyle name="Percent" xfId="1" builtinId="5"/>
  </cellStyles>
  <dxfs count="3">
    <dxf>
      <font>
        <color theme="0" tint="-0.499984740745262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8" tint="-0.499984740745262"/>
  </sheetPr>
  <dimension ref="A1:J21"/>
  <sheetViews>
    <sheetView showGridLines="0" zoomScale="60" zoomScaleNormal="60" workbookViewId="0">
      <pane ySplit="1" topLeftCell="A2" activePane="bottomLeft" state="frozen"/>
      <selection pane="bottomLeft" activeCell="A4" sqref="A4"/>
    </sheetView>
  </sheetViews>
  <sheetFormatPr defaultRowHeight="14.5" x14ac:dyDescent="0.35"/>
  <cols>
    <col min="4" max="10" width="12.6328125" customWidth="1"/>
  </cols>
  <sheetData>
    <row r="1" spans="1:10" ht="18.5" x14ac:dyDescent="0.45">
      <c r="A1" s="1" t="s">
        <v>0</v>
      </c>
      <c r="B1" s="1"/>
      <c r="C1" s="1"/>
      <c r="D1" s="2">
        <v>2014</v>
      </c>
      <c r="E1" s="2">
        <f>+D1+1</f>
        <v>2015</v>
      </c>
      <c r="F1" s="3">
        <f t="shared" ref="F1:J1" si="0">+E1+1</f>
        <v>2016</v>
      </c>
      <c r="G1" s="3">
        <f t="shared" si="0"/>
        <v>2017</v>
      </c>
      <c r="H1" s="3">
        <f t="shared" si="0"/>
        <v>2018</v>
      </c>
      <c r="I1" s="3">
        <f t="shared" si="0"/>
        <v>2019</v>
      </c>
      <c r="J1" s="3">
        <f t="shared" si="0"/>
        <v>2020</v>
      </c>
    </row>
    <row r="3" spans="1:10" x14ac:dyDescent="0.35">
      <c r="A3" s="4" t="s">
        <v>1</v>
      </c>
    </row>
    <row r="4" spans="1:10" x14ac:dyDescent="0.35">
      <c r="A4" t="s">
        <v>2</v>
      </c>
      <c r="D4" s="10">
        <v>150000</v>
      </c>
      <c r="E4" s="10">
        <v>165000</v>
      </c>
      <c r="F4" s="11">
        <f>E4*(1+F16)</f>
        <v>181500.00000000003</v>
      </c>
      <c r="G4" s="11">
        <f t="shared" ref="G4:J4" si="1">F4*(1+G16)</f>
        <v>199650.00000000006</v>
      </c>
      <c r="H4" s="11">
        <f t="shared" si="1"/>
        <v>219615.00000000009</v>
      </c>
      <c r="I4" s="11">
        <f t="shared" si="1"/>
        <v>241576.50000000012</v>
      </c>
      <c r="J4" s="11">
        <f t="shared" si="1"/>
        <v>265734.15000000014</v>
      </c>
    </row>
    <row r="5" spans="1:10" x14ac:dyDescent="0.35">
      <c r="A5" t="s">
        <v>3</v>
      </c>
      <c r="D5" s="6">
        <v>67500</v>
      </c>
      <c r="E5" s="6">
        <v>74250</v>
      </c>
      <c r="F5" s="5">
        <f>F4*F17</f>
        <v>81675.000000000015</v>
      </c>
      <c r="G5" s="5">
        <f t="shared" ref="G5:J5" si="2">G4*G17</f>
        <v>89842.500000000029</v>
      </c>
      <c r="H5" s="5">
        <f t="shared" si="2"/>
        <v>98826.750000000044</v>
      </c>
      <c r="I5" s="5">
        <f t="shared" si="2"/>
        <v>108709.42500000006</v>
      </c>
      <c r="J5" s="5">
        <f t="shared" si="2"/>
        <v>119580.36750000007</v>
      </c>
    </row>
    <row r="6" spans="1:10" x14ac:dyDescent="0.35">
      <c r="A6" s="12" t="s">
        <v>4</v>
      </c>
      <c r="B6" s="12"/>
      <c r="C6" s="12"/>
      <c r="D6" s="13">
        <f>D4-D5</f>
        <v>82500</v>
      </c>
      <c r="E6" s="13">
        <f>E4-E5</f>
        <v>90750</v>
      </c>
      <c r="F6" s="13">
        <f>F4-F5</f>
        <v>99825.000000000015</v>
      </c>
      <c r="G6" s="13">
        <f t="shared" ref="G6:J6" si="3">G4-G5</f>
        <v>109807.50000000003</v>
      </c>
      <c r="H6" s="13">
        <f t="shared" si="3"/>
        <v>120788.25000000004</v>
      </c>
      <c r="I6" s="13">
        <f t="shared" si="3"/>
        <v>132867.07500000007</v>
      </c>
      <c r="J6" s="13">
        <f t="shared" si="3"/>
        <v>146153.78250000009</v>
      </c>
    </row>
    <row r="7" spans="1:10" x14ac:dyDescent="0.35">
      <c r="A7" t="s">
        <v>5</v>
      </c>
      <c r="D7" s="6">
        <v>16500</v>
      </c>
      <c r="E7" s="6">
        <v>18150</v>
      </c>
      <c r="F7" s="5">
        <f>F18</f>
        <v>20000</v>
      </c>
      <c r="G7" s="5">
        <f t="shared" ref="G7:J7" si="4">G18</f>
        <v>20000</v>
      </c>
      <c r="H7" s="5">
        <f>H18</f>
        <v>20000</v>
      </c>
      <c r="I7" s="5">
        <f t="shared" si="4"/>
        <v>20000</v>
      </c>
      <c r="J7" s="5">
        <f t="shared" si="4"/>
        <v>20000</v>
      </c>
    </row>
    <row r="8" spans="1:10" x14ac:dyDescent="0.35">
      <c r="A8" s="12" t="s">
        <v>6</v>
      </c>
      <c r="B8" s="12"/>
      <c r="C8" s="12"/>
      <c r="D8" s="13">
        <f>D6-D7</f>
        <v>66000</v>
      </c>
      <c r="E8" s="13">
        <f>E6-E7</f>
        <v>72600</v>
      </c>
      <c r="F8" s="13">
        <f>F6-F7</f>
        <v>79825.000000000015</v>
      </c>
      <c r="G8" s="13">
        <f t="shared" ref="G8:J8" si="5">G6-G7</f>
        <v>89807.500000000029</v>
      </c>
      <c r="H8" s="13">
        <f t="shared" si="5"/>
        <v>100788.25000000004</v>
      </c>
      <c r="I8" s="13">
        <f t="shared" si="5"/>
        <v>112867.07500000007</v>
      </c>
      <c r="J8" s="13">
        <f t="shared" si="5"/>
        <v>126153.78250000009</v>
      </c>
    </row>
    <row r="9" spans="1:10" x14ac:dyDescent="0.35">
      <c r="A9" t="s">
        <v>7</v>
      </c>
      <c r="D9" s="6">
        <v>6600</v>
      </c>
      <c r="E9" s="6">
        <v>7260</v>
      </c>
      <c r="F9" s="5">
        <f>F4*F19</f>
        <v>9075.0000000000018</v>
      </c>
      <c r="G9" s="5">
        <f t="shared" ref="G9:J9" si="6">G4*G19</f>
        <v>9982.5000000000036</v>
      </c>
      <c r="H9" s="5">
        <f t="shared" si="6"/>
        <v>10980.750000000005</v>
      </c>
      <c r="I9" s="5">
        <f t="shared" si="6"/>
        <v>12078.825000000006</v>
      </c>
      <c r="J9" s="5">
        <f t="shared" si="6"/>
        <v>13286.707500000008</v>
      </c>
    </row>
    <row r="10" spans="1:10" x14ac:dyDescent="0.35">
      <c r="A10" t="s">
        <v>8</v>
      </c>
      <c r="D10" s="6">
        <v>1000</v>
      </c>
      <c r="E10" s="6">
        <v>1000</v>
      </c>
      <c r="F10" s="5">
        <f>F20</f>
        <v>1000</v>
      </c>
      <c r="G10" s="5">
        <f t="shared" ref="G10:J10" si="7">G20</f>
        <v>1000</v>
      </c>
      <c r="H10" s="5">
        <f t="shared" si="7"/>
        <v>1000</v>
      </c>
      <c r="I10" s="5">
        <f t="shared" si="7"/>
        <v>1000</v>
      </c>
      <c r="J10" s="5">
        <f t="shared" si="7"/>
        <v>1000</v>
      </c>
    </row>
    <row r="11" spans="1:10" x14ac:dyDescent="0.35">
      <c r="A11" s="12" t="s">
        <v>9</v>
      </c>
      <c r="B11" s="12"/>
      <c r="C11" s="12"/>
      <c r="D11" s="13">
        <f>D8-D9-D10</f>
        <v>58400</v>
      </c>
      <c r="E11" s="13">
        <f>E8-E9-E10</f>
        <v>64340</v>
      </c>
      <c r="F11" s="13">
        <f>F8-F9-F10</f>
        <v>69750.000000000015</v>
      </c>
      <c r="G11" s="13">
        <f t="shared" ref="G11:J11" si="8">G8-G9-G10</f>
        <v>78825.000000000029</v>
      </c>
      <c r="H11" s="13">
        <f t="shared" si="8"/>
        <v>88807.500000000044</v>
      </c>
      <c r="I11" s="13">
        <f t="shared" si="8"/>
        <v>99788.250000000058</v>
      </c>
      <c r="J11" s="13">
        <f t="shared" si="8"/>
        <v>111867.07500000008</v>
      </c>
    </row>
    <row r="12" spans="1:10" x14ac:dyDescent="0.35">
      <c r="A12" t="s">
        <v>10</v>
      </c>
      <c r="D12" s="6">
        <v>17520</v>
      </c>
      <c r="E12" s="6">
        <v>19302</v>
      </c>
      <c r="F12" s="5">
        <f>F11*F21</f>
        <v>20925.000000000004</v>
      </c>
      <c r="G12" s="5">
        <f t="shared" ref="G12:J12" si="9">G11*G21</f>
        <v>23647.500000000007</v>
      </c>
      <c r="H12" s="5">
        <f t="shared" si="9"/>
        <v>26642.250000000011</v>
      </c>
      <c r="I12" s="5">
        <f t="shared" si="9"/>
        <v>29936.475000000017</v>
      </c>
      <c r="J12" s="5">
        <f t="shared" si="9"/>
        <v>33560.122500000027</v>
      </c>
    </row>
    <row r="13" spans="1:10" ht="15" thickBot="1" x14ac:dyDescent="0.4">
      <c r="A13" s="14" t="s">
        <v>11</v>
      </c>
      <c r="B13" s="15"/>
      <c r="C13" s="15"/>
      <c r="D13" s="16">
        <f>D11-D12</f>
        <v>40880</v>
      </c>
      <c r="E13" s="16">
        <f>E11-E12</f>
        <v>45038</v>
      </c>
      <c r="F13" s="16">
        <f>F11-F12</f>
        <v>48825.000000000015</v>
      </c>
      <c r="G13" s="16">
        <f t="shared" ref="G13:J13" si="10">G11-G12</f>
        <v>55177.500000000022</v>
      </c>
      <c r="H13" s="16">
        <f t="shared" si="10"/>
        <v>62165.250000000029</v>
      </c>
      <c r="I13" s="16">
        <f t="shared" si="10"/>
        <v>69851.775000000038</v>
      </c>
      <c r="J13" s="16">
        <f t="shared" si="10"/>
        <v>78306.952500000058</v>
      </c>
    </row>
    <row r="14" spans="1:10" ht="15" thickTop="1" x14ac:dyDescent="0.35"/>
    <row r="15" spans="1:10" x14ac:dyDescent="0.35">
      <c r="A15" t="s">
        <v>12</v>
      </c>
    </row>
    <row r="16" spans="1:10" x14ac:dyDescent="0.35">
      <c r="A16" t="s">
        <v>13</v>
      </c>
      <c r="E16" s="8">
        <f>E4/D4-1</f>
        <v>0.10000000000000009</v>
      </c>
      <c r="F16" s="7">
        <v>0.1</v>
      </c>
      <c r="G16" s="7">
        <v>0.1</v>
      </c>
      <c r="H16" s="7">
        <v>0.1</v>
      </c>
      <c r="I16" s="7">
        <v>0.1</v>
      </c>
      <c r="J16" s="7">
        <v>0.1</v>
      </c>
    </row>
    <row r="17" spans="1:10" x14ac:dyDescent="0.35">
      <c r="A17" t="s">
        <v>14</v>
      </c>
      <c r="D17" s="8">
        <f>D5/D4</f>
        <v>0.45</v>
      </c>
      <c r="E17" s="8">
        <f>E5/E4</f>
        <v>0.45</v>
      </c>
      <c r="F17" s="7">
        <v>0.45</v>
      </c>
      <c r="G17" s="7">
        <v>0.45</v>
      </c>
      <c r="H17" s="7">
        <v>0.45</v>
      </c>
      <c r="I17" s="7">
        <v>0.45</v>
      </c>
      <c r="J17" s="7">
        <v>0.45</v>
      </c>
    </row>
    <row r="18" spans="1:10" x14ac:dyDescent="0.35">
      <c r="A18" t="s">
        <v>5</v>
      </c>
      <c r="D18" s="5">
        <f>D7</f>
        <v>16500</v>
      </c>
      <c r="E18" s="5">
        <f>E7</f>
        <v>18150</v>
      </c>
      <c r="F18" s="6">
        <v>20000</v>
      </c>
      <c r="G18" s="6">
        <v>20000</v>
      </c>
      <c r="H18" s="6">
        <v>20000</v>
      </c>
      <c r="I18" s="6">
        <v>20000</v>
      </c>
      <c r="J18" s="6">
        <v>20000</v>
      </c>
    </row>
    <row r="19" spans="1:10" x14ac:dyDescent="0.35">
      <c r="A19" t="s">
        <v>15</v>
      </c>
      <c r="D19" s="8">
        <f>D9/D4</f>
        <v>4.3999999999999997E-2</v>
      </c>
      <c r="E19" s="8">
        <f>E9/E4</f>
        <v>4.3999999999999997E-2</v>
      </c>
      <c r="F19" s="7">
        <v>0.05</v>
      </c>
      <c r="G19" s="7">
        <v>0.05</v>
      </c>
      <c r="H19" s="7">
        <v>0.05</v>
      </c>
      <c r="I19" s="7">
        <v>0.05</v>
      </c>
      <c r="J19" s="7">
        <v>0.05</v>
      </c>
    </row>
    <row r="20" spans="1:10" x14ac:dyDescent="0.35">
      <c r="A20" t="s">
        <v>8</v>
      </c>
      <c r="D20" s="5">
        <f>D10</f>
        <v>1000</v>
      </c>
      <c r="E20" s="5">
        <f>E10</f>
        <v>1000</v>
      </c>
      <c r="F20" s="6">
        <v>1000</v>
      </c>
      <c r="G20" s="6">
        <v>1000</v>
      </c>
      <c r="H20" s="6">
        <v>1000</v>
      </c>
      <c r="I20" s="6">
        <v>1000</v>
      </c>
      <c r="J20" s="6">
        <v>1000</v>
      </c>
    </row>
    <row r="21" spans="1:10" x14ac:dyDescent="0.35">
      <c r="A21" t="s">
        <v>16</v>
      </c>
      <c r="D21" s="8">
        <f>D12/D11</f>
        <v>0.3</v>
      </c>
      <c r="E21" s="8">
        <f>E12/E11</f>
        <v>0.3</v>
      </c>
      <c r="F21" s="7">
        <v>0.3</v>
      </c>
      <c r="G21" s="7">
        <v>0.3</v>
      </c>
      <c r="H21" s="7">
        <v>0.3</v>
      </c>
      <c r="I21" s="7">
        <v>0.3</v>
      </c>
      <c r="J21" s="7">
        <v>0.3</v>
      </c>
    </row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19CDC-C55F-4A01-80C4-1815009FF9DB}">
  <dimension ref="A1:K88"/>
  <sheetViews>
    <sheetView showGridLines="0" tabSelected="1" zoomScaleNormal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M5" sqref="M5"/>
    </sheetView>
  </sheetViews>
  <sheetFormatPr defaultRowHeight="14.5" outlineLevelRow="1" x14ac:dyDescent="0.35"/>
  <cols>
    <col min="1" max="2" width="8.7265625" style="9"/>
    <col min="3" max="3" width="11" style="9" bestFit="1" customWidth="1"/>
    <col min="4" max="10" width="12.6328125" style="9" customWidth="1"/>
    <col min="11" max="16384" width="8.7265625" style="9"/>
  </cols>
  <sheetData>
    <row r="1" spans="1:11" ht="18.5" x14ac:dyDescent="0.45">
      <c r="A1" s="1" t="s">
        <v>0</v>
      </c>
      <c r="B1" s="1"/>
      <c r="C1" s="1"/>
      <c r="D1" s="2">
        <v>2014</v>
      </c>
      <c r="E1" s="2">
        <f>+D1+1</f>
        <v>2015</v>
      </c>
      <c r="F1" s="3">
        <f t="shared" ref="F1:J1" si="0">+E1+1</f>
        <v>2016</v>
      </c>
      <c r="G1" s="3">
        <f t="shared" si="0"/>
        <v>2017</v>
      </c>
      <c r="H1" s="3">
        <f t="shared" si="0"/>
        <v>2018</v>
      </c>
      <c r="I1" s="3">
        <f t="shared" si="0"/>
        <v>2019</v>
      </c>
      <c r="J1" s="3">
        <f t="shared" si="0"/>
        <v>2020</v>
      </c>
    </row>
    <row r="3" spans="1:11" x14ac:dyDescent="0.35">
      <c r="A3" s="17" t="str">
        <f>"Income Statement "&amp;A1</f>
        <v>Income Statement USD $000's</v>
      </c>
      <c r="B3" s="18"/>
      <c r="C3" s="18"/>
      <c r="D3" s="18"/>
      <c r="E3" s="18"/>
      <c r="F3" s="18"/>
      <c r="G3" s="18"/>
      <c r="H3" s="18"/>
      <c r="I3" s="18"/>
      <c r="J3" s="18"/>
      <c r="K3" s="34"/>
    </row>
    <row r="4" spans="1:11" outlineLevel="1" x14ac:dyDescent="0.35">
      <c r="A4" s="9" t="s">
        <v>2</v>
      </c>
      <c r="D4" s="10">
        <v>150000</v>
      </c>
      <c r="E4" s="10">
        <v>165000</v>
      </c>
      <c r="F4" s="11">
        <f>E4*(1+F16)</f>
        <v>181500.00000000003</v>
      </c>
      <c r="G4" s="11">
        <f t="shared" ref="G4:J4" si="1">F4*(1+G16)</f>
        <v>199650.00000000006</v>
      </c>
      <c r="H4" s="11">
        <f t="shared" si="1"/>
        <v>219615.00000000009</v>
      </c>
      <c r="I4" s="11">
        <f t="shared" si="1"/>
        <v>241576.50000000012</v>
      </c>
      <c r="J4" s="11">
        <f t="shared" si="1"/>
        <v>265734.15000000014</v>
      </c>
    </row>
    <row r="5" spans="1:11" outlineLevel="1" x14ac:dyDescent="0.35">
      <c r="A5" s="9" t="s">
        <v>3</v>
      </c>
      <c r="D5" s="6">
        <v>67500</v>
      </c>
      <c r="E5" s="6">
        <v>74250</v>
      </c>
      <c r="F5" s="5">
        <f>F4*F17</f>
        <v>81675.000000000015</v>
      </c>
      <c r="G5" s="5">
        <f t="shared" ref="G5:J5" si="2">G4*G17</f>
        <v>89842.500000000029</v>
      </c>
      <c r="H5" s="5">
        <f t="shared" si="2"/>
        <v>98826.750000000044</v>
      </c>
      <c r="I5" s="5">
        <f t="shared" si="2"/>
        <v>108709.42500000006</v>
      </c>
      <c r="J5" s="5">
        <f t="shared" si="2"/>
        <v>119580.36750000007</v>
      </c>
    </row>
    <row r="6" spans="1:11" outlineLevel="1" x14ac:dyDescent="0.35">
      <c r="A6" s="12" t="s">
        <v>4</v>
      </c>
      <c r="B6" s="12"/>
      <c r="C6" s="12"/>
      <c r="D6" s="13">
        <f>D4-D5</f>
        <v>82500</v>
      </c>
      <c r="E6" s="13">
        <f>E4-E5</f>
        <v>90750</v>
      </c>
      <c r="F6" s="13">
        <f>F4-F5</f>
        <v>99825.000000000015</v>
      </c>
      <c r="G6" s="13">
        <f t="shared" ref="G6:J6" si="3">G4-G5</f>
        <v>109807.50000000003</v>
      </c>
      <c r="H6" s="13">
        <f t="shared" si="3"/>
        <v>120788.25000000004</v>
      </c>
      <c r="I6" s="13">
        <f t="shared" si="3"/>
        <v>132867.07500000007</v>
      </c>
      <c r="J6" s="13">
        <f t="shared" si="3"/>
        <v>146153.78250000009</v>
      </c>
    </row>
    <row r="7" spans="1:11" outlineLevel="1" x14ac:dyDescent="0.35">
      <c r="A7" s="9" t="s">
        <v>5</v>
      </c>
      <c r="D7" s="6">
        <v>16500</v>
      </c>
      <c r="E7" s="6">
        <v>18150</v>
      </c>
      <c r="F7" s="5">
        <f>F18</f>
        <v>20000</v>
      </c>
      <c r="G7" s="5">
        <f t="shared" ref="G7:J7" si="4">G18</f>
        <v>20000</v>
      </c>
      <c r="H7" s="5">
        <f>H18</f>
        <v>20000</v>
      </c>
      <c r="I7" s="5">
        <f t="shared" si="4"/>
        <v>20000</v>
      </c>
      <c r="J7" s="5">
        <f t="shared" si="4"/>
        <v>20000</v>
      </c>
    </row>
    <row r="8" spans="1:11" outlineLevel="1" x14ac:dyDescent="0.35">
      <c r="A8" s="12" t="s">
        <v>6</v>
      </c>
      <c r="B8" s="12"/>
      <c r="C8" s="12"/>
      <c r="D8" s="13">
        <f>D6-D7</f>
        <v>66000</v>
      </c>
      <c r="E8" s="13">
        <f>E6-E7</f>
        <v>72600</v>
      </c>
      <c r="F8" s="13">
        <f>F6-F7</f>
        <v>79825.000000000015</v>
      </c>
      <c r="G8" s="13">
        <f t="shared" ref="G8:J8" si="5">G6-G7</f>
        <v>89807.500000000029</v>
      </c>
      <c r="H8" s="13">
        <f t="shared" si="5"/>
        <v>100788.25000000004</v>
      </c>
      <c r="I8" s="13">
        <f t="shared" si="5"/>
        <v>112867.07500000007</v>
      </c>
      <c r="J8" s="13">
        <f t="shared" si="5"/>
        <v>126153.78250000009</v>
      </c>
    </row>
    <row r="9" spans="1:11" outlineLevel="1" x14ac:dyDescent="0.35">
      <c r="A9" s="9" t="s">
        <v>7</v>
      </c>
      <c r="D9" s="6">
        <v>6600</v>
      </c>
      <c r="E9" s="6">
        <v>7260</v>
      </c>
      <c r="F9" s="5">
        <f>F4*F19</f>
        <v>9075.0000000000018</v>
      </c>
      <c r="G9" s="5">
        <f t="shared" ref="G9:J9" si="6">G4*G19</f>
        <v>9982.5000000000036</v>
      </c>
      <c r="H9" s="5">
        <f t="shared" si="6"/>
        <v>10980.750000000005</v>
      </c>
      <c r="I9" s="5">
        <f t="shared" si="6"/>
        <v>12078.825000000006</v>
      </c>
      <c r="J9" s="5">
        <f t="shared" si="6"/>
        <v>13286.707500000008</v>
      </c>
    </row>
    <row r="10" spans="1:11" outlineLevel="1" x14ac:dyDescent="0.35">
      <c r="A10" s="9" t="s">
        <v>8</v>
      </c>
      <c r="D10" s="6">
        <v>1000</v>
      </c>
      <c r="E10" s="6">
        <v>1000</v>
      </c>
      <c r="F10" s="5">
        <f>F20</f>
        <v>1000</v>
      </c>
      <c r="G10" s="5">
        <f t="shared" ref="G10:J10" si="7">G20</f>
        <v>1000</v>
      </c>
      <c r="H10" s="5">
        <f t="shared" si="7"/>
        <v>1000</v>
      </c>
      <c r="I10" s="5">
        <f t="shared" si="7"/>
        <v>1000</v>
      </c>
      <c r="J10" s="5">
        <f t="shared" si="7"/>
        <v>1000</v>
      </c>
    </row>
    <row r="11" spans="1:11" outlineLevel="1" x14ac:dyDescent="0.35">
      <c r="A11" s="12" t="s">
        <v>9</v>
      </c>
      <c r="B11" s="12"/>
      <c r="C11" s="12"/>
      <c r="D11" s="13">
        <f>D8-D9-D10</f>
        <v>58400</v>
      </c>
      <c r="E11" s="13">
        <f>E8-E9-E10</f>
        <v>64340</v>
      </c>
      <c r="F11" s="13">
        <f>F8-F9-F10</f>
        <v>69750.000000000015</v>
      </c>
      <c r="G11" s="13">
        <f t="shared" ref="G11:J11" si="8">G8-G9-G10</f>
        <v>78825.000000000029</v>
      </c>
      <c r="H11" s="13">
        <f t="shared" si="8"/>
        <v>88807.500000000044</v>
      </c>
      <c r="I11" s="13">
        <f t="shared" si="8"/>
        <v>99788.250000000058</v>
      </c>
      <c r="J11" s="13">
        <f t="shared" si="8"/>
        <v>111867.07500000008</v>
      </c>
    </row>
    <row r="12" spans="1:11" outlineLevel="1" x14ac:dyDescent="0.35">
      <c r="A12" s="9" t="s">
        <v>10</v>
      </c>
      <c r="D12" s="6">
        <v>17520</v>
      </c>
      <c r="E12" s="6">
        <v>19302</v>
      </c>
      <c r="F12" s="5">
        <f>F11*F21</f>
        <v>20925.000000000004</v>
      </c>
      <c r="G12" s="5">
        <f t="shared" ref="G12:J12" si="9">G11*G21</f>
        <v>23647.500000000007</v>
      </c>
      <c r="H12" s="5">
        <f t="shared" si="9"/>
        <v>26642.250000000011</v>
      </c>
      <c r="I12" s="5">
        <f t="shared" si="9"/>
        <v>29936.475000000017</v>
      </c>
      <c r="J12" s="5">
        <f t="shared" si="9"/>
        <v>33560.122500000027</v>
      </c>
    </row>
    <row r="13" spans="1:11" ht="15" outlineLevel="1" thickBot="1" x14ac:dyDescent="0.4">
      <c r="A13" s="14" t="s">
        <v>11</v>
      </c>
      <c r="B13" s="15"/>
      <c r="C13" s="15"/>
      <c r="D13" s="16">
        <f>D11-D12</f>
        <v>40880</v>
      </c>
      <c r="E13" s="16">
        <f>E11-E12</f>
        <v>45038</v>
      </c>
      <c r="F13" s="16">
        <f>F11-F12</f>
        <v>48825.000000000015</v>
      </c>
      <c r="G13" s="16">
        <f t="shared" ref="G13:J13" si="10">G11-G12</f>
        <v>55177.500000000022</v>
      </c>
      <c r="H13" s="16">
        <f t="shared" si="10"/>
        <v>62165.250000000029</v>
      </c>
      <c r="I13" s="16">
        <f t="shared" si="10"/>
        <v>69851.775000000038</v>
      </c>
      <c r="J13" s="16">
        <f t="shared" si="10"/>
        <v>78306.952500000058</v>
      </c>
    </row>
    <row r="14" spans="1:11" ht="15" thickTop="1" x14ac:dyDescent="0.35"/>
    <row r="15" spans="1:11" x14ac:dyDescent="0.35">
      <c r="A15" s="17" t="s">
        <v>12</v>
      </c>
      <c r="B15" s="17"/>
      <c r="C15" s="17"/>
      <c r="D15" s="17"/>
      <c r="E15" s="17"/>
      <c r="F15" s="17"/>
      <c r="G15" s="17"/>
      <c r="H15" s="17"/>
      <c r="I15" s="17"/>
      <c r="J15" s="17"/>
      <c r="K15" s="35"/>
    </row>
    <row r="16" spans="1:11" outlineLevel="1" x14ac:dyDescent="0.35">
      <c r="A16" s="9" t="s">
        <v>13</v>
      </c>
      <c r="E16" s="8">
        <f>E4/D4-1</f>
        <v>0.10000000000000009</v>
      </c>
      <c r="F16" s="7">
        <v>0.1</v>
      </c>
      <c r="G16" s="7">
        <v>0.1</v>
      </c>
      <c r="H16" s="7">
        <v>0.1</v>
      </c>
      <c r="I16" s="7">
        <v>0.1</v>
      </c>
      <c r="J16" s="7">
        <v>0.1</v>
      </c>
    </row>
    <row r="17" spans="1:11" outlineLevel="1" x14ac:dyDescent="0.35">
      <c r="A17" s="9" t="s">
        <v>14</v>
      </c>
      <c r="D17" s="8">
        <f>D5/D4</f>
        <v>0.45</v>
      </c>
      <c r="E17" s="8">
        <f>E5/E4</f>
        <v>0.45</v>
      </c>
      <c r="F17" s="7">
        <v>0.45</v>
      </c>
      <c r="G17" s="7">
        <v>0.45</v>
      </c>
      <c r="H17" s="7">
        <v>0.45</v>
      </c>
      <c r="I17" s="7">
        <v>0.45</v>
      </c>
      <c r="J17" s="7">
        <v>0.45</v>
      </c>
    </row>
    <row r="18" spans="1:11" outlineLevel="1" x14ac:dyDescent="0.35">
      <c r="A18" s="9" t="s">
        <v>5</v>
      </c>
      <c r="D18" s="5">
        <f>D7</f>
        <v>16500</v>
      </c>
      <c r="E18" s="5">
        <f>E7</f>
        <v>18150</v>
      </c>
      <c r="F18" s="6">
        <v>20000</v>
      </c>
      <c r="G18" s="6">
        <v>20000</v>
      </c>
      <c r="H18" s="6">
        <v>20000</v>
      </c>
      <c r="I18" s="6">
        <v>20000</v>
      </c>
      <c r="J18" s="6">
        <v>20000</v>
      </c>
    </row>
    <row r="19" spans="1:11" outlineLevel="1" x14ac:dyDescent="0.35">
      <c r="A19" s="9" t="s">
        <v>15</v>
      </c>
      <c r="D19" s="8">
        <f>D9/D4</f>
        <v>4.3999999999999997E-2</v>
      </c>
      <c r="E19" s="8">
        <f>E9/E4</f>
        <v>4.3999999999999997E-2</v>
      </c>
      <c r="F19" s="7">
        <v>0.05</v>
      </c>
      <c r="G19" s="7">
        <v>0.05</v>
      </c>
      <c r="H19" s="7">
        <v>0.05</v>
      </c>
      <c r="I19" s="7">
        <v>0.05</v>
      </c>
      <c r="J19" s="7">
        <v>0.05</v>
      </c>
    </row>
    <row r="20" spans="1:11" outlineLevel="1" x14ac:dyDescent="0.35">
      <c r="A20" s="9" t="s">
        <v>8</v>
      </c>
      <c r="D20" s="5">
        <f>D10</f>
        <v>1000</v>
      </c>
      <c r="E20" s="5">
        <f>E10</f>
        <v>1000</v>
      </c>
      <c r="F20" s="6">
        <v>1000</v>
      </c>
      <c r="G20" s="6">
        <v>1000</v>
      </c>
      <c r="H20" s="6">
        <v>1000</v>
      </c>
      <c r="I20" s="6">
        <v>1000</v>
      </c>
      <c r="J20" s="6">
        <v>1000</v>
      </c>
    </row>
    <row r="21" spans="1:11" outlineLevel="1" x14ac:dyDescent="0.35">
      <c r="A21" s="9" t="s">
        <v>16</v>
      </c>
      <c r="D21" s="8">
        <f>D12/D11</f>
        <v>0.3</v>
      </c>
      <c r="E21" s="8">
        <f>E12/E11</f>
        <v>0.3</v>
      </c>
      <c r="F21" s="7">
        <v>0.3</v>
      </c>
      <c r="G21" s="7">
        <v>0.3</v>
      </c>
      <c r="H21" s="7">
        <v>0.3</v>
      </c>
      <c r="I21" s="7">
        <v>0.3</v>
      </c>
      <c r="J21" s="7">
        <v>0.3</v>
      </c>
    </row>
    <row r="23" spans="1:11" x14ac:dyDescent="0.35">
      <c r="A23" s="17" t="s">
        <v>17</v>
      </c>
      <c r="B23" s="17"/>
      <c r="C23" s="17"/>
      <c r="D23" s="17"/>
      <c r="E23" s="17"/>
      <c r="F23" s="17"/>
      <c r="G23" s="17"/>
      <c r="H23" s="17"/>
      <c r="I23" s="17"/>
      <c r="J23" s="17"/>
      <c r="K23" s="35"/>
    </row>
    <row r="24" spans="1:11" outlineLevel="1" x14ac:dyDescent="0.35">
      <c r="A24" s="4" t="s">
        <v>18</v>
      </c>
      <c r="B24" s="4"/>
      <c r="C24" s="4"/>
    </row>
    <row r="25" spans="1:11" outlineLevel="1" x14ac:dyDescent="0.35">
      <c r="A25" s="9" t="s">
        <v>2</v>
      </c>
      <c r="D25" s="8">
        <f>D4/D$4</f>
        <v>1</v>
      </c>
      <c r="E25" s="8">
        <f t="shared" ref="E25:J25" si="11">E4/E$4</f>
        <v>1</v>
      </c>
      <c r="F25" s="8">
        <f t="shared" si="11"/>
        <v>1</v>
      </c>
      <c r="G25" s="8">
        <f t="shared" si="11"/>
        <v>1</v>
      </c>
      <c r="H25" s="8">
        <f t="shared" si="11"/>
        <v>1</v>
      </c>
      <c r="I25" s="8">
        <f t="shared" si="11"/>
        <v>1</v>
      </c>
      <c r="J25" s="8">
        <f t="shared" si="11"/>
        <v>1</v>
      </c>
    </row>
    <row r="26" spans="1:11" outlineLevel="1" x14ac:dyDescent="0.35">
      <c r="A26" s="9" t="s">
        <v>3</v>
      </c>
      <c r="D26" s="8">
        <f t="shared" ref="D26:J34" si="12">D5/D$4</f>
        <v>0.45</v>
      </c>
      <c r="E26" s="8">
        <f t="shared" si="12"/>
        <v>0.45</v>
      </c>
      <c r="F26" s="8">
        <f t="shared" si="12"/>
        <v>0.45</v>
      </c>
      <c r="G26" s="8">
        <f t="shared" si="12"/>
        <v>0.45</v>
      </c>
      <c r="H26" s="8">
        <f t="shared" si="12"/>
        <v>0.45</v>
      </c>
      <c r="I26" s="8">
        <f t="shared" si="12"/>
        <v>0.45</v>
      </c>
      <c r="J26" s="8">
        <f t="shared" si="12"/>
        <v>0.45</v>
      </c>
    </row>
    <row r="27" spans="1:11" outlineLevel="1" x14ac:dyDescent="0.35">
      <c r="A27" s="9" t="s">
        <v>4</v>
      </c>
      <c r="D27" s="8">
        <f t="shared" si="12"/>
        <v>0.55000000000000004</v>
      </c>
      <c r="E27" s="8">
        <f t="shared" si="12"/>
        <v>0.55000000000000004</v>
      </c>
      <c r="F27" s="8">
        <f t="shared" si="12"/>
        <v>0.55000000000000004</v>
      </c>
      <c r="G27" s="8">
        <f t="shared" si="12"/>
        <v>0.54999999999999993</v>
      </c>
      <c r="H27" s="8">
        <f t="shared" si="12"/>
        <v>0.54999999999999993</v>
      </c>
      <c r="I27" s="8">
        <f t="shared" si="12"/>
        <v>0.55000000000000004</v>
      </c>
      <c r="J27" s="8">
        <f t="shared" si="12"/>
        <v>0.55000000000000004</v>
      </c>
    </row>
    <row r="28" spans="1:11" outlineLevel="1" x14ac:dyDescent="0.35">
      <c r="A28" s="9" t="s">
        <v>5</v>
      </c>
      <c r="D28" s="8">
        <f t="shared" si="12"/>
        <v>0.11</v>
      </c>
      <c r="E28" s="8">
        <f t="shared" si="12"/>
        <v>0.11</v>
      </c>
      <c r="F28" s="8">
        <f t="shared" si="12"/>
        <v>0.11019283746556473</v>
      </c>
      <c r="G28" s="8">
        <f t="shared" si="12"/>
        <v>0.100175306786877</v>
      </c>
      <c r="H28" s="8">
        <f t="shared" si="12"/>
        <v>9.1068460715342719E-2</v>
      </c>
      <c r="I28" s="8">
        <f t="shared" si="12"/>
        <v>8.2789509741220652E-2</v>
      </c>
      <c r="J28" s="8">
        <f t="shared" si="12"/>
        <v>7.5263190673836952E-2</v>
      </c>
    </row>
    <row r="29" spans="1:11" outlineLevel="1" x14ac:dyDescent="0.35">
      <c r="A29" s="9" t="s">
        <v>6</v>
      </c>
      <c r="D29" s="8">
        <f t="shared" si="12"/>
        <v>0.44</v>
      </c>
      <c r="E29" s="8">
        <f t="shared" si="12"/>
        <v>0.44</v>
      </c>
      <c r="F29" s="8">
        <f t="shared" si="12"/>
        <v>0.43980716253443525</v>
      </c>
      <c r="G29" s="8">
        <f t="shared" si="12"/>
        <v>0.44982469321312296</v>
      </c>
      <c r="H29" s="8">
        <f t="shared" si="12"/>
        <v>0.45893153928465724</v>
      </c>
      <c r="I29" s="8">
        <f t="shared" si="12"/>
        <v>0.46721049025877937</v>
      </c>
      <c r="J29" s="8">
        <f t="shared" si="12"/>
        <v>0.47473680932616308</v>
      </c>
    </row>
    <row r="30" spans="1:11" outlineLevel="1" x14ac:dyDescent="0.35">
      <c r="A30" s="9" t="s">
        <v>7</v>
      </c>
      <c r="D30" s="8">
        <f t="shared" si="12"/>
        <v>4.3999999999999997E-2</v>
      </c>
      <c r="E30" s="8">
        <f t="shared" si="12"/>
        <v>4.3999999999999997E-2</v>
      </c>
      <c r="F30" s="8">
        <f t="shared" si="12"/>
        <v>0.05</v>
      </c>
      <c r="G30" s="8">
        <f t="shared" si="12"/>
        <v>0.05</v>
      </c>
      <c r="H30" s="8">
        <f t="shared" si="12"/>
        <v>0.05</v>
      </c>
      <c r="I30" s="8">
        <f t="shared" si="12"/>
        <v>0.05</v>
      </c>
      <c r="J30" s="8">
        <f t="shared" si="12"/>
        <v>0.05</v>
      </c>
    </row>
    <row r="31" spans="1:11" outlineLevel="1" x14ac:dyDescent="0.35">
      <c r="A31" s="9" t="s">
        <v>8</v>
      </c>
      <c r="D31" s="8">
        <f t="shared" si="12"/>
        <v>6.6666666666666671E-3</v>
      </c>
      <c r="E31" s="8">
        <f t="shared" si="12"/>
        <v>6.0606060606060606E-3</v>
      </c>
      <c r="F31" s="8">
        <f t="shared" si="12"/>
        <v>5.5096418732782362E-3</v>
      </c>
      <c r="G31" s="8">
        <f t="shared" si="12"/>
        <v>5.00876533934385E-3</v>
      </c>
      <c r="H31" s="8">
        <f t="shared" si="12"/>
        <v>4.5534230357671358E-3</v>
      </c>
      <c r="I31" s="8">
        <f t="shared" si="12"/>
        <v>4.1394754870610322E-3</v>
      </c>
      <c r="J31" s="8">
        <f t="shared" si="12"/>
        <v>3.7631595336918475E-3</v>
      </c>
    </row>
    <row r="32" spans="1:11" outlineLevel="1" x14ac:dyDescent="0.35">
      <c r="A32" s="9" t="s">
        <v>9</v>
      </c>
      <c r="D32" s="8">
        <f t="shared" si="12"/>
        <v>0.38933333333333331</v>
      </c>
      <c r="E32" s="8">
        <f t="shared" si="12"/>
        <v>0.38993939393939392</v>
      </c>
      <c r="F32" s="8">
        <f t="shared" si="12"/>
        <v>0.38429752066115702</v>
      </c>
      <c r="G32" s="8">
        <f t="shared" si="12"/>
        <v>0.39481592787377917</v>
      </c>
      <c r="H32" s="8">
        <f t="shared" si="12"/>
        <v>0.40437811624889014</v>
      </c>
      <c r="I32" s="8">
        <f t="shared" si="12"/>
        <v>0.41307101477171831</v>
      </c>
      <c r="J32" s="8">
        <f t="shared" si="12"/>
        <v>0.42097364979247126</v>
      </c>
    </row>
    <row r="33" spans="1:11" outlineLevel="1" x14ac:dyDescent="0.35">
      <c r="A33" s="9" t="s">
        <v>10</v>
      </c>
      <c r="D33" s="8">
        <f t="shared" si="12"/>
        <v>0.1168</v>
      </c>
      <c r="E33" s="8">
        <f t="shared" si="12"/>
        <v>0.11698181818181819</v>
      </c>
      <c r="F33" s="8">
        <f t="shared" si="12"/>
        <v>0.11528925619834711</v>
      </c>
      <c r="G33" s="8">
        <f t="shared" si="12"/>
        <v>0.11844477836213374</v>
      </c>
      <c r="H33" s="8">
        <f t="shared" si="12"/>
        <v>0.12131343487466703</v>
      </c>
      <c r="I33" s="8">
        <f t="shared" si="12"/>
        <v>0.12392130443151549</v>
      </c>
      <c r="J33" s="8">
        <f t="shared" si="12"/>
        <v>0.12629209493774138</v>
      </c>
    </row>
    <row r="34" spans="1:11" outlineLevel="1" x14ac:dyDescent="0.35">
      <c r="A34" s="9" t="s">
        <v>11</v>
      </c>
      <c r="D34" s="8">
        <f t="shared" si="12"/>
        <v>0.27253333333333335</v>
      </c>
      <c r="E34" s="8">
        <f t="shared" si="12"/>
        <v>0.27295757575757573</v>
      </c>
      <c r="F34" s="8">
        <f t="shared" si="12"/>
        <v>0.26900826446280995</v>
      </c>
      <c r="G34" s="8">
        <f t="shared" si="12"/>
        <v>0.27637114951164543</v>
      </c>
      <c r="H34" s="8">
        <f t="shared" si="12"/>
        <v>0.28306468137422308</v>
      </c>
      <c r="I34" s="8">
        <f t="shared" si="12"/>
        <v>0.28914971034020281</v>
      </c>
      <c r="J34" s="8">
        <f t="shared" si="12"/>
        <v>0.29468155485472985</v>
      </c>
    </row>
    <row r="35" spans="1:11" outlineLevel="1" x14ac:dyDescent="0.35"/>
    <row r="36" spans="1:11" outlineLevel="1" x14ac:dyDescent="0.35">
      <c r="A36" s="4" t="s">
        <v>19</v>
      </c>
      <c r="B36" s="19">
        <v>0.1</v>
      </c>
    </row>
    <row r="37" spans="1:11" outlineLevel="1" x14ac:dyDescent="0.35">
      <c r="A37" s="9" t="s">
        <v>2</v>
      </c>
      <c r="D37" s="5">
        <f t="shared" ref="D37:J37" si="13">D4*(1+$B$36)</f>
        <v>165000</v>
      </c>
      <c r="E37" s="5">
        <f t="shared" si="13"/>
        <v>181500.00000000003</v>
      </c>
      <c r="F37" s="5">
        <f t="shared" si="13"/>
        <v>199650.00000000006</v>
      </c>
      <c r="G37" s="5">
        <f t="shared" si="13"/>
        <v>219615.00000000009</v>
      </c>
      <c r="H37" s="5">
        <f t="shared" si="13"/>
        <v>241576.50000000012</v>
      </c>
      <c r="I37" s="5">
        <f t="shared" si="13"/>
        <v>265734.15000000014</v>
      </c>
      <c r="J37" s="5">
        <f t="shared" si="13"/>
        <v>292307.56500000018</v>
      </c>
      <c r="K37" s="5"/>
    </row>
    <row r="38" spans="1:11" outlineLevel="1" x14ac:dyDescent="0.35">
      <c r="A38" s="9" t="s">
        <v>3</v>
      </c>
      <c r="D38" s="5">
        <f t="shared" ref="D38:J46" si="14">D5*(1+$B$36)</f>
        <v>74250</v>
      </c>
      <c r="E38" s="5">
        <f t="shared" si="14"/>
        <v>81675</v>
      </c>
      <c r="F38" s="5">
        <f t="shared" si="14"/>
        <v>89842.500000000029</v>
      </c>
      <c r="G38" s="5">
        <f t="shared" si="14"/>
        <v>98826.750000000044</v>
      </c>
      <c r="H38" s="5">
        <f t="shared" si="14"/>
        <v>108709.42500000006</v>
      </c>
      <c r="I38" s="5">
        <f t="shared" si="14"/>
        <v>119580.36750000008</v>
      </c>
      <c r="J38" s="5">
        <f t="shared" si="14"/>
        <v>131538.40425000008</v>
      </c>
    </row>
    <row r="39" spans="1:11" outlineLevel="1" x14ac:dyDescent="0.35">
      <c r="A39" s="9" t="s">
        <v>4</v>
      </c>
      <c r="D39" s="5">
        <f t="shared" si="14"/>
        <v>90750.000000000015</v>
      </c>
      <c r="E39" s="5">
        <f t="shared" si="14"/>
        <v>99825.000000000015</v>
      </c>
      <c r="F39" s="5">
        <f t="shared" si="14"/>
        <v>109807.50000000003</v>
      </c>
      <c r="G39" s="5">
        <f t="shared" si="14"/>
        <v>120788.25000000004</v>
      </c>
      <c r="H39" s="5">
        <f t="shared" si="14"/>
        <v>132867.07500000007</v>
      </c>
      <c r="I39" s="5">
        <f t="shared" si="14"/>
        <v>146153.78250000009</v>
      </c>
      <c r="J39" s="5">
        <f t="shared" si="14"/>
        <v>160769.1607500001</v>
      </c>
    </row>
    <row r="40" spans="1:11" outlineLevel="1" x14ac:dyDescent="0.35">
      <c r="A40" s="9" t="s">
        <v>5</v>
      </c>
      <c r="D40" s="5">
        <f t="shared" si="14"/>
        <v>18150</v>
      </c>
      <c r="E40" s="5">
        <f t="shared" si="14"/>
        <v>19965</v>
      </c>
      <c r="F40" s="5">
        <f t="shared" si="14"/>
        <v>22000</v>
      </c>
      <c r="G40" s="5">
        <f t="shared" si="14"/>
        <v>22000</v>
      </c>
      <c r="H40" s="5">
        <f t="shared" si="14"/>
        <v>22000</v>
      </c>
      <c r="I40" s="5">
        <f t="shared" si="14"/>
        <v>22000</v>
      </c>
      <c r="J40" s="5">
        <f t="shared" si="14"/>
        <v>22000</v>
      </c>
    </row>
    <row r="41" spans="1:11" outlineLevel="1" x14ac:dyDescent="0.35">
      <c r="A41" s="9" t="s">
        <v>6</v>
      </c>
      <c r="D41" s="5">
        <f t="shared" si="14"/>
        <v>72600</v>
      </c>
      <c r="E41" s="5">
        <f t="shared" si="14"/>
        <v>79860</v>
      </c>
      <c r="F41" s="5">
        <f t="shared" si="14"/>
        <v>87807.500000000029</v>
      </c>
      <c r="G41" s="5">
        <f t="shared" si="14"/>
        <v>98788.250000000044</v>
      </c>
      <c r="H41" s="5">
        <f t="shared" si="14"/>
        <v>110867.07500000006</v>
      </c>
      <c r="I41" s="5">
        <f t="shared" si="14"/>
        <v>124153.78250000009</v>
      </c>
      <c r="J41" s="5">
        <f t="shared" si="14"/>
        <v>138769.1607500001</v>
      </c>
    </row>
    <row r="42" spans="1:11" outlineLevel="1" x14ac:dyDescent="0.35">
      <c r="A42" s="9" t="s">
        <v>7</v>
      </c>
      <c r="D42" s="5">
        <f t="shared" si="14"/>
        <v>7260.0000000000009</v>
      </c>
      <c r="E42" s="5">
        <f t="shared" si="14"/>
        <v>7986.0000000000009</v>
      </c>
      <c r="F42" s="5">
        <f t="shared" si="14"/>
        <v>9982.5000000000036</v>
      </c>
      <c r="G42" s="5">
        <f t="shared" si="14"/>
        <v>10980.750000000005</v>
      </c>
      <c r="H42" s="5">
        <f t="shared" si="14"/>
        <v>12078.825000000006</v>
      </c>
      <c r="I42" s="5">
        <f t="shared" si="14"/>
        <v>13286.707500000008</v>
      </c>
      <c r="J42" s="5">
        <f t="shared" si="14"/>
        <v>14615.378250000009</v>
      </c>
    </row>
    <row r="43" spans="1:11" outlineLevel="1" x14ac:dyDescent="0.35">
      <c r="A43" s="9" t="s">
        <v>8</v>
      </c>
      <c r="D43" s="5">
        <f t="shared" si="14"/>
        <v>1100</v>
      </c>
      <c r="E43" s="5">
        <f t="shared" si="14"/>
        <v>1100</v>
      </c>
      <c r="F43" s="5">
        <f t="shared" si="14"/>
        <v>1100</v>
      </c>
      <c r="G43" s="5">
        <f t="shared" si="14"/>
        <v>1100</v>
      </c>
      <c r="H43" s="5">
        <f t="shared" si="14"/>
        <v>1100</v>
      </c>
      <c r="I43" s="5">
        <f t="shared" si="14"/>
        <v>1100</v>
      </c>
      <c r="J43" s="5">
        <f t="shared" si="14"/>
        <v>1100</v>
      </c>
    </row>
    <row r="44" spans="1:11" outlineLevel="1" x14ac:dyDescent="0.35">
      <c r="A44" s="9" t="s">
        <v>9</v>
      </c>
      <c r="D44" s="5">
        <f t="shared" si="14"/>
        <v>64240.000000000007</v>
      </c>
      <c r="E44" s="5">
        <f t="shared" si="14"/>
        <v>70774</v>
      </c>
      <c r="F44" s="5">
        <f t="shared" si="14"/>
        <v>76725.000000000029</v>
      </c>
      <c r="G44" s="5">
        <f t="shared" si="14"/>
        <v>86707.500000000044</v>
      </c>
      <c r="H44" s="5">
        <f t="shared" si="14"/>
        <v>97688.250000000058</v>
      </c>
      <c r="I44" s="5">
        <f t="shared" si="14"/>
        <v>109767.07500000007</v>
      </c>
      <c r="J44" s="5">
        <f t="shared" si="14"/>
        <v>123053.7825000001</v>
      </c>
    </row>
    <row r="45" spans="1:11" outlineLevel="1" x14ac:dyDescent="0.35">
      <c r="A45" s="9" t="s">
        <v>10</v>
      </c>
      <c r="D45" s="5">
        <f t="shared" si="14"/>
        <v>19272</v>
      </c>
      <c r="E45" s="5">
        <f t="shared" si="14"/>
        <v>21232.2</v>
      </c>
      <c r="F45" s="5">
        <f t="shared" si="14"/>
        <v>23017.500000000007</v>
      </c>
      <c r="G45" s="5">
        <f t="shared" si="14"/>
        <v>26012.250000000011</v>
      </c>
      <c r="H45" s="5">
        <f t="shared" si="14"/>
        <v>29306.475000000013</v>
      </c>
      <c r="I45" s="5">
        <f t="shared" si="14"/>
        <v>32930.122500000019</v>
      </c>
      <c r="J45" s="5">
        <f t="shared" si="14"/>
        <v>36916.134750000034</v>
      </c>
    </row>
    <row r="46" spans="1:11" outlineLevel="1" x14ac:dyDescent="0.35">
      <c r="A46" s="9" t="s">
        <v>11</v>
      </c>
      <c r="D46" s="5">
        <f t="shared" si="14"/>
        <v>44968</v>
      </c>
      <c r="E46" s="5">
        <f t="shared" si="14"/>
        <v>49541.8</v>
      </c>
      <c r="F46" s="5">
        <f t="shared" si="14"/>
        <v>53707.500000000022</v>
      </c>
      <c r="G46" s="5">
        <f t="shared" si="14"/>
        <v>60695.250000000029</v>
      </c>
      <c r="H46" s="5">
        <f t="shared" si="14"/>
        <v>68381.775000000038</v>
      </c>
      <c r="I46" s="5">
        <f t="shared" si="14"/>
        <v>76836.952500000043</v>
      </c>
      <c r="J46" s="5">
        <f t="shared" si="14"/>
        <v>86137.647750000076</v>
      </c>
    </row>
    <row r="47" spans="1:11" outlineLevel="1" collapsed="1" x14ac:dyDescent="0.35"/>
    <row r="48" spans="1:11" outlineLevel="1" x14ac:dyDescent="0.35">
      <c r="A48" s="9" t="s">
        <v>6</v>
      </c>
      <c r="D48" s="5">
        <f t="shared" ref="D48:J48" si="15">Gross_Profit-SG_A</f>
        <v>66000</v>
      </c>
      <c r="E48" s="5">
        <f t="shared" si="15"/>
        <v>72600</v>
      </c>
      <c r="F48" s="5">
        <f t="shared" si="15"/>
        <v>79825.000000000015</v>
      </c>
      <c r="G48" s="5">
        <f t="shared" si="15"/>
        <v>89807.500000000029</v>
      </c>
      <c r="H48" s="5">
        <f t="shared" si="15"/>
        <v>100788.25000000004</v>
      </c>
      <c r="I48" s="5">
        <f t="shared" si="15"/>
        <v>112867.07500000007</v>
      </c>
      <c r="J48" s="5">
        <f t="shared" si="15"/>
        <v>126153.78250000009</v>
      </c>
    </row>
    <row r="49" spans="1:10" outlineLevel="1" x14ac:dyDescent="0.35">
      <c r="A49" s="9" t="s">
        <v>20</v>
      </c>
      <c r="D49" s="5">
        <f t="shared" ref="D49:J49" si="16">D48*(1+Sensitivity)</f>
        <v>72600</v>
      </c>
      <c r="E49" s="5">
        <f t="shared" si="16"/>
        <v>79860</v>
      </c>
      <c r="F49" s="5">
        <f t="shared" si="16"/>
        <v>87807.500000000029</v>
      </c>
      <c r="G49" s="5">
        <f t="shared" si="16"/>
        <v>98788.250000000044</v>
      </c>
      <c r="H49" s="5">
        <f t="shared" si="16"/>
        <v>110867.07500000006</v>
      </c>
      <c r="I49" s="5">
        <f t="shared" si="16"/>
        <v>124153.78250000009</v>
      </c>
      <c r="J49" s="5">
        <f t="shared" si="16"/>
        <v>138769.1607500001</v>
      </c>
    </row>
    <row r="51" spans="1:10" x14ac:dyDescent="0.35">
      <c r="A51" s="4" t="s">
        <v>21</v>
      </c>
      <c r="C51" s="21">
        <v>44536</v>
      </c>
      <c r="D51" s="9">
        <v>0</v>
      </c>
      <c r="E51" s="9">
        <f>D51+1</f>
        <v>1</v>
      </c>
      <c r="F51" s="9">
        <f>E51+1</f>
        <v>2</v>
      </c>
      <c r="G51" s="9">
        <f t="shared" ref="G51:J51" si="17">F51+1</f>
        <v>3</v>
      </c>
      <c r="H51" s="9">
        <f t="shared" si="17"/>
        <v>4</v>
      </c>
      <c r="I51" s="9">
        <f t="shared" si="17"/>
        <v>5</v>
      </c>
      <c r="J51" s="9">
        <f t="shared" si="17"/>
        <v>6</v>
      </c>
    </row>
    <row r="52" spans="1:10" x14ac:dyDescent="0.35">
      <c r="A52" s="9" t="s">
        <v>23</v>
      </c>
      <c r="D52" s="20">
        <f>EOMONTH($C$51,0)</f>
        <v>44561</v>
      </c>
      <c r="E52" s="20">
        <f t="shared" ref="E52:J52" si="18">EOMONTH($C$51,E51)</f>
        <v>44592</v>
      </c>
      <c r="F52" s="20">
        <f t="shared" si="18"/>
        <v>44620</v>
      </c>
      <c r="G52" s="20">
        <f t="shared" si="18"/>
        <v>44651</v>
      </c>
      <c r="H52" s="20">
        <f t="shared" si="18"/>
        <v>44681</v>
      </c>
      <c r="I52" s="20">
        <f t="shared" si="18"/>
        <v>44712</v>
      </c>
      <c r="J52" s="20">
        <f t="shared" si="18"/>
        <v>44742</v>
      </c>
    </row>
    <row r="53" spans="1:10" x14ac:dyDescent="0.35">
      <c r="A53" s="9" t="s">
        <v>22</v>
      </c>
      <c r="D53" s="20">
        <f>DATE(YEAR($C$51)+D51,12,31)</f>
        <v>44561</v>
      </c>
      <c r="E53" s="20">
        <f t="shared" ref="E53:J53" si="19">DATE(YEAR($C$51)+E51,12,31)</f>
        <v>44926</v>
      </c>
      <c r="F53" s="20">
        <f t="shared" si="19"/>
        <v>45291</v>
      </c>
      <c r="G53" s="20">
        <f t="shared" si="19"/>
        <v>45657</v>
      </c>
      <c r="H53" s="20">
        <f t="shared" si="19"/>
        <v>46022</v>
      </c>
      <c r="I53" s="20">
        <f t="shared" si="19"/>
        <v>46387</v>
      </c>
      <c r="J53" s="20">
        <f t="shared" si="19"/>
        <v>46752</v>
      </c>
    </row>
    <row r="55" spans="1:10" x14ac:dyDescent="0.35">
      <c r="A55" s="9" t="s">
        <v>24</v>
      </c>
      <c r="D55" s="22">
        <f>YEARFRAC($C$51,D52)</f>
        <v>6.9444444444444448E-2</v>
      </c>
      <c r="E55" s="22">
        <f t="shared" ref="E55:J56" si="20">YEARFRAC($C$51,E52)</f>
        <v>0.15277777777777779</v>
      </c>
      <c r="F55" s="22">
        <f t="shared" si="20"/>
        <v>0.22777777777777777</v>
      </c>
      <c r="G55" s="22">
        <f t="shared" si="20"/>
        <v>0.31944444444444442</v>
      </c>
      <c r="H55" s="22">
        <f t="shared" si="20"/>
        <v>0.4</v>
      </c>
      <c r="I55" s="22">
        <f t="shared" si="20"/>
        <v>0.4861111111111111</v>
      </c>
      <c r="J55" s="22">
        <f t="shared" si="20"/>
        <v>0.56666666666666665</v>
      </c>
    </row>
    <row r="56" spans="1:10" x14ac:dyDescent="0.35">
      <c r="A56" s="9" t="s">
        <v>25</v>
      </c>
      <c r="D56" s="22">
        <f>YEARFRAC($C$51,D53)</f>
        <v>6.9444444444444448E-2</v>
      </c>
      <c r="E56" s="22">
        <f t="shared" si="20"/>
        <v>1.0694444444444444</v>
      </c>
      <c r="F56" s="22">
        <f t="shared" si="20"/>
        <v>2.0694444444444446</v>
      </c>
      <c r="G56" s="22">
        <f t="shared" si="20"/>
        <v>3.0694444444444446</v>
      </c>
      <c r="H56" s="22">
        <f t="shared" si="20"/>
        <v>4.0694444444444446</v>
      </c>
      <c r="I56" s="22">
        <f t="shared" si="20"/>
        <v>5.0694444444444446</v>
      </c>
      <c r="J56" s="22">
        <f t="shared" si="20"/>
        <v>6.0694444444444446</v>
      </c>
    </row>
    <row r="57" spans="1:10" x14ac:dyDescent="0.35">
      <c r="A57" s="9" t="s">
        <v>31</v>
      </c>
      <c r="D57" s="26" t="str">
        <f>IF(D56&lt;1,"stub","full year")</f>
        <v>stub</v>
      </c>
      <c r="E57" s="26" t="str">
        <f t="shared" ref="E57:J57" si="21">IF(E56&lt;1,"stub","full year")</f>
        <v>full year</v>
      </c>
      <c r="F57" s="26" t="str">
        <f t="shared" si="21"/>
        <v>full year</v>
      </c>
      <c r="G57" s="26" t="str">
        <f t="shared" si="21"/>
        <v>full year</v>
      </c>
      <c r="H57" s="26" t="str">
        <f t="shared" si="21"/>
        <v>full year</v>
      </c>
      <c r="I57" s="26" t="str">
        <f t="shared" si="21"/>
        <v>full year</v>
      </c>
      <c r="J57" s="26" t="str">
        <f t="shared" si="21"/>
        <v>full year</v>
      </c>
    </row>
    <row r="59" spans="1:10" x14ac:dyDescent="0.35">
      <c r="A59" s="4" t="s">
        <v>26</v>
      </c>
    </row>
    <row r="60" spans="1:10" x14ac:dyDescent="0.35">
      <c r="A60" s="9" t="s">
        <v>3</v>
      </c>
      <c r="C60" s="25">
        <v>10</v>
      </c>
      <c r="D60" s="5">
        <f>D5</f>
        <v>67500</v>
      </c>
      <c r="E60" s="5">
        <f t="shared" ref="E60:J60" si="22">E5</f>
        <v>74250</v>
      </c>
      <c r="F60" s="5">
        <f t="shared" si="22"/>
        <v>81675.000000000015</v>
      </c>
      <c r="G60" s="5">
        <f t="shared" si="22"/>
        <v>89842.500000000029</v>
      </c>
      <c r="H60" s="5">
        <f t="shared" si="22"/>
        <v>98826.750000000044</v>
      </c>
      <c r="I60" s="5">
        <f t="shared" si="22"/>
        <v>108709.42500000006</v>
      </c>
      <c r="J60" s="5">
        <f t="shared" si="22"/>
        <v>119580.36750000007</v>
      </c>
    </row>
    <row r="61" spans="1:10" x14ac:dyDescent="0.35">
      <c r="A61" s="9" t="s">
        <v>5</v>
      </c>
      <c r="C61" s="25">
        <v>12</v>
      </c>
      <c r="D61" s="5">
        <f>D7</f>
        <v>16500</v>
      </c>
      <c r="E61" s="5">
        <f t="shared" ref="E61:J61" si="23">E7</f>
        <v>18150</v>
      </c>
      <c r="F61" s="5">
        <f t="shared" si="23"/>
        <v>20000</v>
      </c>
      <c r="G61" s="5">
        <f t="shared" si="23"/>
        <v>20000</v>
      </c>
      <c r="H61" s="5">
        <f t="shared" si="23"/>
        <v>20000</v>
      </c>
      <c r="I61" s="5">
        <f t="shared" si="23"/>
        <v>20000</v>
      </c>
      <c r="J61" s="5">
        <f t="shared" si="23"/>
        <v>20000</v>
      </c>
    </row>
    <row r="62" spans="1:10" x14ac:dyDescent="0.35">
      <c r="A62" s="9" t="s">
        <v>7</v>
      </c>
      <c r="C62" s="25">
        <v>8</v>
      </c>
      <c r="D62" s="5">
        <f>D9</f>
        <v>6600</v>
      </c>
      <c r="E62" s="5">
        <f t="shared" ref="E62:J62" si="24">E9</f>
        <v>7260</v>
      </c>
      <c r="F62" s="5">
        <f t="shared" si="24"/>
        <v>9075.0000000000018</v>
      </c>
      <c r="G62" s="5">
        <f t="shared" si="24"/>
        <v>9982.5000000000036</v>
      </c>
      <c r="H62" s="5">
        <f t="shared" si="24"/>
        <v>10980.750000000005</v>
      </c>
      <c r="I62" s="5">
        <f t="shared" si="24"/>
        <v>12078.825000000006</v>
      </c>
      <c r="J62" s="5">
        <f t="shared" si="24"/>
        <v>13286.707500000008</v>
      </c>
    </row>
    <row r="63" spans="1:10" x14ac:dyDescent="0.35">
      <c r="A63" s="9" t="s">
        <v>8</v>
      </c>
      <c r="C63" s="25">
        <v>7</v>
      </c>
      <c r="D63" s="5">
        <f>D10</f>
        <v>1000</v>
      </c>
      <c r="E63" s="5">
        <f t="shared" ref="E63:J63" si="25">E10</f>
        <v>1000</v>
      </c>
      <c r="F63" s="5">
        <f t="shared" si="25"/>
        <v>1000</v>
      </c>
      <c r="G63" s="5">
        <f t="shared" si="25"/>
        <v>1000</v>
      </c>
      <c r="H63" s="5">
        <f t="shared" si="25"/>
        <v>1000</v>
      </c>
      <c r="I63" s="5">
        <f t="shared" si="25"/>
        <v>1000</v>
      </c>
      <c r="J63" s="5">
        <f t="shared" si="25"/>
        <v>1000</v>
      </c>
    </row>
    <row r="64" spans="1:10" x14ac:dyDescent="0.35">
      <c r="A64" s="9" t="s">
        <v>10</v>
      </c>
      <c r="C64" s="25">
        <v>15</v>
      </c>
      <c r="D64" s="5">
        <f>D12</f>
        <v>17520</v>
      </c>
      <c r="E64" s="5">
        <f t="shared" ref="E64:J64" si="26">E12</f>
        <v>19302</v>
      </c>
      <c r="F64" s="5">
        <f t="shared" si="26"/>
        <v>20925.000000000004</v>
      </c>
      <c r="G64" s="5">
        <f t="shared" si="26"/>
        <v>23647.500000000007</v>
      </c>
      <c r="H64" s="5">
        <f t="shared" si="26"/>
        <v>26642.250000000011</v>
      </c>
      <c r="I64" s="5">
        <f t="shared" si="26"/>
        <v>29936.475000000017</v>
      </c>
      <c r="J64" s="5">
        <f t="shared" si="26"/>
        <v>33560.122500000027</v>
      </c>
    </row>
    <row r="65" spans="1:10" x14ac:dyDescent="0.35">
      <c r="A65" s="24" t="s">
        <v>27</v>
      </c>
      <c r="B65" s="24"/>
      <c r="C65" s="24"/>
      <c r="D65" s="23">
        <f>SUM(D60:D64)</f>
        <v>109120</v>
      </c>
      <c r="E65" s="23">
        <f t="shared" ref="E65:J65" si="27">SUM(E60:E64)</f>
        <v>119962</v>
      </c>
      <c r="F65" s="23">
        <f t="shared" si="27"/>
        <v>132675.00000000003</v>
      </c>
      <c r="G65" s="23">
        <f t="shared" si="27"/>
        <v>144472.50000000003</v>
      </c>
      <c r="H65" s="23">
        <f t="shared" si="27"/>
        <v>157449.75000000006</v>
      </c>
      <c r="I65" s="23">
        <f t="shared" si="27"/>
        <v>171724.72500000006</v>
      </c>
      <c r="J65" s="23">
        <f t="shared" si="27"/>
        <v>187427.1975000001</v>
      </c>
    </row>
    <row r="66" spans="1:10" x14ac:dyDescent="0.35">
      <c r="A66" s="9" t="s">
        <v>28</v>
      </c>
      <c r="D66" s="32">
        <f>AVERAGE(D60:D64)</f>
        <v>21824</v>
      </c>
      <c r="E66" s="32">
        <f t="shared" ref="E66:J66" si="28">AVERAGE(E60:E64)</f>
        <v>23992.400000000001</v>
      </c>
      <c r="F66" s="32">
        <f t="shared" si="28"/>
        <v>26535.000000000007</v>
      </c>
      <c r="G66" s="32">
        <f t="shared" si="28"/>
        <v>28894.500000000007</v>
      </c>
      <c r="H66" s="32">
        <f t="shared" si="28"/>
        <v>31489.950000000012</v>
      </c>
      <c r="I66" s="32">
        <f t="shared" si="28"/>
        <v>34344.945000000014</v>
      </c>
      <c r="J66" s="32">
        <f t="shared" si="28"/>
        <v>37485.439500000022</v>
      </c>
    </row>
    <row r="67" spans="1:10" x14ac:dyDescent="0.35">
      <c r="A67" s="9" t="s">
        <v>29</v>
      </c>
      <c r="D67" s="32" cm="1">
        <f t="array" ref="D67">SUMPRODUCT($C$60:$C$64,D60:D64/SUM($C$60:$C$64))</f>
        <v>22992.307692307691</v>
      </c>
      <c r="E67" s="32" cm="1">
        <f t="array" ref="E67">SUMPRODUCT($C$60:$C$64,E60:E64/SUM($C$60:$C$64))</f>
        <v>25286.730769230773</v>
      </c>
      <c r="F67" s="32" cm="1">
        <f t="array" ref="F67">SUMPRODUCT($C$60:$C$64,F60:F64/SUM($C$60:$C$64))</f>
        <v>27888.942307692312</v>
      </c>
      <c r="G67" s="32" cm="1">
        <f t="array" ref="G67">SUMPRODUCT($C$60:$C$64,G60:G64/SUM($C$60:$C$64))</f>
        <v>30384.567307692316</v>
      </c>
      <c r="H67" s="32" cm="1">
        <f t="array" ref="H67">SUMPRODUCT($C$60:$C$64,H60:H64/SUM($C$60:$C$64))</f>
        <v>33129.754807692327</v>
      </c>
      <c r="I67" s="32" cm="1">
        <f t="array" ref="I67">SUMPRODUCT($C$60:$C$64,I60:I64/SUM($C$60:$C$64))</f>
        <v>36149.461057692322</v>
      </c>
      <c r="J67" s="32" cm="1">
        <f t="array" ref="J67">SUMPRODUCT($C$60:$C$64,J60:J64/SUM($C$60:$C$64))</f>
        <v>39471.137932692327</v>
      </c>
    </row>
    <row r="68" spans="1:10" x14ac:dyDescent="0.35">
      <c r="A68" s="9" t="s">
        <v>30</v>
      </c>
      <c r="D68" s="32">
        <f>MEDIAN(D60:D64)</f>
        <v>16500</v>
      </c>
      <c r="E68" s="32">
        <f t="shared" ref="E68:J68" si="29">MEDIAN(E60:E64)</f>
        <v>18150</v>
      </c>
      <c r="F68" s="32">
        <f t="shared" si="29"/>
        <v>20000</v>
      </c>
      <c r="G68" s="32">
        <f t="shared" si="29"/>
        <v>20000</v>
      </c>
      <c r="H68" s="32">
        <f t="shared" si="29"/>
        <v>20000</v>
      </c>
      <c r="I68" s="32">
        <f t="shared" si="29"/>
        <v>20000</v>
      </c>
      <c r="J68" s="32">
        <f t="shared" si="29"/>
        <v>20000</v>
      </c>
    </row>
    <row r="70" spans="1:10" x14ac:dyDescent="0.35">
      <c r="A70" s="9" t="s">
        <v>32</v>
      </c>
    </row>
    <row r="71" spans="1:10" x14ac:dyDescent="0.35">
      <c r="A71" s="9" t="s">
        <v>33</v>
      </c>
      <c r="C71" s="29">
        <v>150000</v>
      </c>
      <c r="D71" s="27">
        <f>IF(D65&lt;$C$71,D65,0)</f>
        <v>109120</v>
      </c>
      <c r="E71" s="27">
        <f t="shared" ref="E71:J71" si="30">IF(E65&lt;$C$71,E65,0)</f>
        <v>119962</v>
      </c>
      <c r="F71" s="27">
        <f t="shared" si="30"/>
        <v>132675.00000000003</v>
      </c>
      <c r="G71" s="27">
        <f t="shared" si="30"/>
        <v>144472.50000000003</v>
      </c>
      <c r="H71" s="27">
        <f t="shared" si="30"/>
        <v>0</v>
      </c>
      <c r="I71" s="27">
        <f t="shared" si="30"/>
        <v>0</v>
      </c>
      <c r="J71" s="27">
        <f t="shared" si="30"/>
        <v>0</v>
      </c>
    </row>
    <row r="72" spans="1:10" x14ac:dyDescent="0.35">
      <c r="A72" s="9" t="s">
        <v>34</v>
      </c>
      <c r="C72" s="29">
        <v>150000</v>
      </c>
      <c r="D72" s="27">
        <f>IF(D65&gt;=$C$72,D65,0)</f>
        <v>0</v>
      </c>
      <c r="E72" s="27">
        <f t="shared" ref="E72:J72" si="31">IF(E65&gt;=$C$72,E65,0)</f>
        <v>0</v>
      </c>
      <c r="F72" s="27">
        <f t="shared" si="31"/>
        <v>0</v>
      </c>
      <c r="G72" s="27">
        <f t="shared" si="31"/>
        <v>0</v>
      </c>
      <c r="H72" s="27">
        <f t="shared" si="31"/>
        <v>157449.75000000006</v>
      </c>
      <c r="I72" s="27">
        <f t="shared" si="31"/>
        <v>171724.72500000006</v>
      </c>
      <c r="J72" s="27">
        <f t="shared" si="31"/>
        <v>187427.1975000001</v>
      </c>
    </row>
    <row r="73" spans="1:10" x14ac:dyDescent="0.35">
      <c r="A73" s="24" t="s">
        <v>27</v>
      </c>
      <c r="B73" s="24"/>
      <c r="C73" s="28"/>
      <c r="D73" s="28">
        <f>SUM(D71:D72)</f>
        <v>109120</v>
      </c>
      <c r="E73" s="28">
        <f t="shared" ref="E73:J73" si="32">SUM(E71:E72)</f>
        <v>119962</v>
      </c>
      <c r="F73" s="28">
        <f t="shared" si="32"/>
        <v>132675.00000000003</v>
      </c>
      <c r="G73" s="28">
        <f t="shared" si="32"/>
        <v>144472.50000000003</v>
      </c>
      <c r="H73" s="28">
        <f t="shared" si="32"/>
        <v>157449.75000000006</v>
      </c>
      <c r="I73" s="28">
        <f t="shared" si="32"/>
        <v>171724.72500000006</v>
      </c>
      <c r="J73" s="28">
        <f t="shared" si="32"/>
        <v>187427.1975000001</v>
      </c>
    </row>
    <row r="75" spans="1:10" x14ac:dyDescent="0.35">
      <c r="A75" s="9" t="s">
        <v>35</v>
      </c>
      <c r="D75" s="30" t="str">
        <f>IF(D73=D65,"OK","ERROR")</f>
        <v>OK</v>
      </c>
      <c r="E75" s="30" t="str">
        <f t="shared" ref="E75:J75" si="33">IF(E73=E65,"OK","ERROR")</f>
        <v>OK</v>
      </c>
      <c r="F75" s="30" t="str">
        <f t="shared" si="33"/>
        <v>OK</v>
      </c>
      <c r="G75" s="30" t="str">
        <f t="shared" si="33"/>
        <v>OK</v>
      </c>
      <c r="H75" s="30" t="str">
        <f t="shared" si="33"/>
        <v>OK</v>
      </c>
      <c r="I75" s="30" t="str">
        <f t="shared" si="33"/>
        <v>OK</v>
      </c>
      <c r="J75" s="30" t="str">
        <f t="shared" si="33"/>
        <v>OK</v>
      </c>
    </row>
    <row r="77" spans="1:10" x14ac:dyDescent="0.35">
      <c r="A77" s="9" t="s">
        <v>36</v>
      </c>
      <c r="C77" s="33">
        <v>3</v>
      </c>
      <c r="D77" s="31">
        <f>ROUND(D67,$C$77)</f>
        <v>22992.308000000001</v>
      </c>
      <c r="E77" s="31">
        <f t="shared" ref="E77:J77" si="34">ROUND(E67,$C$77)</f>
        <v>25286.731</v>
      </c>
      <c r="F77" s="31">
        <f t="shared" si="34"/>
        <v>27888.941999999999</v>
      </c>
      <c r="G77" s="31">
        <f t="shared" si="34"/>
        <v>30384.566999999999</v>
      </c>
      <c r="H77" s="31">
        <f t="shared" si="34"/>
        <v>33129.754999999997</v>
      </c>
      <c r="I77" s="31">
        <f t="shared" si="34"/>
        <v>36149.461000000003</v>
      </c>
      <c r="J77" s="31">
        <f t="shared" si="34"/>
        <v>39471.137999999999</v>
      </c>
    </row>
    <row r="78" spans="1:10" x14ac:dyDescent="0.35">
      <c r="A78" s="9" t="s">
        <v>37</v>
      </c>
      <c r="C78" s="33">
        <v>10</v>
      </c>
      <c r="D78" s="31">
        <f>MROUND(D77,$C$78)</f>
        <v>22990</v>
      </c>
      <c r="E78" s="31">
        <f t="shared" ref="E78:J78" si="35">MROUND(E77,$C$78)</f>
        <v>25290</v>
      </c>
      <c r="F78" s="31">
        <f t="shared" si="35"/>
        <v>27890</v>
      </c>
      <c r="G78" s="31">
        <f t="shared" si="35"/>
        <v>30380</v>
      </c>
      <c r="H78" s="31">
        <f t="shared" si="35"/>
        <v>33130</v>
      </c>
      <c r="I78" s="31">
        <f t="shared" si="35"/>
        <v>36150</v>
      </c>
      <c r="J78" s="31">
        <f t="shared" si="35"/>
        <v>39470</v>
      </c>
    </row>
    <row r="80" spans="1:10" x14ac:dyDescent="0.35">
      <c r="A80" s="9" t="s">
        <v>38</v>
      </c>
      <c r="D80" s="5">
        <f>MIN(D60:D64)</f>
        <v>1000</v>
      </c>
      <c r="E80" s="5">
        <f t="shared" ref="E80:J80" si="36">MIN(E60:E64)</f>
        <v>1000</v>
      </c>
      <c r="F80" s="5">
        <f t="shared" si="36"/>
        <v>1000</v>
      </c>
      <c r="G80" s="5">
        <f t="shared" si="36"/>
        <v>1000</v>
      </c>
      <c r="H80" s="5">
        <f t="shared" si="36"/>
        <v>1000</v>
      </c>
      <c r="I80" s="5">
        <f t="shared" si="36"/>
        <v>1000</v>
      </c>
      <c r="J80" s="5">
        <f t="shared" si="36"/>
        <v>1000</v>
      </c>
    </row>
    <row r="81" spans="1:10" x14ac:dyDescent="0.35">
      <c r="A81" s="9" t="s">
        <v>39</v>
      </c>
      <c r="D81" s="5">
        <f>MAX(D60:D64)</f>
        <v>67500</v>
      </c>
      <c r="E81" s="5">
        <f t="shared" ref="E81:J81" si="37">MAX(E60:E64)</f>
        <v>74250</v>
      </c>
      <c r="F81" s="5">
        <f t="shared" si="37"/>
        <v>81675.000000000015</v>
      </c>
      <c r="G81" s="5">
        <f t="shared" si="37"/>
        <v>89842.500000000029</v>
      </c>
      <c r="H81" s="5">
        <f t="shared" si="37"/>
        <v>98826.750000000044</v>
      </c>
      <c r="I81" s="5">
        <f t="shared" si="37"/>
        <v>108709.42500000006</v>
      </c>
      <c r="J81" s="5">
        <f t="shared" si="37"/>
        <v>119580.36750000007</v>
      </c>
    </row>
    <row r="83" spans="1:10" x14ac:dyDescent="0.35">
      <c r="A83" s="9" t="s">
        <v>40</v>
      </c>
      <c r="C83" s="9">
        <v>2</v>
      </c>
      <c r="D83" s="5">
        <f>SMALL(D60:D64,$C$83)</f>
        <v>6600</v>
      </c>
      <c r="E83" s="5">
        <f t="shared" ref="E83:J83" si="38">SMALL(E60:E64,$C$83)</f>
        <v>7260</v>
      </c>
      <c r="F83" s="5">
        <f t="shared" si="38"/>
        <v>9075.0000000000018</v>
      </c>
      <c r="G83" s="5">
        <f t="shared" si="38"/>
        <v>9982.5000000000036</v>
      </c>
      <c r="H83" s="5">
        <f t="shared" si="38"/>
        <v>10980.750000000005</v>
      </c>
      <c r="I83" s="5">
        <f t="shared" si="38"/>
        <v>12078.825000000006</v>
      </c>
      <c r="J83" s="5">
        <f t="shared" si="38"/>
        <v>13286.707500000008</v>
      </c>
    </row>
    <row r="84" spans="1:10" x14ac:dyDescent="0.35">
      <c r="A84" s="9" t="s">
        <v>41</v>
      </c>
      <c r="C84" s="9">
        <v>3</v>
      </c>
      <c r="D84" s="5">
        <f>LARGE(D60:D64,$C$84)</f>
        <v>16500</v>
      </c>
      <c r="E84" s="5">
        <f t="shared" ref="E84:J84" si="39">LARGE(E60:E64,$C$84)</f>
        <v>18150</v>
      </c>
      <c r="F84" s="5">
        <f t="shared" si="39"/>
        <v>20000</v>
      </c>
      <c r="G84" s="5">
        <f t="shared" si="39"/>
        <v>20000</v>
      </c>
      <c r="H84" s="5">
        <f t="shared" si="39"/>
        <v>20000</v>
      </c>
      <c r="I84" s="5">
        <f t="shared" si="39"/>
        <v>20000</v>
      </c>
      <c r="J84" s="5">
        <f t="shared" si="39"/>
        <v>20000</v>
      </c>
    </row>
    <row r="86" spans="1:10" x14ac:dyDescent="0.35">
      <c r="A86" s="9" t="s">
        <v>42</v>
      </c>
      <c r="C86" s="9">
        <v>0</v>
      </c>
      <c r="D86" s="30" t="str">
        <f>IFERROR(D73/C86,"na")</f>
        <v>na</v>
      </c>
      <c r="E86" s="30" t="str">
        <f t="shared" ref="E86:J86" si="40">IFERROR(E73/D86,"na")</f>
        <v>na</v>
      </c>
      <c r="F86" s="30" t="str">
        <f t="shared" si="40"/>
        <v>na</v>
      </c>
      <c r="G86" s="30" t="str">
        <f t="shared" si="40"/>
        <v>na</v>
      </c>
      <c r="H86" s="30" t="str">
        <f t="shared" si="40"/>
        <v>na</v>
      </c>
      <c r="I86" s="30" t="str">
        <f t="shared" si="40"/>
        <v>na</v>
      </c>
      <c r="J86" s="30" t="str">
        <f t="shared" si="40"/>
        <v>na</v>
      </c>
    </row>
    <row r="87" spans="1:10" x14ac:dyDescent="0.35">
      <c r="D87" s="27">
        <f>IFERROR(D73/$C$86,0)</f>
        <v>0</v>
      </c>
      <c r="E87" s="27">
        <f t="shared" ref="E87:J87" si="41">IFERROR(E73/$C$86,0)</f>
        <v>0</v>
      </c>
      <c r="F87" s="27">
        <f t="shared" si="41"/>
        <v>0</v>
      </c>
      <c r="G87" s="27">
        <f t="shared" si="41"/>
        <v>0</v>
      </c>
      <c r="H87" s="27">
        <f t="shared" si="41"/>
        <v>0</v>
      </c>
      <c r="I87" s="27">
        <f t="shared" si="41"/>
        <v>0</v>
      </c>
      <c r="J87" s="27">
        <f t="shared" si="41"/>
        <v>0</v>
      </c>
    </row>
    <row r="88" spans="1:10" x14ac:dyDescent="0.35">
      <c r="D88" s="27">
        <f>D73+D87</f>
        <v>109120</v>
      </c>
    </row>
  </sheetData>
  <conditionalFormatting sqref="D48:J48">
    <cfRule type="cellIs" dxfId="2" priority="2" operator="lessThan">
      <formula>90000</formula>
    </cfRule>
    <cfRule type="cellIs" dxfId="1" priority="3" operator="greaterThan">
      <formula>90000</formula>
    </cfRule>
  </conditionalFormatting>
  <conditionalFormatting sqref="D25:J34">
    <cfRule type="cellIs" dxfId="0" priority="1" operator="lessThan">
      <formula>0.06</formula>
    </cfRule>
  </conditionalFormatting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0A27B-9FC6-4718-8D33-EDAA55227ED1}">
  <sheetPr>
    <tabColor theme="2" tint="-0.89999084444715716"/>
  </sheetPr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823E5-8081-4FB7-AB16-5937E57EAFB1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Financial analysis basic</vt:lpstr>
      <vt:lpstr>Financial analysis advanced</vt:lpstr>
      <vt:lpstr>extra data&gt;&gt;</vt:lpstr>
      <vt:lpstr>Research</vt:lpstr>
      <vt:lpstr>Gross_Profit</vt:lpstr>
      <vt:lpstr>Sensitivity</vt:lpstr>
      <vt:lpstr>SG_A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doncy</dc:creator>
  <cp:lastModifiedBy>john doncy</cp:lastModifiedBy>
  <dcterms:created xsi:type="dcterms:W3CDTF">2015-06-05T18:17:20Z</dcterms:created>
  <dcterms:modified xsi:type="dcterms:W3CDTF">2022-01-06T15:52:01Z</dcterms:modified>
</cp:coreProperties>
</file>