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tmp\samm\Supporting Resources\v2.0\toolbox\"/>
    </mc:Choice>
  </mc:AlternateContent>
  <bookViews>
    <workbookView xWindow="7035" yWindow="-27960" windowWidth="36435" windowHeight="20535" activeTab="1"/>
  </bookViews>
  <sheets>
    <sheet name="Attribution and License" sheetId="8" r:id="rId1"/>
    <sheet name="Interview" sheetId="2" r:id="rId2"/>
    <sheet name="Scorecard" sheetId="3" r:id="rId3"/>
    <sheet name="Roadmap" sheetId="13" r:id="rId4"/>
    <sheet name="Roadmap Chart" sheetId="5" r:id="rId5"/>
    <sheet name="Lookups" sheetId="4" state="hidden" r:id="rId6"/>
    <sheet name="imp-questions" sheetId="11" state="hidden" r:id="rId7"/>
    <sheet name="imp-answers" sheetId="10" state="hidden" r:id="rId8"/>
    <sheet name="Background Images" sheetId="7" state="hidden" r:id="rId9"/>
  </sheets>
  <definedNames>
    <definedName name="_xlnm._FilterDatabase" localSheetId="6" hidden="1">'imp-questions'!$A$1:$H$91</definedName>
    <definedName name="AndPTBL">Lookups!$P$94:$Q$97</definedName>
    <definedName name="AnsA">Lookups!$P$4:$P$7</definedName>
    <definedName name="AnsATBL">Lookups!$P$4:$Q$7</definedName>
    <definedName name="AnsB">Lookups!$P$10:$P$13</definedName>
    <definedName name="AnsBTBL">Lookups!$P$10:$Q$13</definedName>
    <definedName name="AnsC">Lookups!$P$16:$P$19</definedName>
    <definedName name="AnsCTBL">Lookups!$P$16:$Q$19</definedName>
    <definedName name="AnsD">Lookups!$P$22:$P$25</definedName>
    <definedName name="AnsDTBL">Lookups!$P$22:$Q$25</definedName>
    <definedName name="AnsE">Lookups!$P$28:$P$31</definedName>
    <definedName name="AnsETBL">Lookups!$P$28:$Q$31</definedName>
    <definedName name="AnsF">Lookups!$P$34:$P$37</definedName>
    <definedName name="AnsFTBL">Lookups!$P$34:$Q$37</definedName>
    <definedName name="AnsG">Lookups!$P$40:$P$43</definedName>
    <definedName name="AnsGTBL">Lookups!$P$40:$Q$43</definedName>
    <definedName name="AnsH">Lookups!$P$46:$P$49</definedName>
    <definedName name="AnsHTBL">Lookups!$P$46:$Q$49</definedName>
    <definedName name="AnsI">Lookups!$P$52:$P$55</definedName>
    <definedName name="AnsITBL">Lookups!$P$52:$Q$55</definedName>
    <definedName name="AnsJ">Lookups!$P$58:$P$61</definedName>
    <definedName name="AnsJTBL">Lookups!$P$58:$Q$61</definedName>
    <definedName name="AnsK">Lookups!$P$64:$P$67</definedName>
    <definedName name="AnsKTBL">Lookups!$P$64:$Q$67</definedName>
    <definedName name="AnsL">Lookups!$P$70:$P$73</definedName>
    <definedName name="AnsLTBL">Lookups!$P$70:$Q$73</definedName>
    <definedName name="AnsM">Lookups!$P$76:$P$79</definedName>
    <definedName name="AnsMTBL">Lookups!$P$76:$Q$79</definedName>
    <definedName name="AnsN">Lookups!$P$82:$P$85</definedName>
    <definedName name="AnsNTBL">Lookups!$P$82:$Q$85</definedName>
    <definedName name="AnsO">Lookups!$P$88:$P$91</definedName>
    <definedName name="AnsOTBL">Lookups!$P$88:$Q$91</definedName>
    <definedName name="AnsP">Lookups!$P$94:$P$97</definedName>
    <definedName name="AnsPTBL">Lookups!$P$94:$Q$97</definedName>
    <definedName name="AnsQ">Lookups!$P$100:$P$103</definedName>
    <definedName name="AnsQTBL">Lookups!$P$100:$Q$103</definedName>
    <definedName name="AnsR">Lookups!$P$106:$P$109</definedName>
    <definedName name="AnsRTBL">Lookups!$P$106:$Q$109</definedName>
    <definedName name="AnsS">Lookups!$P$112:$P$115</definedName>
    <definedName name="AnsSTBL">Lookups!$P$112:$Q$115</definedName>
    <definedName name="AnswerA">Lookups!$J$4:$J$7</definedName>
    <definedName name="AnswerATBL">Lookups!$J$4:$K$7</definedName>
    <definedName name="AnswerB">Lookups!$J$9:$J$12</definedName>
    <definedName name="AnswerBTBL">Lookups!$J$9:$K$12</definedName>
    <definedName name="AnswerC">Lookups!$J$14:$J$17</definedName>
    <definedName name="AnswerCTBL">Lookups!$J$14:$K$17</definedName>
    <definedName name="AnswerD">Lookups!$J$19:$J$22</definedName>
    <definedName name="AnswerDTBL">Lookups!$J$19:$K$22</definedName>
    <definedName name="AnswerE">Lookups!$J$24:$J$27</definedName>
    <definedName name="AnswerETBL">Lookups!$J$24:$K$27</definedName>
    <definedName name="AnswerF">Lookups!$J$29:$J$32</definedName>
    <definedName name="AnswerFTBL">Lookups!$J$29:$K$32</definedName>
    <definedName name="AnswerG">Lookups!$J$34:$J$37</definedName>
    <definedName name="AnswerGTBL">Lookups!$J$34:$K$37</definedName>
    <definedName name="AnswerH">Lookups!$J$39:$J$42</definedName>
    <definedName name="AnswerHTBL">Lookups!$J$39:$K$42</definedName>
    <definedName name="_xlnm.Print_Area" localSheetId="4">'Roadmap Chart'!$L$3:$W$108</definedName>
    <definedName name="Z_9846C184_355C_EA4B_8C35_9561D1AEE31C_.wvu.Cols" localSheetId="2" hidden="1">Scorecard!$G:$G</definedName>
    <definedName name="Z_9846C184_355C_EA4B_8C35_9561D1AEE31C_.wvu.PrintArea" localSheetId="4" hidden="1">'Roadmap Chart'!$L$3:$W$108</definedName>
    <definedName name="Z_9846C184_355C_EA4B_8C35_9561D1AEE31C_.wvu.Rows" localSheetId="1" hidden="1">Interview!$1:$1</definedName>
    <definedName name="Z_9846C184_355C_EA4B_8C35_9561D1AEE31C_.wvu.Rows" localSheetId="3" hidden="1">Roadmap!$1:$1</definedName>
  </definedNames>
  <calcPr calcId="162913"/>
  <customWorkbookViews>
    <customWorkbookView name="Default" guid="{9846C184-355C-EA4B-8C35-9561D1AEE31C}" maximized="1" windowWidth="1436" windowHeight="704" activeSheetId="9"/>
  </customWorkbookViews>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B8" i="5" l="1"/>
  <c r="B7" i="5"/>
  <c r="B6" i="5"/>
  <c r="D14" i="13"/>
  <c r="D13" i="13"/>
  <c r="D12" i="13"/>
  <c r="D11" i="13"/>
  <c r="D10" i="13"/>
  <c r="C5" i="3"/>
  <c r="V98" i="13"/>
  <c r="R98" i="13"/>
  <c r="N98" i="13"/>
  <c r="J98" i="13"/>
  <c r="R80" i="13"/>
  <c r="N80" i="13"/>
  <c r="J80" i="13"/>
  <c r="V33" i="13"/>
  <c r="V32" i="13"/>
  <c r="R33" i="13"/>
  <c r="R32" i="13"/>
  <c r="N33" i="13"/>
  <c r="N32" i="13"/>
  <c r="V24" i="13"/>
  <c r="R24" i="13"/>
  <c r="N24" i="13"/>
  <c r="N18" i="13"/>
  <c r="J18" i="13"/>
  <c r="Z20" i="5" l="1"/>
  <c r="Z19" i="5"/>
  <c r="Z18" i="5"/>
  <c r="I98" i="3" l="1"/>
  <c r="I97" i="3"/>
  <c r="I96" i="3"/>
  <c r="I95" i="3"/>
  <c r="I94" i="3"/>
  <c r="I77" i="3"/>
  <c r="I76" i="3"/>
  <c r="I75" i="3"/>
  <c r="I74" i="3"/>
  <c r="I73" i="3"/>
  <c r="I58" i="3"/>
  <c r="I57" i="3"/>
  <c r="I56" i="3"/>
  <c r="I55" i="3"/>
  <c r="I54" i="3"/>
  <c r="Z93" i="3" l="1"/>
  <c r="Y93" i="3"/>
  <c r="X93" i="3"/>
  <c r="W93" i="3"/>
  <c r="V93" i="3"/>
  <c r="Z72" i="3"/>
  <c r="Y72" i="3"/>
  <c r="X72" i="3"/>
  <c r="W72" i="3"/>
  <c r="V72" i="3"/>
  <c r="Z53" i="3"/>
  <c r="Y53" i="3"/>
  <c r="X53" i="3"/>
  <c r="W53" i="3"/>
  <c r="V53" i="3"/>
  <c r="Z33" i="3"/>
  <c r="Y33" i="3"/>
  <c r="X33" i="3"/>
  <c r="W33" i="3"/>
  <c r="V33" i="3"/>
  <c r="I38" i="3"/>
  <c r="I37" i="3"/>
  <c r="I36" i="3"/>
  <c r="I35" i="3"/>
  <c r="I34" i="3"/>
  <c r="U48" i="3"/>
  <c r="T48" i="3"/>
  <c r="U47" i="3"/>
  <c r="T47" i="3"/>
  <c r="U46" i="3"/>
  <c r="T46" i="3"/>
  <c r="U45" i="3"/>
  <c r="T45" i="3"/>
  <c r="U44" i="3"/>
  <c r="T44" i="3"/>
  <c r="U43" i="3"/>
  <c r="T43" i="3"/>
  <c r="U42" i="3"/>
  <c r="T42" i="3"/>
  <c r="U41" i="3"/>
  <c r="T41" i="3"/>
  <c r="U40" i="3"/>
  <c r="T40" i="3"/>
  <c r="U39" i="3"/>
  <c r="T39" i="3"/>
  <c r="U38" i="3"/>
  <c r="T38" i="3"/>
  <c r="U37" i="3"/>
  <c r="T37" i="3"/>
  <c r="U36" i="3"/>
  <c r="T36" i="3"/>
  <c r="U35" i="3"/>
  <c r="T35" i="3"/>
  <c r="U34" i="3"/>
  <c r="T34" i="3"/>
  <c r="U68" i="3"/>
  <c r="T68" i="3"/>
  <c r="U67" i="3"/>
  <c r="T67" i="3"/>
  <c r="U66" i="3"/>
  <c r="T66" i="3"/>
  <c r="U65" i="3"/>
  <c r="T65" i="3"/>
  <c r="U64" i="3"/>
  <c r="T64" i="3"/>
  <c r="U63" i="3"/>
  <c r="T63" i="3"/>
  <c r="U62" i="3"/>
  <c r="T62" i="3"/>
  <c r="U61" i="3"/>
  <c r="T61" i="3"/>
  <c r="U60" i="3"/>
  <c r="T60" i="3"/>
  <c r="U59" i="3"/>
  <c r="T59" i="3"/>
  <c r="U58" i="3"/>
  <c r="T58" i="3"/>
  <c r="U57" i="3"/>
  <c r="T57" i="3"/>
  <c r="U56" i="3"/>
  <c r="T56" i="3"/>
  <c r="U55" i="3"/>
  <c r="T55" i="3"/>
  <c r="U54" i="3"/>
  <c r="T54" i="3"/>
  <c r="U87" i="3"/>
  <c r="T87" i="3"/>
  <c r="U86" i="3"/>
  <c r="T86" i="3"/>
  <c r="U85" i="3"/>
  <c r="T85" i="3"/>
  <c r="U84" i="3"/>
  <c r="T84" i="3"/>
  <c r="U83" i="3"/>
  <c r="T83" i="3"/>
  <c r="U82" i="3"/>
  <c r="T82" i="3"/>
  <c r="U81" i="3"/>
  <c r="T81" i="3"/>
  <c r="U80" i="3"/>
  <c r="T80" i="3"/>
  <c r="U79" i="3"/>
  <c r="T79" i="3"/>
  <c r="U78" i="3"/>
  <c r="T78" i="3"/>
  <c r="U77" i="3"/>
  <c r="T77" i="3"/>
  <c r="U76" i="3"/>
  <c r="T76" i="3"/>
  <c r="U75" i="3"/>
  <c r="T75" i="3"/>
  <c r="U74" i="3"/>
  <c r="T74" i="3"/>
  <c r="U73" i="3"/>
  <c r="T73" i="3"/>
  <c r="U108" i="3"/>
  <c r="T108" i="3"/>
  <c r="U107" i="3"/>
  <c r="T107" i="3"/>
  <c r="U106" i="3"/>
  <c r="T106" i="3"/>
  <c r="U105" i="3"/>
  <c r="T105" i="3"/>
  <c r="U104" i="3"/>
  <c r="T104" i="3"/>
  <c r="U103" i="3"/>
  <c r="T103" i="3"/>
  <c r="U102" i="3"/>
  <c r="T102" i="3"/>
  <c r="U101" i="3"/>
  <c r="T101" i="3"/>
  <c r="U100" i="3"/>
  <c r="T100" i="3"/>
  <c r="U99" i="3"/>
  <c r="T99" i="3"/>
  <c r="U98" i="3"/>
  <c r="T98" i="3"/>
  <c r="U97" i="3"/>
  <c r="T97" i="3"/>
  <c r="U96" i="3"/>
  <c r="T96" i="3"/>
  <c r="U95" i="3"/>
  <c r="T95" i="3"/>
  <c r="U94" i="3"/>
  <c r="T94" i="3"/>
  <c r="B108" i="3"/>
  <c r="A108" i="3"/>
  <c r="B107" i="3"/>
  <c r="A107" i="3"/>
  <c r="B106" i="3"/>
  <c r="A106" i="3"/>
  <c r="B105" i="3"/>
  <c r="A105" i="3"/>
  <c r="B104" i="3"/>
  <c r="A104" i="3"/>
  <c r="B103" i="3"/>
  <c r="A103" i="3"/>
  <c r="B102" i="3"/>
  <c r="A102" i="3"/>
  <c r="B101" i="3"/>
  <c r="A101" i="3"/>
  <c r="B100" i="3"/>
  <c r="A100" i="3"/>
  <c r="B99" i="3"/>
  <c r="A99" i="3"/>
  <c r="B98" i="3"/>
  <c r="A98" i="3"/>
  <c r="B97" i="3"/>
  <c r="A97" i="3"/>
  <c r="B96" i="3"/>
  <c r="A96" i="3"/>
  <c r="B95" i="3"/>
  <c r="A95" i="3"/>
  <c r="B94" i="3"/>
  <c r="A94" i="3"/>
  <c r="B87" i="3"/>
  <c r="A87" i="3"/>
  <c r="B86" i="3"/>
  <c r="A86" i="3"/>
  <c r="B85" i="3"/>
  <c r="A85" i="3"/>
  <c r="B84" i="3"/>
  <c r="A84" i="3"/>
  <c r="B83" i="3"/>
  <c r="A83" i="3"/>
  <c r="B82" i="3"/>
  <c r="A82" i="3"/>
  <c r="B81" i="3"/>
  <c r="A81" i="3"/>
  <c r="B80" i="3"/>
  <c r="A80" i="3"/>
  <c r="B79" i="3"/>
  <c r="A79" i="3"/>
  <c r="B78" i="3"/>
  <c r="A78" i="3"/>
  <c r="B77" i="3"/>
  <c r="A77" i="3"/>
  <c r="B76" i="3"/>
  <c r="A76" i="3"/>
  <c r="B75" i="3"/>
  <c r="A75" i="3"/>
  <c r="B74" i="3"/>
  <c r="A74" i="3"/>
  <c r="B73" i="3"/>
  <c r="A73" i="3"/>
  <c r="B68" i="3"/>
  <c r="A68" i="3"/>
  <c r="B67" i="3"/>
  <c r="A67" i="3"/>
  <c r="B66" i="3"/>
  <c r="A66" i="3"/>
  <c r="B65" i="3"/>
  <c r="A65" i="3"/>
  <c r="B64" i="3"/>
  <c r="A64" i="3"/>
  <c r="B63" i="3"/>
  <c r="A63" i="3"/>
  <c r="B62" i="3"/>
  <c r="A62" i="3"/>
  <c r="B61" i="3"/>
  <c r="A61" i="3"/>
  <c r="B60" i="3"/>
  <c r="A60" i="3"/>
  <c r="B59" i="3"/>
  <c r="A59" i="3"/>
  <c r="B58" i="3"/>
  <c r="A58" i="3"/>
  <c r="B57" i="3"/>
  <c r="A57" i="3"/>
  <c r="B56" i="3"/>
  <c r="A56" i="3"/>
  <c r="B55" i="3"/>
  <c r="A55" i="3"/>
  <c r="B54" i="3"/>
  <c r="A54" i="3"/>
  <c r="B48" i="3"/>
  <c r="A48" i="3"/>
  <c r="B47" i="3"/>
  <c r="A47" i="3"/>
  <c r="B46" i="3"/>
  <c r="A46" i="3"/>
  <c r="B45" i="3"/>
  <c r="A45" i="3"/>
  <c r="B44" i="3"/>
  <c r="A44" i="3"/>
  <c r="B43" i="3"/>
  <c r="A43" i="3"/>
  <c r="B42" i="3"/>
  <c r="A42" i="3"/>
  <c r="B41" i="3"/>
  <c r="A41" i="3"/>
  <c r="B40" i="3"/>
  <c r="A40" i="3"/>
  <c r="B39" i="3"/>
  <c r="A39" i="3"/>
  <c r="B38" i="3"/>
  <c r="A38" i="3"/>
  <c r="B37" i="3"/>
  <c r="A37" i="3"/>
  <c r="B36" i="3"/>
  <c r="A36" i="3"/>
  <c r="B35" i="3"/>
  <c r="A35" i="3"/>
  <c r="B34" i="3"/>
  <c r="A34" i="3"/>
  <c r="W24" i="13"/>
  <c r="S33" i="13"/>
  <c r="W33" i="13"/>
  <c r="S32" i="13"/>
  <c r="S24" i="13"/>
  <c r="O98" i="13"/>
  <c r="O80" i="13"/>
  <c r="O33" i="13"/>
  <c r="O32" i="13"/>
  <c r="N29" i="13"/>
  <c r="R29" i="13" s="1"/>
  <c r="O24" i="13"/>
  <c r="O18" i="13"/>
  <c r="F154" i="13"/>
  <c r="G154" i="13" s="1"/>
  <c r="F153" i="13"/>
  <c r="J153" i="13" s="1"/>
  <c r="K153" i="13" s="1"/>
  <c r="F152" i="13"/>
  <c r="J152" i="13" s="1"/>
  <c r="K152" i="13" s="1"/>
  <c r="F150" i="13"/>
  <c r="J150" i="13" s="1"/>
  <c r="K150" i="13" s="1"/>
  <c r="F149" i="13"/>
  <c r="J149" i="13" s="1"/>
  <c r="K149" i="13" s="1"/>
  <c r="F148" i="13"/>
  <c r="J148" i="13" s="1"/>
  <c r="K148" i="13" s="1"/>
  <c r="F145" i="13"/>
  <c r="J145" i="13" s="1"/>
  <c r="K145" i="13" s="1"/>
  <c r="F144" i="13"/>
  <c r="G144" i="13" s="1"/>
  <c r="F143" i="13"/>
  <c r="G143" i="13" s="1"/>
  <c r="F141" i="13"/>
  <c r="G141" i="13" s="1"/>
  <c r="F140" i="13"/>
  <c r="J140" i="13" s="1"/>
  <c r="K140" i="13" s="1"/>
  <c r="F139" i="13"/>
  <c r="G139" i="13" s="1"/>
  <c r="F136" i="13"/>
  <c r="J136" i="13" s="1"/>
  <c r="K136" i="13" s="1"/>
  <c r="F135" i="13"/>
  <c r="G135" i="13" s="1"/>
  <c r="F134" i="13"/>
  <c r="J134" i="13" s="1"/>
  <c r="K134" i="13" s="1"/>
  <c r="F132" i="13"/>
  <c r="J132" i="13" s="1"/>
  <c r="K132" i="13" s="1"/>
  <c r="F131" i="13"/>
  <c r="J131" i="13" s="1"/>
  <c r="K131" i="13" s="1"/>
  <c r="F130" i="13"/>
  <c r="J130" i="13" s="1"/>
  <c r="K130" i="13" s="1"/>
  <c r="F126" i="13"/>
  <c r="J126" i="13" s="1"/>
  <c r="K126" i="13" s="1"/>
  <c r="F125" i="13"/>
  <c r="J125" i="13" s="1"/>
  <c r="K125" i="13" s="1"/>
  <c r="F124" i="13"/>
  <c r="J124" i="13" s="1"/>
  <c r="K124" i="13" s="1"/>
  <c r="F122" i="13"/>
  <c r="G122" i="13" s="1"/>
  <c r="F121" i="13"/>
  <c r="J121" i="13" s="1"/>
  <c r="K121" i="13" s="1"/>
  <c r="F120" i="13"/>
  <c r="J120" i="13" s="1"/>
  <c r="K120" i="13" s="1"/>
  <c r="F117" i="13"/>
  <c r="J117" i="13" s="1"/>
  <c r="K117" i="13" s="1"/>
  <c r="F116" i="13"/>
  <c r="J116" i="13" s="1"/>
  <c r="K116" i="13" s="1"/>
  <c r="F115" i="13"/>
  <c r="J115" i="13" s="1"/>
  <c r="K115" i="13" s="1"/>
  <c r="F113" i="13"/>
  <c r="J113" i="13" s="1"/>
  <c r="K113" i="13" s="1"/>
  <c r="F112" i="13"/>
  <c r="J112" i="13" s="1"/>
  <c r="K112" i="13" s="1"/>
  <c r="F111" i="13"/>
  <c r="J111" i="13" s="1"/>
  <c r="K111" i="13" s="1"/>
  <c r="F108" i="13"/>
  <c r="J108" i="13" s="1"/>
  <c r="K108" i="13" s="1"/>
  <c r="F107" i="13"/>
  <c r="J107" i="13" s="1"/>
  <c r="K107" i="13" s="1"/>
  <c r="F106" i="13"/>
  <c r="J106" i="13" s="1"/>
  <c r="K106" i="13" s="1"/>
  <c r="F104" i="13"/>
  <c r="G104" i="13" s="1"/>
  <c r="F103" i="13"/>
  <c r="J103" i="13" s="1"/>
  <c r="K103" i="13" s="1"/>
  <c r="F102" i="13"/>
  <c r="J102" i="13" s="1"/>
  <c r="K102" i="13" s="1"/>
  <c r="F98" i="13"/>
  <c r="K98" i="13" s="1"/>
  <c r="F97" i="13"/>
  <c r="J97" i="13" s="1"/>
  <c r="K97" i="13" s="1"/>
  <c r="F96" i="13"/>
  <c r="J96" i="13" s="1"/>
  <c r="K96" i="13" s="1"/>
  <c r="F94" i="13"/>
  <c r="G94" i="13" s="1"/>
  <c r="F93" i="13"/>
  <c r="J93" i="13" s="1"/>
  <c r="K93" i="13" s="1"/>
  <c r="F92" i="13"/>
  <c r="J92" i="13" s="1"/>
  <c r="K92" i="13" s="1"/>
  <c r="F89" i="13"/>
  <c r="J89" i="13" s="1"/>
  <c r="K89" i="13" s="1"/>
  <c r="F88" i="13"/>
  <c r="J88" i="13" s="1"/>
  <c r="K88" i="13" s="1"/>
  <c r="F87" i="13"/>
  <c r="J87" i="13" s="1"/>
  <c r="K87" i="13" s="1"/>
  <c r="F85" i="13"/>
  <c r="G85" i="13" s="1"/>
  <c r="F84" i="13"/>
  <c r="G84" i="13" s="1"/>
  <c r="F83" i="13"/>
  <c r="G83" i="13" s="1"/>
  <c r="F80" i="13"/>
  <c r="K80" i="13" s="1"/>
  <c r="F79" i="13"/>
  <c r="J79" i="13" s="1"/>
  <c r="K79" i="13" s="1"/>
  <c r="F78" i="13"/>
  <c r="J78" i="13" s="1"/>
  <c r="K78" i="13" s="1"/>
  <c r="F76" i="13"/>
  <c r="J76" i="13" s="1"/>
  <c r="K76" i="13" s="1"/>
  <c r="F75" i="13"/>
  <c r="J75" i="13" s="1"/>
  <c r="K75" i="13" s="1"/>
  <c r="F74" i="13"/>
  <c r="J74" i="13" s="1"/>
  <c r="K74" i="13" s="1"/>
  <c r="F70" i="13"/>
  <c r="J70" i="13" s="1"/>
  <c r="K70" i="13" s="1"/>
  <c r="F69" i="13"/>
  <c r="J69" i="13" s="1"/>
  <c r="K69" i="13" s="1"/>
  <c r="F68" i="13"/>
  <c r="J68" i="13" s="1"/>
  <c r="K68" i="13" s="1"/>
  <c r="F66" i="13"/>
  <c r="G66" i="13" s="1"/>
  <c r="F65" i="13"/>
  <c r="G65" i="13" s="1"/>
  <c r="F64" i="13"/>
  <c r="J64" i="13" s="1"/>
  <c r="K64" i="13" s="1"/>
  <c r="F61" i="13"/>
  <c r="J61" i="13" s="1"/>
  <c r="K61" i="13" s="1"/>
  <c r="F60" i="13"/>
  <c r="G60" i="13" s="1"/>
  <c r="F59" i="13"/>
  <c r="J59" i="13" s="1"/>
  <c r="K59" i="13" s="1"/>
  <c r="F57" i="13"/>
  <c r="J57" i="13" s="1"/>
  <c r="K57" i="13" s="1"/>
  <c r="F56" i="13"/>
  <c r="J56" i="13" s="1"/>
  <c r="K56" i="13" s="1"/>
  <c r="F55" i="13"/>
  <c r="G55" i="13" s="1"/>
  <c r="F52" i="13"/>
  <c r="J52" i="13" s="1"/>
  <c r="K52" i="13" s="1"/>
  <c r="F51" i="13"/>
  <c r="J51" i="13" s="1"/>
  <c r="K51" i="13" s="1"/>
  <c r="F50" i="13"/>
  <c r="G50" i="13" s="1"/>
  <c r="F48" i="13"/>
  <c r="J48" i="13" s="1"/>
  <c r="K48" i="13" s="1"/>
  <c r="F47" i="13"/>
  <c r="G47" i="13" s="1"/>
  <c r="F46" i="13"/>
  <c r="J46" i="13" s="1"/>
  <c r="K46" i="13" s="1"/>
  <c r="G186" i="2"/>
  <c r="F42" i="13"/>
  <c r="G42" i="13" s="1"/>
  <c r="F41" i="13"/>
  <c r="J41" i="13" s="1"/>
  <c r="K41" i="13" s="1"/>
  <c r="F40" i="13"/>
  <c r="J40" i="13" s="1"/>
  <c r="K40" i="13" s="1"/>
  <c r="F38" i="13"/>
  <c r="J38" i="13" s="1"/>
  <c r="K38" i="13" s="1"/>
  <c r="F37" i="13"/>
  <c r="G37" i="13" s="1"/>
  <c r="F36" i="13"/>
  <c r="J36" i="13" s="1"/>
  <c r="K36" i="13" s="1"/>
  <c r="F33" i="13"/>
  <c r="G33" i="13" s="1"/>
  <c r="F32" i="13"/>
  <c r="G32" i="13" s="1"/>
  <c r="F31" i="13"/>
  <c r="G31" i="13" s="1"/>
  <c r="F29" i="13"/>
  <c r="J29" i="13" s="1"/>
  <c r="K29" i="13" s="1"/>
  <c r="F28" i="13"/>
  <c r="J28" i="13" s="1"/>
  <c r="K28" i="13" s="1"/>
  <c r="F27" i="13"/>
  <c r="J27" i="13" s="1"/>
  <c r="K27" i="13" s="1"/>
  <c r="F24" i="13"/>
  <c r="J24" i="13" s="1"/>
  <c r="K24" i="13" s="1"/>
  <c r="F23" i="13"/>
  <c r="J23" i="13" s="1"/>
  <c r="K23" i="13" s="1"/>
  <c r="F22" i="13"/>
  <c r="J22" i="13" s="1"/>
  <c r="K22" i="13" s="1"/>
  <c r="F20" i="13"/>
  <c r="G20" i="13" s="1"/>
  <c r="F19" i="13"/>
  <c r="G19" i="13" s="1"/>
  <c r="F18" i="13"/>
  <c r="G18" i="13" s="1"/>
  <c r="A154" i="13"/>
  <c r="E154" i="13" s="1"/>
  <c r="A153" i="13"/>
  <c r="D153" i="13" s="1"/>
  <c r="A152" i="13"/>
  <c r="B152" i="13" s="1"/>
  <c r="A150" i="13"/>
  <c r="A149" i="13"/>
  <c r="A148" i="13"/>
  <c r="E148" i="13" s="1"/>
  <c r="A145" i="13"/>
  <c r="D145" i="13" s="1"/>
  <c r="A144" i="13"/>
  <c r="A143" i="13"/>
  <c r="E143" i="13" s="1"/>
  <c r="A141" i="13"/>
  <c r="C141" i="13" s="1"/>
  <c r="A140" i="13"/>
  <c r="E140" i="13" s="1"/>
  <c r="A139" i="13"/>
  <c r="D139" i="13" s="1"/>
  <c r="A136" i="13"/>
  <c r="A135" i="13"/>
  <c r="A134" i="13"/>
  <c r="E134" i="13" s="1"/>
  <c r="A132" i="13"/>
  <c r="D132" i="13" s="1"/>
  <c r="A131" i="13"/>
  <c r="C131" i="13" s="1"/>
  <c r="A130" i="13"/>
  <c r="A126" i="13"/>
  <c r="A125" i="13"/>
  <c r="A124" i="13"/>
  <c r="C124" i="13" s="1"/>
  <c r="A122" i="13"/>
  <c r="A121" i="13"/>
  <c r="C121" i="13" s="1"/>
  <c r="A120" i="13"/>
  <c r="A117" i="13"/>
  <c r="A116" i="13"/>
  <c r="D116" i="13" s="1"/>
  <c r="A115" i="13"/>
  <c r="B115" i="13" s="1"/>
  <c r="A113" i="13"/>
  <c r="A112" i="13"/>
  <c r="A111" i="13"/>
  <c r="E111" i="13" s="1"/>
  <c r="A108" i="13"/>
  <c r="E108" i="13" s="1"/>
  <c r="A107" i="13"/>
  <c r="A106" i="13"/>
  <c r="C106" i="13" s="1"/>
  <c r="A104" i="13"/>
  <c r="A103" i="13"/>
  <c r="A102" i="13"/>
  <c r="A98" i="13"/>
  <c r="E98" i="13" s="1"/>
  <c r="A97" i="13"/>
  <c r="A96" i="13"/>
  <c r="A94" i="13"/>
  <c r="E94" i="13" s="1"/>
  <c r="A93" i="13"/>
  <c r="A92" i="13"/>
  <c r="C92" i="13" s="1"/>
  <c r="A89" i="13"/>
  <c r="C89" i="13" s="1"/>
  <c r="A88" i="13"/>
  <c r="A87" i="13"/>
  <c r="A85" i="13"/>
  <c r="E85" i="13" s="1"/>
  <c r="A84" i="13"/>
  <c r="D84" i="13" s="1"/>
  <c r="A83" i="13"/>
  <c r="A80" i="13"/>
  <c r="A79" i="13"/>
  <c r="E79" i="13" s="1"/>
  <c r="A78" i="13"/>
  <c r="E78" i="13" s="1"/>
  <c r="A76" i="13"/>
  <c r="A75" i="13"/>
  <c r="A74" i="13"/>
  <c r="A70" i="13"/>
  <c r="E70" i="13" s="1"/>
  <c r="A69" i="13"/>
  <c r="A68" i="13"/>
  <c r="D68" i="13" s="1"/>
  <c r="A66" i="13"/>
  <c r="C66" i="13" s="1"/>
  <c r="A65" i="13"/>
  <c r="A64" i="13"/>
  <c r="A61" i="13"/>
  <c r="E61" i="13" s="1"/>
  <c r="A60" i="13"/>
  <c r="E60" i="13" s="1"/>
  <c r="A59" i="13"/>
  <c r="B59" i="13" s="1"/>
  <c r="A57" i="13"/>
  <c r="E57" i="13" s="1"/>
  <c r="A56" i="13"/>
  <c r="A55" i="13"/>
  <c r="E55" i="13" s="1"/>
  <c r="A52" i="13"/>
  <c r="E52" i="13" s="1"/>
  <c r="A51" i="13"/>
  <c r="E51" i="13" s="1"/>
  <c r="A50" i="13"/>
  <c r="D50" i="13" s="1"/>
  <c r="A48" i="13"/>
  <c r="A47" i="13"/>
  <c r="D47" i="13" s="1"/>
  <c r="A46" i="13"/>
  <c r="B46" i="13" s="1"/>
  <c r="A42" i="13"/>
  <c r="C42" i="13" s="1"/>
  <c r="A41" i="13"/>
  <c r="A40" i="13"/>
  <c r="A38" i="13"/>
  <c r="E38" i="13" s="1"/>
  <c r="A37" i="13"/>
  <c r="A36" i="13"/>
  <c r="B36" i="13" s="1"/>
  <c r="A33" i="13"/>
  <c r="A32" i="13"/>
  <c r="D32" i="13" s="1"/>
  <c r="A31" i="13"/>
  <c r="D31" i="13" s="1"/>
  <c r="A29" i="13"/>
  <c r="E29" i="13" s="1"/>
  <c r="A28" i="13"/>
  <c r="E28" i="13" s="1"/>
  <c r="A27" i="13"/>
  <c r="D27" i="13" s="1"/>
  <c r="A24" i="13"/>
  <c r="E24" i="13" s="1"/>
  <c r="A23" i="13"/>
  <c r="A22" i="13"/>
  <c r="E22" i="13" s="1"/>
  <c r="A20" i="13"/>
  <c r="D20" i="13" s="1"/>
  <c r="A19" i="13"/>
  <c r="A18" i="13"/>
  <c r="G153" i="13"/>
  <c r="G152" i="13"/>
  <c r="G150" i="13"/>
  <c r="G149" i="13"/>
  <c r="G148" i="13"/>
  <c r="C148" i="13"/>
  <c r="G145" i="13"/>
  <c r="E145" i="13"/>
  <c r="C145" i="13"/>
  <c r="E144" i="13"/>
  <c r="C144" i="13"/>
  <c r="D140" i="13"/>
  <c r="G136" i="13"/>
  <c r="G132" i="13"/>
  <c r="E132" i="13"/>
  <c r="G131" i="13"/>
  <c r="G130" i="13"/>
  <c r="E130" i="13"/>
  <c r="D130" i="13"/>
  <c r="C130" i="13"/>
  <c r="B130" i="13"/>
  <c r="G125" i="13"/>
  <c r="G124" i="13"/>
  <c r="E124" i="13"/>
  <c r="D124" i="13"/>
  <c r="E122" i="13"/>
  <c r="D122" i="13"/>
  <c r="C122" i="13"/>
  <c r="G117" i="13"/>
  <c r="G116" i="13"/>
  <c r="G115" i="13"/>
  <c r="E113" i="13"/>
  <c r="C113" i="13"/>
  <c r="G112" i="13"/>
  <c r="G111" i="13"/>
  <c r="G108" i="13"/>
  <c r="D108" i="13"/>
  <c r="G107" i="13"/>
  <c r="G106" i="13"/>
  <c r="G97" i="13"/>
  <c r="G96" i="13"/>
  <c r="G93" i="13"/>
  <c r="E93" i="13"/>
  <c r="D93" i="13"/>
  <c r="C93" i="13"/>
  <c r="G92" i="13"/>
  <c r="G89" i="13"/>
  <c r="G87" i="13"/>
  <c r="E83" i="13"/>
  <c r="D83" i="13"/>
  <c r="C83" i="13"/>
  <c r="B83" i="13"/>
  <c r="G78" i="13"/>
  <c r="G75" i="13"/>
  <c r="E75" i="13"/>
  <c r="D75" i="13"/>
  <c r="C75" i="13"/>
  <c r="G70" i="13"/>
  <c r="E69" i="13"/>
  <c r="D69" i="13"/>
  <c r="C69" i="13"/>
  <c r="G68" i="13"/>
  <c r="G59" i="13"/>
  <c r="G57" i="13"/>
  <c r="G56" i="13"/>
  <c r="E56" i="13"/>
  <c r="D56" i="13"/>
  <c r="C56" i="13"/>
  <c r="G52" i="13"/>
  <c r="E46" i="13"/>
  <c r="D46" i="13"/>
  <c r="C46" i="13"/>
  <c r="G41" i="13"/>
  <c r="G40" i="13"/>
  <c r="E37" i="13"/>
  <c r="D37" i="13"/>
  <c r="C37" i="13"/>
  <c r="E32" i="13"/>
  <c r="C32" i="13"/>
  <c r="D29" i="13"/>
  <c r="C29" i="13"/>
  <c r="E20" i="13"/>
  <c r="A15" i="13"/>
  <c r="G38" i="13" l="1"/>
  <c r="H38" i="13" s="1"/>
  <c r="N153" i="13"/>
  <c r="N152" i="13"/>
  <c r="N150" i="13"/>
  <c r="N149" i="13"/>
  <c r="N148" i="13"/>
  <c r="N145" i="13"/>
  <c r="N140" i="13"/>
  <c r="N136" i="13"/>
  <c r="N134" i="13"/>
  <c r="G134" i="13"/>
  <c r="H130" i="13" s="1"/>
  <c r="N132" i="13"/>
  <c r="N131" i="13"/>
  <c r="N130" i="13"/>
  <c r="N126" i="13"/>
  <c r="G126" i="13"/>
  <c r="H122" i="13" s="1"/>
  <c r="N125" i="13"/>
  <c r="N124" i="13"/>
  <c r="N121" i="13"/>
  <c r="N120" i="13"/>
  <c r="N117" i="13"/>
  <c r="N116" i="13"/>
  <c r="N115" i="13"/>
  <c r="N113" i="13"/>
  <c r="N112" i="13"/>
  <c r="N111" i="13"/>
  <c r="N108" i="13"/>
  <c r="N107" i="13"/>
  <c r="N106" i="13"/>
  <c r="N103" i="13"/>
  <c r="N102" i="13"/>
  <c r="G98" i="13"/>
  <c r="N97" i="13"/>
  <c r="N96" i="13"/>
  <c r="N93" i="13"/>
  <c r="N92" i="13"/>
  <c r="N89" i="13"/>
  <c r="N88" i="13"/>
  <c r="G88" i="13"/>
  <c r="N87" i="13"/>
  <c r="G79" i="13"/>
  <c r="H75" i="13" s="1"/>
  <c r="N79" i="13"/>
  <c r="N78" i="13"/>
  <c r="N70" i="13"/>
  <c r="N69" i="13"/>
  <c r="G69" i="13"/>
  <c r="N68" i="13"/>
  <c r="N64" i="13"/>
  <c r="G61" i="13"/>
  <c r="H57" i="13" s="1"/>
  <c r="N61" i="13"/>
  <c r="N59" i="13"/>
  <c r="N57" i="13"/>
  <c r="N56" i="13"/>
  <c r="N52" i="13"/>
  <c r="G51" i="13"/>
  <c r="N51" i="13"/>
  <c r="N48" i="13"/>
  <c r="N46" i="13"/>
  <c r="N41" i="13"/>
  <c r="N40" i="13"/>
  <c r="N38" i="13"/>
  <c r="G36" i="13"/>
  <c r="N36" i="13"/>
  <c r="V29" i="13"/>
  <c r="W29" i="13" s="1"/>
  <c r="S29" i="13"/>
  <c r="O29" i="13"/>
  <c r="G29" i="13"/>
  <c r="H29" i="13" s="1"/>
  <c r="N28" i="13"/>
  <c r="G28" i="13"/>
  <c r="H28" i="13" s="1"/>
  <c r="N27" i="13"/>
  <c r="G27" i="13"/>
  <c r="G23" i="13"/>
  <c r="N23" i="13"/>
  <c r="G22" i="13"/>
  <c r="N22" i="13"/>
  <c r="N76" i="13"/>
  <c r="N75" i="13"/>
  <c r="X29" i="13"/>
  <c r="F95" i="3" s="1"/>
  <c r="P29" i="13"/>
  <c r="F55" i="3" s="1"/>
  <c r="T29" i="13"/>
  <c r="F74" i="3" s="1"/>
  <c r="W32" i="13"/>
  <c r="G74" i="13"/>
  <c r="H74" i="13" s="1"/>
  <c r="N74" i="13"/>
  <c r="R18" i="13"/>
  <c r="G113" i="13"/>
  <c r="H113" i="13" s="1"/>
  <c r="E106" i="13"/>
  <c r="G24" i="13"/>
  <c r="H20" i="13" s="1"/>
  <c r="C108" i="13"/>
  <c r="C68" i="13"/>
  <c r="E68" i="13"/>
  <c r="G76" i="13"/>
  <c r="B124" i="13"/>
  <c r="E50" i="13"/>
  <c r="C20" i="13"/>
  <c r="C132" i="13"/>
  <c r="G80" i="13"/>
  <c r="G140" i="13"/>
  <c r="H140" i="13" s="1"/>
  <c r="G64" i="13"/>
  <c r="H64" i="13" s="1"/>
  <c r="C152" i="13"/>
  <c r="J104" i="13"/>
  <c r="J122" i="13"/>
  <c r="D42" i="13"/>
  <c r="C61" i="13"/>
  <c r="D61" i="13"/>
  <c r="J141" i="13"/>
  <c r="G48" i="13"/>
  <c r="H48" i="13" s="1"/>
  <c r="D106" i="13"/>
  <c r="J143" i="13"/>
  <c r="J47" i="13"/>
  <c r="J65" i="13"/>
  <c r="J84" i="13"/>
  <c r="G46" i="13"/>
  <c r="H46" i="13" s="1"/>
  <c r="E153" i="13"/>
  <c r="J31" i="13"/>
  <c r="J66" i="13"/>
  <c r="J85" i="13"/>
  <c r="J144" i="13"/>
  <c r="D59" i="13"/>
  <c r="C116" i="13"/>
  <c r="J32" i="13"/>
  <c r="K32" i="13" s="1"/>
  <c r="L28" i="13" s="1"/>
  <c r="E35" i="3" s="1"/>
  <c r="J50" i="13"/>
  <c r="J33" i="13"/>
  <c r="K33" i="13" s="1"/>
  <c r="L29" i="13" s="1"/>
  <c r="F35" i="3" s="1"/>
  <c r="E116" i="13"/>
  <c r="J19" i="13"/>
  <c r="C59" i="13"/>
  <c r="C60" i="13"/>
  <c r="B134" i="13"/>
  <c r="J55" i="13"/>
  <c r="E59" i="13"/>
  <c r="H92" i="13"/>
  <c r="C134" i="13"/>
  <c r="J20" i="13"/>
  <c r="J37" i="13"/>
  <c r="J83" i="13"/>
  <c r="H104" i="13"/>
  <c r="G120" i="13"/>
  <c r="H120" i="13" s="1"/>
  <c r="D134" i="13"/>
  <c r="J94" i="13"/>
  <c r="J135" i="13"/>
  <c r="G121" i="13"/>
  <c r="H121" i="13" s="1"/>
  <c r="J154" i="13"/>
  <c r="G102" i="13"/>
  <c r="H102" i="13" s="1"/>
  <c r="H149" i="13"/>
  <c r="J60" i="13"/>
  <c r="J139" i="13"/>
  <c r="G103" i="13"/>
  <c r="H103" i="13" s="1"/>
  <c r="J42" i="13"/>
  <c r="L130" i="13"/>
  <c r="D46" i="3" s="1"/>
  <c r="L111" i="13"/>
  <c r="D44" i="3" s="1"/>
  <c r="L112" i="13"/>
  <c r="E44" i="3" s="1"/>
  <c r="L113" i="13"/>
  <c r="F44" i="3" s="1"/>
  <c r="L93" i="13"/>
  <c r="E42" i="3" s="1"/>
  <c r="L64" i="13"/>
  <c r="D39" i="3" s="1"/>
  <c r="K18" i="13"/>
  <c r="L18" i="13" s="1"/>
  <c r="D34" i="3" s="1"/>
  <c r="L149" i="13"/>
  <c r="E48" i="3" s="1"/>
  <c r="L148" i="13"/>
  <c r="D48" i="3" s="1"/>
  <c r="L120" i="13"/>
  <c r="D45" i="3" s="1"/>
  <c r="L92" i="13"/>
  <c r="D42" i="3" s="1"/>
  <c r="L76" i="13"/>
  <c r="F40" i="3" s="1"/>
  <c r="L57" i="13"/>
  <c r="F38" i="3" s="1"/>
  <c r="L48" i="13"/>
  <c r="F37" i="3" s="1"/>
  <c r="L36" i="13"/>
  <c r="D36" i="3" s="1"/>
  <c r="L132" i="13"/>
  <c r="F46" i="3" s="1"/>
  <c r="L102" i="13"/>
  <c r="D43" i="3" s="1"/>
  <c r="L103" i="13"/>
  <c r="E43" i="3" s="1"/>
  <c r="L74" i="13"/>
  <c r="D40" i="3" s="1"/>
  <c r="L75" i="13"/>
  <c r="E40" i="3" s="1"/>
  <c r="L121" i="13"/>
  <c r="E45" i="3" s="1"/>
  <c r="H150" i="13"/>
  <c r="H148" i="13"/>
  <c r="H141" i="13"/>
  <c r="H139" i="13"/>
  <c r="H132" i="13"/>
  <c r="H131" i="13"/>
  <c r="H112" i="13"/>
  <c r="H111" i="13"/>
  <c r="H94" i="13"/>
  <c r="H93" i="13"/>
  <c r="H85" i="13"/>
  <c r="H84" i="13"/>
  <c r="H83" i="13"/>
  <c r="H66" i="13"/>
  <c r="H65" i="13"/>
  <c r="H56" i="13"/>
  <c r="H55" i="13"/>
  <c r="H47" i="13"/>
  <c r="C153" i="13"/>
  <c r="C140" i="13"/>
  <c r="B27" i="13"/>
  <c r="C27" i="13"/>
  <c r="D121" i="13"/>
  <c r="B148" i="13"/>
  <c r="D148" i="13"/>
  <c r="C52" i="13"/>
  <c r="C85" i="13"/>
  <c r="D85" i="13"/>
  <c r="C98" i="13"/>
  <c r="D98" i="13"/>
  <c r="D52" i="13"/>
  <c r="D92" i="13"/>
  <c r="C107" i="13"/>
  <c r="C115" i="13"/>
  <c r="E92" i="13"/>
  <c r="E76" i="13"/>
  <c r="E84" i="13"/>
  <c r="E107" i="13"/>
  <c r="C76" i="13"/>
  <c r="C154" i="13"/>
  <c r="C51" i="13"/>
  <c r="D154" i="13"/>
  <c r="E42" i="13"/>
  <c r="D51" i="13"/>
  <c r="D131" i="13"/>
  <c r="C139" i="13"/>
  <c r="D60" i="13"/>
  <c r="B68" i="13"/>
  <c r="D115" i="13"/>
  <c r="E121" i="13"/>
  <c r="E131" i="13"/>
  <c r="D152" i="13"/>
  <c r="B92" i="13"/>
  <c r="E115" i="13"/>
  <c r="C136" i="13"/>
  <c r="E152" i="13"/>
  <c r="C97" i="13"/>
  <c r="D136" i="13"/>
  <c r="D97" i="13"/>
  <c r="E136" i="13"/>
  <c r="E97" i="13"/>
  <c r="B139" i="13"/>
  <c r="D76" i="13"/>
  <c r="D107" i="13"/>
  <c r="D113" i="13"/>
  <c r="E139" i="13"/>
  <c r="D144" i="13"/>
  <c r="D66" i="13"/>
  <c r="C84" i="13"/>
  <c r="D89" i="13"/>
  <c r="E66" i="13"/>
  <c r="E89" i="13"/>
  <c r="C36" i="13"/>
  <c r="D36" i="13"/>
  <c r="E36" i="13"/>
  <c r="B106" i="13"/>
  <c r="B111" i="13"/>
  <c r="C38" i="13"/>
  <c r="C94" i="13"/>
  <c r="C111" i="13"/>
  <c r="B40" i="13"/>
  <c r="D70" i="13"/>
  <c r="C103" i="13"/>
  <c r="D111" i="13"/>
  <c r="D38" i="13"/>
  <c r="C70" i="13"/>
  <c r="C40" i="13"/>
  <c r="C64" i="13"/>
  <c r="C87" i="13"/>
  <c r="E103" i="13"/>
  <c r="B64" i="13"/>
  <c r="D103" i="13"/>
  <c r="D40" i="13"/>
  <c r="E40" i="13"/>
  <c r="C48" i="13"/>
  <c r="D64" i="13"/>
  <c r="C79" i="13"/>
  <c r="D87" i="13"/>
  <c r="B87" i="13"/>
  <c r="D48" i="13"/>
  <c r="E64" i="13"/>
  <c r="D79" i="13"/>
  <c r="E87" i="13"/>
  <c r="C24" i="13"/>
  <c r="D24" i="13"/>
  <c r="E48" i="13"/>
  <c r="D28" i="13"/>
  <c r="C28" i="13"/>
  <c r="B22" i="13"/>
  <c r="C22" i="13"/>
  <c r="D22" i="13"/>
  <c r="C65" i="13"/>
  <c r="C80" i="13"/>
  <c r="E18" i="13"/>
  <c r="C41" i="13"/>
  <c r="C57" i="13"/>
  <c r="D65" i="13"/>
  <c r="D80" i="13"/>
  <c r="C104" i="13"/>
  <c r="C126" i="13"/>
  <c r="D141" i="13"/>
  <c r="D18" i="13"/>
  <c r="E27" i="13"/>
  <c r="D41" i="13"/>
  <c r="D57" i="13"/>
  <c r="E65" i="13"/>
  <c r="B74" i="13"/>
  <c r="E80" i="13"/>
  <c r="D104" i="13"/>
  <c r="B120" i="13"/>
  <c r="D126" i="13"/>
  <c r="E141" i="13"/>
  <c r="C74" i="13"/>
  <c r="C88" i="13"/>
  <c r="B96" i="13"/>
  <c r="E104" i="13"/>
  <c r="C120" i="13"/>
  <c r="E126" i="13"/>
  <c r="C150" i="13"/>
  <c r="C33" i="13"/>
  <c r="D19" i="13"/>
  <c r="D120" i="13"/>
  <c r="C135" i="13"/>
  <c r="B143" i="13"/>
  <c r="D150" i="13"/>
  <c r="B18" i="13"/>
  <c r="C19" i="13"/>
  <c r="E41" i="13"/>
  <c r="D33" i="13"/>
  <c r="D74" i="13"/>
  <c r="D88" i="13"/>
  <c r="C96" i="13"/>
  <c r="C112" i="13"/>
  <c r="E19" i="13"/>
  <c r="E33" i="13"/>
  <c r="E74" i="13"/>
  <c r="E88" i="13"/>
  <c r="D96" i="13"/>
  <c r="D112" i="13"/>
  <c r="E120" i="13"/>
  <c r="D135" i="13"/>
  <c r="C143" i="13"/>
  <c r="E150" i="13"/>
  <c r="E96" i="13"/>
  <c r="E112" i="13"/>
  <c r="E135" i="13"/>
  <c r="D143" i="13"/>
  <c r="B50" i="13"/>
  <c r="C18" i="13"/>
  <c r="C50" i="13"/>
  <c r="E47" i="13"/>
  <c r="C31" i="13"/>
  <c r="C149" i="13"/>
  <c r="B31" i="13"/>
  <c r="C117" i="13"/>
  <c r="D149" i="13"/>
  <c r="C23" i="13"/>
  <c r="E31" i="13"/>
  <c r="B102" i="13"/>
  <c r="D117" i="13"/>
  <c r="E149" i="13"/>
  <c r="D23" i="13"/>
  <c r="C102" i="13"/>
  <c r="E117" i="13"/>
  <c r="E23" i="13"/>
  <c r="B55" i="13"/>
  <c r="D102" i="13"/>
  <c r="C125" i="13"/>
  <c r="E102" i="13"/>
  <c r="D125" i="13"/>
  <c r="C55" i="13"/>
  <c r="D55" i="13"/>
  <c r="B78" i="13"/>
  <c r="D94" i="13"/>
  <c r="E125" i="13"/>
  <c r="A16" i="13"/>
  <c r="A14" i="13" s="1"/>
  <c r="C47" i="13"/>
  <c r="C78" i="13"/>
  <c r="D78" i="13"/>
  <c r="H27" i="13"/>
  <c r="H36" i="13"/>
  <c r="H18" i="13"/>
  <c r="H19" i="13"/>
  <c r="H37" i="13"/>
  <c r="B1" i="13"/>
  <c r="K154" i="13" l="1"/>
  <c r="L150" i="13" s="1"/>
  <c r="F48" i="3" s="1"/>
  <c r="N154" i="13"/>
  <c r="O153" i="13"/>
  <c r="R153" i="13"/>
  <c r="O152" i="13"/>
  <c r="R152" i="13"/>
  <c r="O150" i="13"/>
  <c r="R150" i="13"/>
  <c r="O149" i="13"/>
  <c r="P149" i="13" s="1"/>
  <c r="E68" i="3" s="1"/>
  <c r="R149" i="13"/>
  <c r="O148" i="13"/>
  <c r="R148" i="13"/>
  <c r="O145" i="13"/>
  <c r="R145" i="13"/>
  <c r="K144" i="13"/>
  <c r="L140" i="13" s="1"/>
  <c r="E47" i="3" s="1"/>
  <c r="N144" i="13"/>
  <c r="K143" i="13"/>
  <c r="N143" i="13"/>
  <c r="K141" i="13"/>
  <c r="L141" i="13" s="1"/>
  <c r="F47" i="3" s="1"/>
  <c r="N141" i="13"/>
  <c r="O140" i="13"/>
  <c r="R140" i="13"/>
  <c r="K139" i="13"/>
  <c r="N139" i="13"/>
  <c r="O136" i="13"/>
  <c r="R136" i="13"/>
  <c r="K135" i="13"/>
  <c r="L131" i="13" s="1"/>
  <c r="E46" i="3" s="1"/>
  <c r="N135" i="13"/>
  <c r="O134" i="13"/>
  <c r="R134" i="13"/>
  <c r="O132" i="13"/>
  <c r="P132" i="13" s="1"/>
  <c r="F66" i="3" s="1"/>
  <c r="R132" i="13"/>
  <c r="O131" i="13"/>
  <c r="R131" i="13"/>
  <c r="O130" i="13"/>
  <c r="R130" i="13"/>
  <c r="O126" i="13"/>
  <c r="R126" i="13"/>
  <c r="O125" i="13"/>
  <c r="R125" i="13"/>
  <c r="O124" i="13"/>
  <c r="R124" i="13"/>
  <c r="K122" i="13"/>
  <c r="L122" i="13" s="1"/>
  <c r="F45" i="3" s="1"/>
  <c r="N122" i="13"/>
  <c r="O121" i="13"/>
  <c r="P121" i="13" s="1"/>
  <c r="E65" i="3" s="1"/>
  <c r="R121" i="13"/>
  <c r="O120" i="13"/>
  <c r="P120" i="13" s="1"/>
  <c r="D65" i="3" s="1"/>
  <c r="R120" i="13"/>
  <c r="O117" i="13"/>
  <c r="R117" i="13"/>
  <c r="O116" i="13"/>
  <c r="R116" i="13"/>
  <c r="O115" i="13"/>
  <c r="R115" i="13"/>
  <c r="O113" i="13"/>
  <c r="P113" i="13" s="1"/>
  <c r="F64" i="3" s="1"/>
  <c r="R113" i="13"/>
  <c r="O112" i="13"/>
  <c r="R112" i="13"/>
  <c r="O111" i="13"/>
  <c r="P111" i="13" s="1"/>
  <c r="R111" i="13"/>
  <c r="O108" i="13"/>
  <c r="R108" i="13"/>
  <c r="O107" i="13"/>
  <c r="R107" i="13"/>
  <c r="O106" i="13"/>
  <c r="R106" i="13"/>
  <c r="K104" i="13"/>
  <c r="L104" i="13" s="1"/>
  <c r="F43" i="3" s="1"/>
  <c r="N104" i="13"/>
  <c r="O103" i="13"/>
  <c r="P103" i="13" s="1"/>
  <c r="E63" i="3" s="1"/>
  <c r="R103" i="13"/>
  <c r="O102" i="13"/>
  <c r="P102" i="13" s="1"/>
  <c r="R102" i="13"/>
  <c r="O97" i="13"/>
  <c r="R97" i="13"/>
  <c r="O96" i="13"/>
  <c r="R96" i="13"/>
  <c r="K94" i="13"/>
  <c r="L94" i="13" s="1"/>
  <c r="F42" i="3" s="1"/>
  <c r="N94" i="13"/>
  <c r="O93" i="13"/>
  <c r="P93" i="13" s="1"/>
  <c r="E62" i="3" s="1"/>
  <c r="R93" i="13"/>
  <c r="O92" i="13"/>
  <c r="R92" i="13"/>
  <c r="O89" i="13"/>
  <c r="R89" i="13"/>
  <c r="O88" i="13"/>
  <c r="R88" i="13"/>
  <c r="O87" i="13"/>
  <c r="R87" i="13"/>
  <c r="K85" i="13"/>
  <c r="L85" i="13" s="1"/>
  <c r="F41" i="3" s="1"/>
  <c r="N85" i="13"/>
  <c r="K84" i="13"/>
  <c r="L84" i="13" s="1"/>
  <c r="E41" i="3" s="1"/>
  <c r="N84" i="13"/>
  <c r="K83" i="13"/>
  <c r="L83" i="13" s="1"/>
  <c r="D41" i="3" s="1"/>
  <c r="N83" i="13"/>
  <c r="O79" i="13"/>
  <c r="R79" i="13"/>
  <c r="O78" i="13"/>
  <c r="R78" i="13"/>
  <c r="O70" i="13"/>
  <c r="R70" i="13"/>
  <c r="O69" i="13"/>
  <c r="R69" i="13"/>
  <c r="O68" i="13"/>
  <c r="R68" i="13"/>
  <c r="K66" i="13"/>
  <c r="L66" i="13" s="1"/>
  <c r="F39" i="3" s="1"/>
  <c r="N66" i="13"/>
  <c r="K65" i="13"/>
  <c r="L65" i="13" s="1"/>
  <c r="E39" i="3" s="1"/>
  <c r="N65" i="13"/>
  <c r="O64" i="13"/>
  <c r="P64" i="13" s="1"/>
  <c r="D59" i="3" s="1"/>
  <c r="R64" i="13"/>
  <c r="O61" i="13"/>
  <c r="R61" i="13"/>
  <c r="K60" i="13"/>
  <c r="L56" i="13" s="1"/>
  <c r="E38" i="3" s="1"/>
  <c r="N60" i="13"/>
  <c r="O59" i="13"/>
  <c r="R59" i="13"/>
  <c r="O57" i="13"/>
  <c r="R57" i="13"/>
  <c r="O56" i="13"/>
  <c r="R56" i="13"/>
  <c r="K55" i="13"/>
  <c r="L55" i="13" s="1"/>
  <c r="D38" i="3" s="1"/>
  <c r="N55" i="13"/>
  <c r="O52" i="13"/>
  <c r="R52" i="13"/>
  <c r="O51" i="13"/>
  <c r="R51" i="13"/>
  <c r="K50" i="13"/>
  <c r="L46" i="13" s="1"/>
  <c r="D37" i="3" s="1"/>
  <c r="N50" i="13"/>
  <c r="O48" i="13"/>
  <c r="P48" i="13" s="1"/>
  <c r="F57" i="3" s="1"/>
  <c r="R48" i="13"/>
  <c r="K47" i="13"/>
  <c r="L47" i="13" s="1"/>
  <c r="E37" i="3" s="1"/>
  <c r="N47" i="13"/>
  <c r="O46" i="13"/>
  <c r="R46" i="13"/>
  <c r="K42" i="13"/>
  <c r="L38" i="13" s="1"/>
  <c r="F36" i="3" s="1"/>
  <c r="N42" i="13"/>
  <c r="O41" i="13"/>
  <c r="R41" i="13"/>
  <c r="O40" i="13"/>
  <c r="R40" i="13"/>
  <c r="O38" i="13"/>
  <c r="R38" i="13"/>
  <c r="K37" i="13"/>
  <c r="L37" i="13" s="1"/>
  <c r="E36" i="3" s="1"/>
  <c r="N37" i="13"/>
  <c r="O36" i="13"/>
  <c r="R36" i="13"/>
  <c r="K31" i="13"/>
  <c r="L27" i="13" s="1"/>
  <c r="D35" i="3" s="1"/>
  <c r="N31" i="13"/>
  <c r="O28" i="13"/>
  <c r="P28" i="13" s="1"/>
  <c r="E55" i="3" s="1"/>
  <c r="R28" i="13"/>
  <c r="O27" i="13"/>
  <c r="R27" i="13"/>
  <c r="O23" i="13"/>
  <c r="R23" i="13"/>
  <c r="O22" i="13"/>
  <c r="P18" i="13" s="1"/>
  <c r="D54" i="3" s="1"/>
  <c r="R22" i="13"/>
  <c r="K20" i="13"/>
  <c r="L20" i="13" s="1"/>
  <c r="F34" i="3" s="1"/>
  <c r="N20" i="13"/>
  <c r="K19" i="13"/>
  <c r="L19" i="13" s="1"/>
  <c r="E34" i="3" s="1"/>
  <c r="N19" i="13"/>
  <c r="R76" i="13"/>
  <c r="O76" i="13"/>
  <c r="P76" i="13" s="1"/>
  <c r="F60" i="3" s="1"/>
  <c r="O75" i="13"/>
  <c r="P75" i="13" s="1"/>
  <c r="E60" i="3" s="1"/>
  <c r="R75" i="13"/>
  <c r="S80" i="13"/>
  <c r="V80" i="13"/>
  <c r="W80" i="13" s="1"/>
  <c r="O74" i="13"/>
  <c r="R74" i="13"/>
  <c r="S98" i="13"/>
  <c r="W98" i="13"/>
  <c r="S18" i="13"/>
  <c r="V18" i="13"/>
  <c r="W18" i="13" s="1"/>
  <c r="D63" i="3"/>
  <c r="H76" i="13"/>
  <c r="I74" i="13" s="1"/>
  <c r="I120" i="13"/>
  <c r="I83" i="13"/>
  <c r="I64" i="13"/>
  <c r="M111" i="13"/>
  <c r="L139" i="13"/>
  <c r="I102" i="13"/>
  <c r="I92" i="13"/>
  <c r="M148" i="13"/>
  <c r="M130" i="13"/>
  <c r="M120" i="13"/>
  <c r="M102" i="13"/>
  <c r="M74" i="13"/>
  <c r="I148" i="13"/>
  <c r="I139" i="13"/>
  <c r="I130" i="13"/>
  <c r="I111" i="13"/>
  <c r="I55" i="13"/>
  <c r="I46" i="13"/>
  <c r="I27" i="13"/>
  <c r="I18" i="13"/>
  <c r="I36" i="13"/>
  <c r="O154" i="13" l="1"/>
  <c r="P150" i="13" s="1"/>
  <c r="R154" i="13"/>
  <c r="S153" i="13"/>
  <c r="V153" i="13"/>
  <c r="W153" i="13" s="1"/>
  <c r="P148" i="13"/>
  <c r="D68" i="3" s="1"/>
  <c r="S152" i="13"/>
  <c r="V152" i="13"/>
  <c r="W152" i="13" s="1"/>
  <c r="S150" i="13"/>
  <c r="V150" i="13"/>
  <c r="W150" i="13" s="1"/>
  <c r="S149" i="13"/>
  <c r="T149" i="13" s="1"/>
  <c r="E87" i="3" s="1"/>
  <c r="V149" i="13"/>
  <c r="W149" i="13" s="1"/>
  <c r="X149" i="13" s="1"/>
  <c r="E108" i="3" s="1"/>
  <c r="C48" i="3"/>
  <c r="Z48" i="3" s="1"/>
  <c r="C26" i="5"/>
  <c r="S148" i="13"/>
  <c r="V148" i="13"/>
  <c r="W148" i="13" s="1"/>
  <c r="X148" i="13" s="1"/>
  <c r="V145" i="13"/>
  <c r="W145" i="13" s="1"/>
  <c r="S145" i="13"/>
  <c r="P140" i="13"/>
  <c r="E67" i="3" s="1"/>
  <c r="O144" i="13"/>
  <c r="R144" i="13"/>
  <c r="O143" i="13"/>
  <c r="R143" i="13"/>
  <c r="O141" i="13"/>
  <c r="P141" i="13" s="1"/>
  <c r="F67" i="3" s="1"/>
  <c r="R141" i="13"/>
  <c r="S140" i="13"/>
  <c r="V140" i="13"/>
  <c r="W140" i="13" s="1"/>
  <c r="O139" i="13"/>
  <c r="P139" i="13" s="1"/>
  <c r="R139" i="13"/>
  <c r="S136" i="13"/>
  <c r="V136" i="13"/>
  <c r="W136" i="13" s="1"/>
  <c r="O135" i="13"/>
  <c r="P131" i="13" s="1"/>
  <c r="R135" i="13"/>
  <c r="P130" i="13"/>
  <c r="D66" i="3" s="1"/>
  <c r="S134" i="13"/>
  <c r="V134" i="13"/>
  <c r="W134" i="13" s="1"/>
  <c r="S132" i="13"/>
  <c r="T132" i="13" s="1"/>
  <c r="F85" i="3" s="1"/>
  <c r="V132" i="13"/>
  <c r="W132" i="13" s="1"/>
  <c r="S131" i="13"/>
  <c r="V131" i="13"/>
  <c r="W131" i="13" s="1"/>
  <c r="S130" i="13"/>
  <c r="T130" i="13" s="1"/>
  <c r="V130" i="13"/>
  <c r="W130" i="13" s="1"/>
  <c r="X130" i="13" s="1"/>
  <c r="C46" i="3"/>
  <c r="C24" i="5"/>
  <c r="S126" i="13"/>
  <c r="V126" i="13"/>
  <c r="W126" i="13" s="1"/>
  <c r="S125" i="13"/>
  <c r="V125" i="13"/>
  <c r="W125" i="13" s="1"/>
  <c r="S124" i="13"/>
  <c r="V124" i="13"/>
  <c r="W124" i="13" s="1"/>
  <c r="O122" i="13"/>
  <c r="P122" i="13" s="1"/>
  <c r="R122" i="13"/>
  <c r="S121" i="13"/>
  <c r="T121" i="13" s="1"/>
  <c r="E84" i="3" s="1"/>
  <c r="V121" i="13"/>
  <c r="W121" i="13" s="1"/>
  <c r="X121" i="13" s="1"/>
  <c r="E105" i="3" s="1"/>
  <c r="S120" i="13"/>
  <c r="T120" i="13" s="1"/>
  <c r="V120" i="13"/>
  <c r="W120" i="13" s="1"/>
  <c r="X120" i="13" s="1"/>
  <c r="C45" i="3"/>
  <c r="Y45" i="3" s="1"/>
  <c r="C23" i="5"/>
  <c r="V117" i="13"/>
  <c r="W117" i="13" s="1"/>
  <c r="S117" i="13"/>
  <c r="P112" i="13"/>
  <c r="E64" i="3" s="1"/>
  <c r="S116" i="13"/>
  <c r="V116" i="13"/>
  <c r="W116" i="13" s="1"/>
  <c r="S115" i="13"/>
  <c r="V115" i="13"/>
  <c r="W115" i="13" s="1"/>
  <c r="V113" i="13"/>
  <c r="W113" i="13" s="1"/>
  <c r="S113" i="13"/>
  <c r="T113" i="13" s="1"/>
  <c r="F83" i="3" s="1"/>
  <c r="S112" i="13"/>
  <c r="T112" i="13" s="1"/>
  <c r="E83" i="3" s="1"/>
  <c r="V112" i="13"/>
  <c r="W112" i="13" s="1"/>
  <c r="X112" i="13" s="1"/>
  <c r="E104" i="3" s="1"/>
  <c r="C44" i="3"/>
  <c r="Y44" i="3" s="1"/>
  <c r="C22" i="5"/>
  <c r="S111" i="13"/>
  <c r="T111" i="13" s="1"/>
  <c r="V111" i="13"/>
  <c r="W111" i="13" s="1"/>
  <c r="X111" i="13" s="1"/>
  <c r="D64" i="3"/>
  <c r="Q111" i="13"/>
  <c r="S108" i="13"/>
  <c r="V108" i="13"/>
  <c r="W108" i="13" s="1"/>
  <c r="S107" i="13"/>
  <c r="V107" i="13"/>
  <c r="W107" i="13" s="1"/>
  <c r="V106" i="13"/>
  <c r="W106" i="13" s="1"/>
  <c r="S106" i="13"/>
  <c r="R104" i="13"/>
  <c r="O104" i="13"/>
  <c r="P104" i="13" s="1"/>
  <c r="F63" i="3" s="1"/>
  <c r="S103" i="13"/>
  <c r="T103" i="13" s="1"/>
  <c r="E82" i="3" s="1"/>
  <c r="V103" i="13"/>
  <c r="W103" i="13" s="1"/>
  <c r="X103" i="13" s="1"/>
  <c r="E103" i="3" s="1"/>
  <c r="C43" i="3"/>
  <c r="Y43" i="3" s="1"/>
  <c r="C21" i="5"/>
  <c r="S102" i="13"/>
  <c r="T102" i="13" s="1"/>
  <c r="V102" i="13"/>
  <c r="W102" i="13" s="1"/>
  <c r="S97" i="13"/>
  <c r="V97" i="13"/>
  <c r="W97" i="13" s="1"/>
  <c r="P92" i="13"/>
  <c r="D62" i="3" s="1"/>
  <c r="V96" i="13"/>
  <c r="W96" i="13" s="1"/>
  <c r="S96" i="13"/>
  <c r="M92" i="13"/>
  <c r="C20" i="5" s="1"/>
  <c r="O94" i="13"/>
  <c r="P94" i="13" s="1"/>
  <c r="F62" i="3" s="1"/>
  <c r="R94" i="13"/>
  <c r="S93" i="13"/>
  <c r="T93" i="13" s="1"/>
  <c r="E81" i="3" s="1"/>
  <c r="V93" i="13"/>
  <c r="W93" i="13" s="1"/>
  <c r="X93" i="13" s="1"/>
  <c r="E102" i="3" s="1"/>
  <c r="S92" i="13"/>
  <c r="T92" i="13" s="1"/>
  <c r="D81" i="3" s="1"/>
  <c r="V92" i="13"/>
  <c r="W92" i="13" s="1"/>
  <c r="V89" i="13"/>
  <c r="W89" i="13" s="1"/>
  <c r="S89" i="13"/>
  <c r="S88" i="13"/>
  <c r="V88" i="13"/>
  <c r="W88" i="13" s="1"/>
  <c r="S87" i="13"/>
  <c r="V87" i="13"/>
  <c r="W87" i="13" s="1"/>
  <c r="O85" i="13"/>
  <c r="P85" i="13" s="1"/>
  <c r="F61" i="3" s="1"/>
  <c r="R85" i="13"/>
  <c r="O84" i="13"/>
  <c r="P84" i="13" s="1"/>
  <c r="E61" i="3" s="1"/>
  <c r="R84" i="13"/>
  <c r="M83" i="13"/>
  <c r="O83" i="13"/>
  <c r="P83" i="13" s="1"/>
  <c r="R83" i="13"/>
  <c r="S79" i="13"/>
  <c r="V79" i="13"/>
  <c r="W79" i="13" s="1"/>
  <c r="P74" i="13"/>
  <c r="D60" i="3" s="1"/>
  <c r="S78" i="13"/>
  <c r="V78" i="13"/>
  <c r="W78" i="13" s="1"/>
  <c r="V70" i="13"/>
  <c r="W70" i="13" s="1"/>
  <c r="S70" i="13"/>
  <c r="S69" i="13"/>
  <c r="V69" i="13"/>
  <c r="W69" i="13" s="1"/>
  <c r="S68" i="13"/>
  <c r="V68" i="13"/>
  <c r="W68" i="13" s="1"/>
  <c r="M64" i="13"/>
  <c r="O66" i="13"/>
  <c r="P66" i="13" s="1"/>
  <c r="F59" i="3" s="1"/>
  <c r="R66" i="13"/>
  <c r="O65" i="13"/>
  <c r="P65" i="13" s="1"/>
  <c r="R65" i="13"/>
  <c r="C39" i="3"/>
  <c r="W39" i="3" s="1"/>
  <c r="C17" i="5"/>
  <c r="S64" i="13"/>
  <c r="V64" i="13"/>
  <c r="W64" i="13" s="1"/>
  <c r="X64" i="13" s="1"/>
  <c r="P57" i="13"/>
  <c r="F58" i="3" s="1"/>
  <c r="V61" i="13"/>
  <c r="W61" i="13" s="1"/>
  <c r="S61" i="13"/>
  <c r="P56" i="13"/>
  <c r="E58" i="3" s="1"/>
  <c r="M55" i="13"/>
  <c r="C16" i="5" s="1"/>
  <c r="O60" i="13"/>
  <c r="R60" i="13"/>
  <c r="S59" i="13"/>
  <c r="V59" i="13"/>
  <c r="W59" i="13" s="1"/>
  <c r="V57" i="13"/>
  <c r="W57" i="13" s="1"/>
  <c r="X57" i="13" s="1"/>
  <c r="F98" i="3" s="1"/>
  <c r="S57" i="13"/>
  <c r="T57" i="13" s="1"/>
  <c r="F77" i="3" s="1"/>
  <c r="S56" i="13"/>
  <c r="V56" i="13"/>
  <c r="W56" i="13" s="1"/>
  <c r="O55" i="13"/>
  <c r="P55" i="13" s="1"/>
  <c r="R55" i="13"/>
  <c r="S52" i="13"/>
  <c r="V52" i="13"/>
  <c r="W52" i="13" s="1"/>
  <c r="S51" i="13"/>
  <c r="V51" i="13"/>
  <c r="W51" i="13" s="1"/>
  <c r="M46" i="13"/>
  <c r="C37" i="3" s="1"/>
  <c r="W37" i="3" s="1"/>
  <c r="O50" i="13"/>
  <c r="P46" i="13" s="1"/>
  <c r="R50" i="13"/>
  <c r="S48" i="13"/>
  <c r="T48" i="13" s="1"/>
  <c r="F76" i="3" s="1"/>
  <c r="V48" i="13"/>
  <c r="W48" i="13" s="1"/>
  <c r="O47" i="13"/>
  <c r="P47" i="13" s="1"/>
  <c r="E57" i="3" s="1"/>
  <c r="R47" i="13"/>
  <c r="C15" i="5"/>
  <c r="S46" i="13"/>
  <c r="V46" i="13"/>
  <c r="W46" i="13" s="1"/>
  <c r="O42" i="13"/>
  <c r="P38" i="13" s="1"/>
  <c r="R42" i="13"/>
  <c r="S41" i="13"/>
  <c r="V41" i="13"/>
  <c r="W41" i="13" s="1"/>
  <c r="M36" i="13"/>
  <c r="C14" i="5" s="1"/>
  <c r="P36" i="13"/>
  <c r="D56" i="3" s="1"/>
  <c r="S40" i="13"/>
  <c r="V40" i="13"/>
  <c r="W40" i="13" s="1"/>
  <c r="S38" i="13"/>
  <c r="V38" i="13"/>
  <c r="W38" i="13" s="1"/>
  <c r="O37" i="13"/>
  <c r="P37" i="13" s="1"/>
  <c r="E56" i="3" s="1"/>
  <c r="R37" i="13"/>
  <c r="S36" i="13"/>
  <c r="V36" i="13"/>
  <c r="W36" i="13" s="1"/>
  <c r="X36" i="13" s="1"/>
  <c r="M27" i="13"/>
  <c r="C35" i="3" s="1"/>
  <c r="V35" i="3" s="1"/>
  <c r="O31" i="13"/>
  <c r="P27" i="13" s="1"/>
  <c r="R31" i="13"/>
  <c r="S28" i="13"/>
  <c r="T28" i="13" s="1"/>
  <c r="E74" i="3" s="1"/>
  <c r="V28" i="13"/>
  <c r="W28" i="13" s="1"/>
  <c r="X28" i="13" s="1"/>
  <c r="E95" i="3" s="1"/>
  <c r="C13" i="5"/>
  <c r="S27" i="13"/>
  <c r="V27" i="13"/>
  <c r="W27" i="13" s="1"/>
  <c r="S23" i="13"/>
  <c r="V23" i="13"/>
  <c r="W23" i="13" s="1"/>
  <c r="V22" i="13"/>
  <c r="W22" i="13" s="1"/>
  <c r="S22" i="13"/>
  <c r="T18" i="13" s="1"/>
  <c r="D73" i="3" s="1"/>
  <c r="X18" i="13"/>
  <c r="D94" i="3" s="1"/>
  <c r="M18" i="13"/>
  <c r="C12" i="5" s="1"/>
  <c r="O20" i="13"/>
  <c r="P20" i="13" s="1"/>
  <c r="F54" i="3" s="1"/>
  <c r="R20" i="13"/>
  <c r="O19" i="13"/>
  <c r="P19" i="13" s="1"/>
  <c r="R19" i="13"/>
  <c r="S76" i="13"/>
  <c r="T76" i="13" s="1"/>
  <c r="F79" i="3" s="1"/>
  <c r="V76" i="13"/>
  <c r="W76" i="13" s="1"/>
  <c r="X76" i="13" s="1"/>
  <c r="F100" i="3" s="1"/>
  <c r="S75" i="13"/>
  <c r="T75" i="13" s="1"/>
  <c r="E79" i="3" s="1"/>
  <c r="V75" i="13"/>
  <c r="W75" i="13" s="1"/>
  <c r="Q74" i="13"/>
  <c r="C60" i="3" s="1"/>
  <c r="C40" i="3"/>
  <c r="X40" i="3" s="1"/>
  <c r="C18" i="5"/>
  <c r="S74" i="13"/>
  <c r="T74" i="13" s="1"/>
  <c r="V74" i="13"/>
  <c r="W74" i="13" s="1"/>
  <c r="X74" i="13" s="1"/>
  <c r="C42" i="3"/>
  <c r="X42" i="3" s="1"/>
  <c r="Z46" i="3"/>
  <c r="M139" i="13"/>
  <c r="D47" i="3"/>
  <c r="B28" i="3"/>
  <c r="U28" i="3" s="1"/>
  <c r="B27" i="3"/>
  <c r="U27" i="3" s="1"/>
  <c r="B26" i="3"/>
  <c r="U26" i="3" s="1"/>
  <c r="B25" i="3"/>
  <c r="U25" i="3" s="1"/>
  <c r="B24" i="3"/>
  <c r="U24" i="3" s="1"/>
  <c r="B23" i="3"/>
  <c r="U23" i="3" s="1"/>
  <c r="B22" i="3"/>
  <c r="U22" i="3" s="1"/>
  <c r="B21" i="3"/>
  <c r="U21" i="3" s="1"/>
  <c r="B20" i="3"/>
  <c r="U20" i="3" s="1"/>
  <c r="B19" i="3"/>
  <c r="U19" i="3" s="1"/>
  <c r="B18" i="3"/>
  <c r="U18" i="3" s="1"/>
  <c r="B17" i="3"/>
  <c r="U17" i="3" s="1"/>
  <c r="B16" i="3"/>
  <c r="U16" i="3" s="1"/>
  <c r="B15" i="3"/>
  <c r="U15" i="3" s="1"/>
  <c r="B14" i="3"/>
  <c r="U14" i="3" s="1"/>
  <c r="A28" i="3"/>
  <c r="T28" i="3" s="1"/>
  <c r="A27" i="3"/>
  <c r="T27" i="3" s="1"/>
  <c r="A26" i="3"/>
  <c r="T26" i="3" s="1"/>
  <c r="Z13" i="3" s="1"/>
  <c r="A25" i="3"/>
  <c r="T25" i="3" s="1"/>
  <c r="A24" i="3"/>
  <c r="T24" i="3" s="1"/>
  <c r="A23" i="3"/>
  <c r="I17" i="3" s="1"/>
  <c r="A22" i="3"/>
  <c r="T22" i="3" s="1"/>
  <c r="A21" i="3"/>
  <c r="T21" i="3" s="1"/>
  <c r="A20" i="3"/>
  <c r="I16" i="3" s="1"/>
  <c r="A19" i="3"/>
  <c r="T19" i="3" s="1"/>
  <c r="A18" i="3"/>
  <c r="T18" i="3" s="1"/>
  <c r="A17" i="3"/>
  <c r="I15" i="3" s="1"/>
  <c r="A15" i="3"/>
  <c r="T15" i="3" s="1"/>
  <c r="A16" i="3"/>
  <c r="T16" i="3" s="1"/>
  <c r="A14" i="3"/>
  <c r="I14" i="3" s="1"/>
  <c r="C36" i="3" l="1"/>
  <c r="V36" i="3" s="1"/>
  <c r="Q92" i="13"/>
  <c r="F68" i="3"/>
  <c r="Q148" i="13"/>
  <c r="X150" i="13"/>
  <c r="F108" i="3" s="1"/>
  <c r="T150" i="13"/>
  <c r="F87" i="3" s="1"/>
  <c r="V154" i="13"/>
  <c r="W154" i="13" s="1"/>
  <c r="S154" i="13"/>
  <c r="T148" i="13"/>
  <c r="Y148" i="13"/>
  <c r="D108" i="3"/>
  <c r="D87" i="3"/>
  <c r="T140" i="13"/>
  <c r="E86" i="3" s="1"/>
  <c r="S144" i="13"/>
  <c r="V144" i="13"/>
  <c r="W144" i="13" s="1"/>
  <c r="X140" i="13" s="1"/>
  <c r="E107" i="3" s="1"/>
  <c r="S143" i="13"/>
  <c r="V143" i="13"/>
  <c r="W143" i="13" s="1"/>
  <c r="V141" i="13"/>
  <c r="W141" i="13" s="1"/>
  <c r="X141" i="13" s="1"/>
  <c r="F107" i="3" s="1"/>
  <c r="S141" i="13"/>
  <c r="T141" i="13" s="1"/>
  <c r="F86" i="3" s="1"/>
  <c r="C47" i="3"/>
  <c r="Z47" i="3" s="1"/>
  <c r="C25" i="5"/>
  <c r="S139" i="13"/>
  <c r="V139" i="13"/>
  <c r="W139" i="13" s="1"/>
  <c r="X139" i="13" s="1"/>
  <c r="Q139" i="13"/>
  <c r="D67" i="3"/>
  <c r="X132" i="13"/>
  <c r="F106" i="3" s="1"/>
  <c r="E66" i="3"/>
  <c r="Q130" i="13"/>
  <c r="C66" i="3" s="1"/>
  <c r="X131" i="13"/>
  <c r="E106" i="3" s="1"/>
  <c r="T131" i="13"/>
  <c r="E85" i="3" s="1"/>
  <c r="S135" i="13"/>
  <c r="V135" i="13"/>
  <c r="W135" i="13" s="1"/>
  <c r="Z66" i="3"/>
  <c r="D85" i="3"/>
  <c r="D106" i="3"/>
  <c r="S122" i="13"/>
  <c r="T122" i="13" s="1"/>
  <c r="F84" i="3" s="1"/>
  <c r="V122" i="13"/>
  <c r="W122" i="13" s="1"/>
  <c r="X122" i="13" s="1"/>
  <c r="F105" i="3" s="1"/>
  <c r="F65" i="3"/>
  <c r="Q120" i="13"/>
  <c r="D105" i="3"/>
  <c r="D84" i="3"/>
  <c r="U120" i="13"/>
  <c r="X113" i="13"/>
  <c r="F104" i="3" s="1"/>
  <c r="Y111" i="13"/>
  <c r="D104" i="3"/>
  <c r="D83" i="3"/>
  <c r="U111" i="13"/>
  <c r="C64" i="3"/>
  <c r="Y64" i="3" s="1"/>
  <c r="E22" i="5"/>
  <c r="J37" i="3"/>
  <c r="X102" i="13"/>
  <c r="Q102" i="13"/>
  <c r="S104" i="13"/>
  <c r="T104" i="13" s="1"/>
  <c r="F82" i="3" s="1"/>
  <c r="V104" i="13"/>
  <c r="W104" i="13" s="1"/>
  <c r="X104" i="13" s="1"/>
  <c r="F103" i="3" s="1"/>
  <c r="D82" i="3"/>
  <c r="D103" i="3"/>
  <c r="X92" i="13"/>
  <c r="D102" i="3" s="1"/>
  <c r="S94" i="13"/>
  <c r="T94" i="13" s="1"/>
  <c r="V94" i="13"/>
  <c r="W94" i="13" s="1"/>
  <c r="X94" i="13" s="1"/>
  <c r="F102" i="3" s="1"/>
  <c r="V85" i="13"/>
  <c r="W85" i="13" s="1"/>
  <c r="X85" i="13" s="1"/>
  <c r="F101" i="3" s="1"/>
  <c r="S85" i="13"/>
  <c r="T85" i="13" s="1"/>
  <c r="F80" i="3" s="1"/>
  <c r="S84" i="13"/>
  <c r="T84" i="13" s="1"/>
  <c r="E80" i="3" s="1"/>
  <c r="V84" i="13"/>
  <c r="W84" i="13" s="1"/>
  <c r="X84" i="13" s="1"/>
  <c r="E101" i="3" s="1"/>
  <c r="S83" i="13"/>
  <c r="T83" i="13" s="1"/>
  <c r="V83" i="13"/>
  <c r="W83" i="13" s="1"/>
  <c r="X83" i="13" s="1"/>
  <c r="D61" i="3"/>
  <c r="Q83" i="13"/>
  <c r="C41" i="3"/>
  <c r="X41" i="3" s="1"/>
  <c r="C19" i="5"/>
  <c r="X75" i="13"/>
  <c r="E100" i="3" s="1"/>
  <c r="T64" i="13"/>
  <c r="S66" i="13"/>
  <c r="T66" i="13" s="1"/>
  <c r="F78" i="3" s="1"/>
  <c r="V66" i="13"/>
  <c r="W66" i="13" s="1"/>
  <c r="X66" i="13" s="1"/>
  <c r="F99" i="3" s="1"/>
  <c r="S65" i="13"/>
  <c r="T65" i="13" s="1"/>
  <c r="E78" i="3" s="1"/>
  <c r="V65" i="13"/>
  <c r="W65" i="13" s="1"/>
  <c r="X65" i="13" s="1"/>
  <c r="E99" i="3" s="1"/>
  <c r="E59" i="3"/>
  <c r="Q64" i="13"/>
  <c r="D99" i="3"/>
  <c r="D78" i="3"/>
  <c r="C38" i="3"/>
  <c r="W38" i="3" s="1"/>
  <c r="S60" i="13"/>
  <c r="V60" i="13"/>
  <c r="W60" i="13" s="1"/>
  <c r="X56" i="13"/>
  <c r="E98" i="3" s="1"/>
  <c r="T56" i="13"/>
  <c r="E77" i="3" s="1"/>
  <c r="S55" i="13"/>
  <c r="T55" i="13" s="1"/>
  <c r="V55" i="13"/>
  <c r="W55" i="13" s="1"/>
  <c r="X55" i="13" s="1"/>
  <c r="Q55" i="13"/>
  <c r="D58" i="3"/>
  <c r="X48" i="13"/>
  <c r="F97" i="3" s="1"/>
  <c r="D57" i="3"/>
  <c r="Q46" i="13"/>
  <c r="E15" i="5" s="1"/>
  <c r="V50" i="13"/>
  <c r="W50" i="13" s="1"/>
  <c r="X46" i="13" s="1"/>
  <c r="S50" i="13"/>
  <c r="T46" i="13" s="1"/>
  <c r="D76" i="3" s="1"/>
  <c r="J35" i="3"/>
  <c r="S47" i="13"/>
  <c r="T47" i="13" s="1"/>
  <c r="E76" i="3" s="1"/>
  <c r="V47" i="13"/>
  <c r="W47" i="13" s="1"/>
  <c r="X47" i="13" s="1"/>
  <c r="E97" i="3" s="1"/>
  <c r="F56" i="3"/>
  <c r="Q36" i="13"/>
  <c r="C56" i="3" s="1"/>
  <c r="V56" i="3" s="1"/>
  <c r="V42" i="13"/>
  <c r="W42" i="13" s="1"/>
  <c r="X38" i="13" s="1"/>
  <c r="S42" i="13"/>
  <c r="T38" i="13"/>
  <c r="F75" i="3" s="1"/>
  <c r="T36" i="13"/>
  <c r="S37" i="13"/>
  <c r="T37" i="13" s="1"/>
  <c r="E75" i="3" s="1"/>
  <c r="V37" i="13"/>
  <c r="W37" i="13" s="1"/>
  <c r="X37" i="13" s="1"/>
  <c r="E96" i="3" s="1"/>
  <c r="D75" i="3"/>
  <c r="D96" i="3"/>
  <c r="Q27" i="13"/>
  <c r="E13" i="5" s="1"/>
  <c r="D55" i="3"/>
  <c r="S31" i="13"/>
  <c r="T27" i="13" s="1"/>
  <c r="V31" i="13"/>
  <c r="W31" i="13" s="1"/>
  <c r="X27" i="13" s="1"/>
  <c r="C34" i="3"/>
  <c r="S20" i="13"/>
  <c r="T20" i="13" s="1"/>
  <c r="F73" i="3" s="1"/>
  <c r="V20" i="13"/>
  <c r="W20" i="13" s="1"/>
  <c r="X20" i="13" s="1"/>
  <c r="F94" i="3" s="1"/>
  <c r="S19" i="13"/>
  <c r="T19" i="13" s="1"/>
  <c r="V19" i="13"/>
  <c r="W19" i="13" s="1"/>
  <c r="X19" i="13" s="1"/>
  <c r="E54" i="3"/>
  <c r="Q18" i="13"/>
  <c r="E18" i="5"/>
  <c r="F18" i="5" s="1"/>
  <c r="X60" i="3"/>
  <c r="Y74" i="13"/>
  <c r="D100" i="3"/>
  <c r="AD18" i="5"/>
  <c r="D18" i="5"/>
  <c r="D79" i="3"/>
  <c r="U74" i="13"/>
  <c r="D20" i="5"/>
  <c r="AD20" i="5"/>
  <c r="T20" i="3"/>
  <c r="X13" i="3" s="1"/>
  <c r="T23" i="3"/>
  <c r="Y13" i="3" s="1"/>
  <c r="I18" i="3"/>
  <c r="T14" i="3"/>
  <c r="V13" i="3" s="1"/>
  <c r="T17" i="3"/>
  <c r="W13" i="3" s="1"/>
  <c r="J34" i="3" l="1"/>
  <c r="E14" i="5"/>
  <c r="E20" i="5"/>
  <c r="C62" i="3"/>
  <c r="X62" i="3" s="1"/>
  <c r="C55" i="3"/>
  <c r="V55" i="3" s="1"/>
  <c r="V34" i="3"/>
  <c r="C68" i="3"/>
  <c r="Z68" i="3" s="1"/>
  <c r="E26" i="5"/>
  <c r="U148" i="13"/>
  <c r="C87" i="3"/>
  <c r="Z87" i="3" s="1"/>
  <c r="G26" i="5"/>
  <c r="C108" i="3"/>
  <c r="Z108" i="3" s="1"/>
  <c r="I26" i="5"/>
  <c r="J38" i="3"/>
  <c r="T139" i="13"/>
  <c r="Y139" i="13"/>
  <c r="D107" i="3"/>
  <c r="D86" i="3"/>
  <c r="U139" i="13"/>
  <c r="C67" i="3"/>
  <c r="E25" i="5"/>
  <c r="E24" i="5"/>
  <c r="U130" i="13"/>
  <c r="C85" i="3" s="1"/>
  <c r="Y130" i="13"/>
  <c r="C106" i="3" s="1"/>
  <c r="I24" i="5"/>
  <c r="G24" i="5"/>
  <c r="E23" i="5"/>
  <c r="C65" i="3"/>
  <c r="Y65" i="3" s="1"/>
  <c r="Y120" i="13"/>
  <c r="C105" i="3" s="1"/>
  <c r="Y105" i="3" s="1"/>
  <c r="C84" i="3"/>
  <c r="Y84" i="3" s="1"/>
  <c r="G23" i="5"/>
  <c r="C83" i="3"/>
  <c r="Y83" i="3" s="1"/>
  <c r="G22" i="5"/>
  <c r="C104" i="3"/>
  <c r="Y104" i="3" s="1"/>
  <c r="I22" i="5"/>
  <c r="Y102" i="13"/>
  <c r="U102" i="13"/>
  <c r="C82" i="3" s="1"/>
  <c r="E21" i="5"/>
  <c r="C63" i="3"/>
  <c r="C103" i="3"/>
  <c r="I21" i="5"/>
  <c r="Y92" i="13"/>
  <c r="F81" i="3"/>
  <c r="U92" i="13"/>
  <c r="J36" i="3"/>
  <c r="D19" i="5"/>
  <c r="AD19" i="5"/>
  <c r="Y83" i="13"/>
  <c r="D101" i="3"/>
  <c r="C61" i="3"/>
  <c r="E19" i="5"/>
  <c r="D80" i="3"/>
  <c r="U83" i="13"/>
  <c r="U64" i="13"/>
  <c r="G17" i="5" s="1"/>
  <c r="Y64" i="13"/>
  <c r="I17" i="5" s="1"/>
  <c r="C59" i="3"/>
  <c r="W59" i="3" s="1"/>
  <c r="E17" i="5"/>
  <c r="C78" i="3"/>
  <c r="W78" i="3" s="1"/>
  <c r="C99" i="3"/>
  <c r="W99" i="3" s="1"/>
  <c r="C58" i="3"/>
  <c r="W58" i="3" s="1"/>
  <c r="E16" i="5"/>
  <c r="D98" i="3"/>
  <c r="Y55" i="13"/>
  <c r="U55" i="13"/>
  <c r="D77" i="3"/>
  <c r="C57" i="3"/>
  <c r="Y46" i="13"/>
  <c r="C97" i="3" s="1"/>
  <c r="D97" i="3"/>
  <c r="U46" i="13"/>
  <c r="C76" i="3" s="1"/>
  <c r="W57" i="3"/>
  <c r="F96" i="3"/>
  <c r="Y36" i="13"/>
  <c r="C96" i="3" s="1"/>
  <c r="V96" i="3" s="1"/>
  <c r="U36" i="13"/>
  <c r="G14" i="5" s="1"/>
  <c r="Y27" i="13"/>
  <c r="I13" i="5" s="1"/>
  <c r="D95" i="3"/>
  <c r="D74" i="3"/>
  <c r="U27" i="13"/>
  <c r="G13" i="5" s="1"/>
  <c r="E73" i="3"/>
  <c r="U18" i="13"/>
  <c r="E94" i="3"/>
  <c r="Y18" i="13"/>
  <c r="E12" i="5"/>
  <c r="C54" i="3"/>
  <c r="AC18" i="5"/>
  <c r="C79" i="3"/>
  <c r="G18" i="5"/>
  <c r="C100" i="3"/>
  <c r="X100" i="3" s="1"/>
  <c r="I18" i="5"/>
  <c r="G20" i="2"/>
  <c r="G22" i="2"/>
  <c r="G25" i="2"/>
  <c r="G29" i="2"/>
  <c r="G34" i="2"/>
  <c r="G36" i="2"/>
  <c r="G48" i="2"/>
  <c r="G50" i="2"/>
  <c r="G53" i="2"/>
  <c r="G65" i="2"/>
  <c r="G72" i="2"/>
  <c r="G197" i="2"/>
  <c r="G199" i="2"/>
  <c r="G201" i="2"/>
  <c r="G206" i="2"/>
  <c r="G211" i="2"/>
  <c r="G213" i="2"/>
  <c r="G220" i="2"/>
  <c r="G222" i="2"/>
  <c r="G182" i="2"/>
  <c r="G184" i="2"/>
  <c r="G179" i="2"/>
  <c r="H179" i="2" s="1"/>
  <c r="F25" i="3" s="1"/>
  <c r="G177" i="2"/>
  <c r="G175" i="2"/>
  <c r="H175" i="2" s="1"/>
  <c r="G168" i="2"/>
  <c r="G165" i="2"/>
  <c r="G163" i="2"/>
  <c r="G161" i="2"/>
  <c r="G158" i="2"/>
  <c r="G156" i="2"/>
  <c r="G154" i="2"/>
  <c r="G86" i="2"/>
  <c r="G84" i="2"/>
  <c r="G82" i="2"/>
  <c r="G77" i="2"/>
  <c r="G68" i="2"/>
  <c r="G70" i="2"/>
  <c r="G61" i="2"/>
  <c r="G46" i="2"/>
  <c r="G32" i="2"/>
  <c r="G39" i="2"/>
  <c r="G41" i="2"/>
  <c r="G43" i="2"/>
  <c r="G63" i="2"/>
  <c r="G79" i="2"/>
  <c r="G91" i="2"/>
  <c r="G93" i="2"/>
  <c r="H93" i="2" s="1"/>
  <c r="F19" i="3" s="1"/>
  <c r="G96" i="2"/>
  <c r="G100" i="2"/>
  <c r="G104" i="2"/>
  <c r="H104" i="2" s="1"/>
  <c r="G106" i="2"/>
  <c r="G108" i="2"/>
  <c r="H108" i="2" s="1"/>
  <c r="F20" i="3" s="1"/>
  <c r="G111" i="2"/>
  <c r="G113" i="2"/>
  <c r="G115" i="2"/>
  <c r="G118" i="2"/>
  <c r="G120" i="2"/>
  <c r="G122" i="2"/>
  <c r="G125" i="2"/>
  <c r="G127" i="2"/>
  <c r="G129" i="2"/>
  <c r="G132" i="2"/>
  <c r="G134" i="2"/>
  <c r="G136" i="2"/>
  <c r="H136" i="2" s="1"/>
  <c r="F22" i="3" s="1"/>
  <c r="G139" i="2"/>
  <c r="G141" i="2"/>
  <c r="G143" i="2"/>
  <c r="G147" i="2"/>
  <c r="H147" i="2" s="1"/>
  <c r="G149" i="2"/>
  <c r="G151" i="2"/>
  <c r="H151" i="2" s="1"/>
  <c r="F23" i="3" s="1"/>
  <c r="G190" i="2"/>
  <c r="G192" i="2"/>
  <c r="H192" i="2" s="1"/>
  <c r="E26" i="3" s="1"/>
  <c r="G194" i="2"/>
  <c r="H194" i="2" s="1"/>
  <c r="F26" i="3" s="1"/>
  <c r="G204" i="2"/>
  <c r="G208" i="2"/>
  <c r="G218" i="2"/>
  <c r="G225" i="2"/>
  <c r="G229" i="2"/>
  <c r="I14" i="5" l="1"/>
  <c r="F20" i="5"/>
  <c r="AC20" i="5"/>
  <c r="C74" i="3"/>
  <c r="V74" i="3" s="1"/>
  <c r="C95" i="3"/>
  <c r="V95" i="3" s="1"/>
  <c r="H218" i="2"/>
  <c r="H204" i="2"/>
  <c r="C86" i="3"/>
  <c r="Z86" i="3" s="1"/>
  <c r="G25" i="5"/>
  <c r="Z67" i="3"/>
  <c r="J58" i="3"/>
  <c r="C107" i="3"/>
  <c r="Z107" i="3" s="1"/>
  <c r="I25" i="5"/>
  <c r="H190" i="2"/>
  <c r="D26" i="3" s="1"/>
  <c r="Z85" i="3"/>
  <c r="J77" i="3"/>
  <c r="Z106" i="3"/>
  <c r="I23" i="5"/>
  <c r="H161" i="2"/>
  <c r="H149" i="2"/>
  <c r="E23" i="3" s="1"/>
  <c r="G21" i="5"/>
  <c r="J57" i="3"/>
  <c r="Y63" i="3"/>
  <c r="Y82" i="3"/>
  <c r="J76" i="3"/>
  <c r="J97" i="3"/>
  <c r="Y103" i="3"/>
  <c r="H132" i="2"/>
  <c r="D22" i="3" s="1"/>
  <c r="C81" i="3"/>
  <c r="X81" i="3" s="1"/>
  <c r="G20" i="5"/>
  <c r="C102" i="3"/>
  <c r="X102" i="3" s="1"/>
  <c r="I20" i="5"/>
  <c r="H122" i="2"/>
  <c r="F21" i="3" s="1"/>
  <c r="H118" i="2"/>
  <c r="C101" i="3"/>
  <c r="X101" i="3" s="1"/>
  <c r="I19" i="5"/>
  <c r="F19" i="5"/>
  <c r="AC19" i="5"/>
  <c r="X61" i="3"/>
  <c r="J56" i="3"/>
  <c r="C80" i="3"/>
  <c r="X80" i="3" s="1"/>
  <c r="G19" i="5"/>
  <c r="J55" i="3"/>
  <c r="H77" i="2"/>
  <c r="E18" i="3" s="1"/>
  <c r="C98" i="3"/>
  <c r="W98" i="3" s="1"/>
  <c r="I16" i="5"/>
  <c r="C77" i="3"/>
  <c r="W77" i="3" s="1"/>
  <c r="G16" i="5"/>
  <c r="I15" i="5"/>
  <c r="H63" i="2"/>
  <c r="E17" i="3" s="1"/>
  <c r="G15" i="5"/>
  <c r="W76" i="3"/>
  <c r="W97" i="3"/>
  <c r="C75" i="3"/>
  <c r="V75" i="3" s="1"/>
  <c r="C94" i="3"/>
  <c r="I12" i="5"/>
  <c r="V54" i="3"/>
  <c r="J54" i="3"/>
  <c r="G12" i="5"/>
  <c r="C73" i="3"/>
  <c r="J18" i="5"/>
  <c r="AA18" i="5"/>
  <c r="AB18" i="5"/>
  <c r="H18" i="5"/>
  <c r="X79" i="3"/>
  <c r="J147" i="2"/>
  <c r="D23" i="3"/>
  <c r="D21" i="3"/>
  <c r="H61" i="2"/>
  <c r="D17" i="3" s="1"/>
  <c r="D24" i="3"/>
  <c r="D25" i="3"/>
  <c r="D28" i="3"/>
  <c r="J190" i="2"/>
  <c r="H134" i="2"/>
  <c r="J132" i="2" s="1"/>
  <c r="H106" i="2"/>
  <c r="E20" i="3" s="1"/>
  <c r="H177" i="2"/>
  <c r="E25" i="3" s="1"/>
  <c r="H222" i="2"/>
  <c r="F28" i="3" s="1"/>
  <c r="H206" i="2"/>
  <c r="E27" i="3" s="1"/>
  <c r="D27" i="3"/>
  <c r="D20" i="3"/>
  <c r="H120" i="2"/>
  <c r="E21" i="3" s="1"/>
  <c r="H65" i="2"/>
  <c r="F17" i="3" s="1"/>
  <c r="H79" i="2"/>
  <c r="F18" i="3" s="1"/>
  <c r="H46" i="2"/>
  <c r="D16" i="3" s="1"/>
  <c r="D230" i="2"/>
  <c r="D229" i="2"/>
  <c r="C229" i="2"/>
  <c r="D228" i="2"/>
  <c r="D227" i="2"/>
  <c r="C227" i="2"/>
  <c r="D226" i="2"/>
  <c r="D225" i="2"/>
  <c r="C225" i="2"/>
  <c r="D223" i="2"/>
  <c r="D222" i="2"/>
  <c r="C222" i="2"/>
  <c r="D221" i="2"/>
  <c r="D220" i="2"/>
  <c r="C220" i="2"/>
  <c r="D219" i="2"/>
  <c r="D218" i="2"/>
  <c r="C218" i="2"/>
  <c r="D216" i="2"/>
  <c r="D215" i="2"/>
  <c r="C215" i="2"/>
  <c r="D214" i="2"/>
  <c r="D213" i="2"/>
  <c r="C213" i="2"/>
  <c r="D212" i="2"/>
  <c r="D211" i="2"/>
  <c r="C211" i="2"/>
  <c r="D209" i="2"/>
  <c r="D208" i="2"/>
  <c r="C208" i="2"/>
  <c r="D207" i="2"/>
  <c r="D206" i="2"/>
  <c r="C206" i="2"/>
  <c r="D205" i="2"/>
  <c r="D204" i="2"/>
  <c r="C204" i="2"/>
  <c r="D202" i="2"/>
  <c r="D201" i="2"/>
  <c r="C201" i="2"/>
  <c r="D200" i="2"/>
  <c r="D199" i="2"/>
  <c r="C199" i="2"/>
  <c r="D198" i="2"/>
  <c r="D197" i="2"/>
  <c r="C197" i="2"/>
  <c r="D195" i="2"/>
  <c r="D194" i="2"/>
  <c r="C194" i="2"/>
  <c r="D193" i="2"/>
  <c r="D192" i="2"/>
  <c r="C192" i="2"/>
  <c r="D191" i="2"/>
  <c r="D190" i="2"/>
  <c r="C190" i="2"/>
  <c r="B225" i="2"/>
  <c r="B218" i="2"/>
  <c r="B211" i="2"/>
  <c r="B204" i="2"/>
  <c r="B197" i="2"/>
  <c r="B190" i="2"/>
  <c r="D187" i="2"/>
  <c r="D186" i="2"/>
  <c r="C186" i="2"/>
  <c r="D185" i="2"/>
  <c r="D184" i="2"/>
  <c r="C184" i="2"/>
  <c r="D183" i="2"/>
  <c r="D182" i="2"/>
  <c r="C182" i="2"/>
  <c r="D180" i="2"/>
  <c r="D179" i="2"/>
  <c r="C179" i="2"/>
  <c r="D178" i="2"/>
  <c r="D177" i="2"/>
  <c r="C177" i="2"/>
  <c r="D176" i="2"/>
  <c r="D175" i="2"/>
  <c r="C175" i="2"/>
  <c r="D173" i="2"/>
  <c r="D172" i="2"/>
  <c r="C172" i="2"/>
  <c r="D171" i="2"/>
  <c r="D170" i="2"/>
  <c r="C170" i="2"/>
  <c r="D169" i="2"/>
  <c r="D168" i="2"/>
  <c r="C168" i="2"/>
  <c r="D166" i="2"/>
  <c r="D165" i="2"/>
  <c r="C165" i="2"/>
  <c r="D164" i="2"/>
  <c r="D163" i="2"/>
  <c r="C163" i="2"/>
  <c r="D162" i="2"/>
  <c r="D161" i="2"/>
  <c r="C161" i="2"/>
  <c r="D159" i="2"/>
  <c r="D158" i="2"/>
  <c r="C158" i="2"/>
  <c r="D157" i="2"/>
  <c r="D156" i="2"/>
  <c r="C156" i="2"/>
  <c r="D155" i="2"/>
  <c r="D154" i="2"/>
  <c r="C154" i="2"/>
  <c r="D152" i="2"/>
  <c r="D151" i="2"/>
  <c r="C151" i="2"/>
  <c r="D150" i="2"/>
  <c r="D149" i="2"/>
  <c r="C149" i="2"/>
  <c r="D148" i="2"/>
  <c r="D147" i="2"/>
  <c r="C147" i="2"/>
  <c r="B182" i="2"/>
  <c r="B175" i="2"/>
  <c r="B168" i="2"/>
  <c r="B161" i="2"/>
  <c r="B154" i="2"/>
  <c r="B147" i="2"/>
  <c r="D144" i="2"/>
  <c r="D143" i="2"/>
  <c r="C143" i="2"/>
  <c r="D142" i="2"/>
  <c r="D141" i="2"/>
  <c r="C141" i="2"/>
  <c r="D140" i="2"/>
  <c r="D139" i="2"/>
  <c r="C139" i="2"/>
  <c r="D137" i="2"/>
  <c r="D136" i="2"/>
  <c r="C136" i="2"/>
  <c r="D135" i="2"/>
  <c r="D134" i="2"/>
  <c r="C134" i="2"/>
  <c r="D133" i="2"/>
  <c r="D132" i="2"/>
  <c r="C132" i="2"/>
  <c r="D130" i="2"/>
  <c r="D129" i="2"/>
  <c r="C129" i="2"/>
  <c r="D128" i="2"/>
  <c r="D127" i="2"/>
  <c r="C127" i="2"/>
  <c r="D126" i="2"/>
  <c r="D125" i="2"/>
  <c r="C125" i="2"/>
  <c r="D123" i="2"/>
  <c r="D122" i="2"/>
  <c r="C122" i="2"/>
  <c r="D121" i="2"/>
  <c r="D120" i="2"/>
  <c r="C120" i="2"/>
  <c r="D119" i="2"/>
  <c r="D118" i="2"/>
  <c r="C118" i="2"/>
  <c r="D116" i="2"/>
  <c r="D115" i="2"/>
  <c r="C115" i="2"/>
  <c r="D114" i="2"/>
  <c r="D113" i="2"/>
  <c r="C113" i="2"/>
  <c r="D112" i="2"/>
  <c r="D111" i="2"/>
  <c r="C111" i="2"/>
  <c r="D109" i="2"/>
  <c r="D108" i="2"/>
  <c r="C108" i="2"/>
  <c r="D107" i="2"/>
  <c r="D106" i="2"/>
  <c r="C106" i="2"/>
  <c r="D105" i="2"/>
  <c r="D104" i="2"/>
  <c r="C104" i="2"/>
  <c r="B139" i="2"/>
  <c r="B132" i="2"/>
  <c r="B125" i="2"/>
  <c r="B118" i="2"/>
  <c r="B111" i="2"/>
  <c r="B104" i="2"/>
  <c r="D101" i="2"/>
  <c r="D100" i="2"/>
  <c r="C100" i="2"/>
  <c r="D99" i="2"/>
  <c r="D98" i="2"/>
  <c r="C98" i="2"/>
  <c r="D97" i="2"/>
  <c r="D96" i="2"/>
  <c r="C96" i="2"/>
  <c r="D94" i="2"/>
  <c r="D93" i="2"/>
  <c r="C93" i="2"/>
  <c r="D92" i="2"/>
  <c r="D91" i="2"/>
  <c r="C91" i="2"/>
  <c r="D90" i="2"/>
  <c r="D89" i="2"/>
  <c r="C89" i="2"/>
  <c r="D87" i="2"/>
  <c r="D86" i="2"/>
  <c r="C86" i="2"/>
  <c r="D85" i="2"/>
  <c r="D84" i="2"/>
  <c r="C84" i="2"/>
  <c r="D83" i="2"/>
  <c r="D82" i="2"/>
  <c r="C82" i="2"/>
  <c r="D80" i="2"/>
  <c r="D79" i="2"/>
  <c r="C79" i="2"/>
  <c r="D78" i="2"/>
  <c r="D77" i="2"/>
  <c r="C77" i="2"/>
  <c r="D76" i="2"/>
  <c r="D75" i="2"/>
  <c r="C75" i="2"/>
  <c r="D73" i="2"/>
  <c r="D72" i="2"/>
  <c r="C72" i="2"/>
  <c r="D71" i="2"/>
  <c r="D70" i="2"/>
  <c r="C70" i="2"/>
  <c r="D69" i="2"/>
  <c r="D68" i="2"/>
  <c r="C68" i="2"/>
  <c r="D66" i="2"/>
  <c r="D65" i="2"/>
  <c r="C65" i="2"/>
  <c r="D64" i="2"/>
  <c r="D63" i="2"/>
  <c r="C63" i="2"/>
  <c r="D62" i="2"/>
  <c r="D61" i="2"/>
  <c r="C61" i="2"/>
  <c r="B96" i="2"/>
  <c r="B89" i="2"/>
  <c r="B82" i="2"/>
  <c r="B75" i="2"/>
  <c r="B68" i="2"/>
  <c r="B61" i="2"/>
  <c r="D58" i="2"/>
  <c r="D57" i="2"/>
  <c r="C57" i="2"/>
  <c r="D56" i="2"/>
  <c r="D55" i="2"/>
  <c r="C55" i="2"/>
  <c r="D54" i="2"/>
  <c r="D53" i="2"/>
  <c r="C53" i="2"/>
  <c r="B53" i="2"/>
  <c r="D51" i="2"/>
  <c r="D50" i="2"/>
  <c r="C50" i="2"/>
  <c r="D49" i="2"/>
  <c r="D48" i="2"/>
  <c r="C48" i="2"/>
  <c r="D47" i="2"/>
  <c r="D46" i="2"/>
  <c r="C46" i="2"/>
  <c r="B46" i="2"/>
  <c r="G227" i="2"/>
  <c r="H220" i="2" s="1"/>
  <c r="E227" i="2"/>
  <c r="E220" i="2"/>
  <c r="E213" i="2"/>
  <c r="E206" i="2"/>
  <c r="E199" i="2"/>
  <c r="E192" i="2"/>
  <c r="E184" i="2"/>
  <c r="E177" i="2"/>
  <c r="G170" i="2"/>
  <c r="H163" i="2" s="1"/>
  <c r="E170" i="2"/>
  <c r="E163" i="2"/>
  <c r="E156" i="2"/>
  <c r="E149" i="2"/>
  <c r="E141" i="2"/>
  <c r="E134" i="2"/>
  <c r="E127" i="2"/>
  <c r="E120" i="2"/>
  <c r="E113" i="2"/>
  <c r="E106" i="2"/>
  <c r="G98" i="2"/>
  <c r="H91" i="2" s="1"/>
  <c r="E19" i="3" s="1"/>
  <c r="E98" i="2"/>
  <c r="E91" i="2"/>
  <c r="E84" i="2"/>
  <c r="E77" i="2"/>
  <c r="E70" i="2"/>
  <c r="E63" i="2"/>
  <c r="G55" i="2"/>
  <c r="H48" i="2" s="1"/>
  <c r="E55" i="2"/>
  <c r="E48" i="2"/>
  <c r="B39" i="2"/>
  <c r="B32" i="2"/>
  <c r="B25" i="2"/>
  <c r="B18" i="2"/>
  <c r="D44" i="2"/>
  <c r="D43" i="2"/>
  <c r="C43" i="2"/>
  <c r="D42" i="2"/>
  <c r="D41" i="2"/>
  <c r="C41" i="2"/>
  <c r="D40" i="2"/>
  <c r="D39" i="2"/>
  <c r="C39" i="2"/>
  <c r="E41" i="2"/>
  <c r="D37" i="2"/>
  <c r="E36" i="2"/>
  <c r="D36" i="2"/>
  <c r="C36" i="2"/>
  <c r="D35" i="2"/>
  <c r="E34" i="2"/>
  <c r="D34" i="2"/>
  <c r="C34" i="2"/>
  <c r="D33" i="2"/>
  <c r="E32" i="2"/>
  <c r="D32" i="2"/>
  <c r="C32" i="2"/>
  <c r="C29" i="2"/>
  <c r="C27" i="2"/>
  <c r="C25" i="2"/>
  <c r="C22" i="2"/>
  <c r="C20" i="2"/>
  <c r="C18" i="2"/>
  <c r="D28" i="2"/>
  <c r="G27" i="2"/>
  <c r="E27" i="2"/>
  <c r="D27" i="2"/>
  <c r="D29" i="2"/>
  <c r="D25" i="2"/>
  <c r="D21" i="2"/>
  <c r="E20" i="2"/>
  <c r="D20" i="2"/>
  <c r="D22" i="2"/>
  <c r="D18" i="2"/>
  <c r="J98" i="3" l="1"/>
  <c r="J175" i="2"/>
  <c r="AB20" i="5"/>
  <c r="H20" i="5"/>
  <c r="J20" i="5"/>
  <c r="AA20" i="5"/>
  <c r="C22" i="3"/>
  <c r="B20" i="5"/>
  <c r="J96" i="3"/>
  <c r="J19" i="5"/>
  <c r="AA19" i="5"/>
  <c r="AB19" i="5"/>
  <c r="H19" i="5"/>
  <c r="J75" i="3"/>
  <c r="J74" i="3"/>
  <c r="J95" i="3"/>
  <c r="V73" i="3"/>
  <c r="J73" i="3"/>
  <c r="V94" i="3"/>
  <c r="J94" i="3"/>
  <c r="E24" i="3"/>
  <c r="E28" i="3"/>
  <c r="J218" i="2"/>
  <c r="J104" i="2"/>
  <c r="J118" i="2"/>
  <c r="E22" i="3"/>
  <c r="J61" i="2"/>
  <c r="X22" i="3"/>
  <c r="E16" i="3"/>
  <c r="H20" i="2"/>
  <c r="E14" i="3" s="1"/>
  <c r="H34" i="2"/>
  <c r="E15" i="3" s="1"/>
  <c r="H32" i="2"/>
  <c r="E43" i="2"/>
  <c r="E39" i="2"/>
  <c r="Q115" i="4"/>
  <c r="P115" i="4"/>
  <c r="Q114" i="4"/>
  <c r="P114" i="4"/>
  <c r="Q113" i="4"/>
  <c r="P113" i="4"/>
  <c r="Q112" i="4"/>
  <c r="P112" i="4"/>
  <c r="M112" i="4"/>
  <c r="M3" i="4"/>
  <c r="E143" i="2"/>
  <c r="E139" i="2"/>
  <c r="E136" i="2"/>
  <c r="E132" i="2"/>
  <c r="E129" i="2"/>
  <c r="E125" i="2"/>
  <c r="E122" i="2"/>
  <c r="E118" i="2"/>
  <c r="E115" i="2"/>
  <c r="E111" i="2"/>
  <c r="E108" i="2"/>
  <c r="E104" i="2"/>
  <c r="E229" i="2"/>
  <c r="E225" i="2"/>
  <c r="E222" i="2"/>
  <c r="E218" i="2"/>
  <c r="E215" i="2"/>
  <c r="E211" i="2"/>
  <c r="E208" i="2"/>
  <c r="E204" i="2"/>
  <c r="E201" i="2"/>
  <c r="E197" i="2"/>
  <c r="E194" i="2"/>
  <c r="E190" i="2"/>
  <c r="E186" i="2"/>
  <c r="E182" i="2"/>
  <c r="E179" i="2"/>
  <c r="E175" i="2"/>
  <c r="E172" i="2"/>
  <c r="E168" i="2"/>
  <c r="E165" i="2"/>
  <c r="E161" i="2"/>
  <c r="E158" i="2"/>
  <c r="E154" i="2"/>
  <c r="E151" i="2"/>
  <c r="E147" i="2"/>
  <c r="E100" i="2"/>
  <c r="E96" i="2"/>
  <c r="E93" i="2"/>
  <c r="E89" i="2"/>
  <c r="E86" i="2"/>
  <c r="E82" i="2"/>
  <c r="E79" i="2"/>
  <c r="E75" i="2"/>
  <c r="E72" i="2"/>
  <c r="E68" i="2"/>
  <c r="E65" i="2"/>
  <c r="E61" i="2"/>
  <c r="E57" i="2"/>
  <c r="E53" i="2"/>
  <c r="E50" i="2"/>
  <c r="E46" i="2"/>
  <c r="D30" i="2"/>
  <c r="E29" i="2"/>
  <c r="D26" i="2"/>
  <c r="E25" i="2"/>
  <c r="D23" i="2"/>
  <c r="E22" i="2"/>
  <c r="E18" i="2"/>
  <c r="D19" i="2"/>
  <c r="M106" i="4"/>
  <c r="M100" i="4"/>
  <c r="M94" i="4"/>
  <c r="M88" i="4"/>
  <c r="M82" i="4"/>
  <c r="M76" i="4"/>
  <c r="M70" i="4"/>
  <c r="M64" i="4"/>
  <c r="M58" i="4"/>
  <c r="M52" i="4"/>
  <c r="M46" i="4"/>
  <c r="M40" i="4"/>
  <c r="M34" i="4"/>
  <c r="M28" i="4"/>
  <c r="M22" i="4"/>
  <c r="M16" i="4"/>
  <c r="M10" i="4"/>
  <c r="M4" i="4"/>
  <c r="M2" i="4" s="1"/>
  <c r="Q109" i="4"/>
  <c r="P109" i="4"/>
  <c r="Q108" i="4"/>
  <c r="P108" i="4"/>
  <c r="Q107" i="4"/>
  <c r="P107" i="4"/>
  <c r="Q106" i="4"/>
  <c r="P106" i="4"/>
  <c r="Q103" i="4"/>
  <c r="P103" i="4"/>
  <c r="Q102" i="4"/>
  <c r="P102" i="4"/>
  <c r="Q101" i="4"/>
  <c r="P101" i="4"/>
  <c r="Q100" i="4"/>
  <c r="P100" i="4"/>
  <c r="Q97" i="4"/>
  <c r="P97" i="4"/>
  <c r="Q96" i="4"/>
  <c r="P96" i="4"/>
  <c r="Q95" i="4"/>
  <c r="P95" i="4"/>
  <c r="Q94" i="4"/>
  <c r="P94" i="4"/>
  <c r="Q91" i="4"/>
  <c r="P91" i="4"/>
  <c r="Q90" i="4"/>
  <c r="P90" i="4"/>
  <c r="Q89" i="4"/>
  <c r="P89" i="4"/>
  <c r="Q88" i="4"/>
  <c r="P88" i="4"/>
  <c r="Q85" i="4"/>
  <c r="P85" i="4"/>
  <c r="Q84" i="4"/>
  <c r="P84" i="4"/>
  <c r="Q83" i="4"/>
  <c r="P83" i="4"/>
  <c r="Q82" i="4"/>
  <c r="P82" i="4"/>
  <c r="Q79" i="4"/>
  <c r="P79" i="4"/>
  <c r="Q78" i="4"/>
  <c r="P78" i="4"/>
  <c r="Q77" i="4"/>
  <c r="P77" i="4"/>
  <c r="Q76" i="4"/>
  <c r="P76" i="4"/>
  <c r="Q73" i="4"/>
  <c r="P73" i="4"/>
  <c r="Q72" i="4"/>
  <c r="P72" i="4"/>
  <c r="Q71" i="4"/>
  <c r="P71" i="4"/>
  <c r="Q70" i="4"/>
  <c r="P70" i="4"/>
  <c r="Q67" i="4"/>
  <c r="P67" i="4"/>
  <c r="Q66" i="4"/>
  <c r="P66" i="4"/>
  <c r="Q65" i="4"/>
  <c r="P65" i="4"/>
  <c r="Q64" i="4"/>
  <c r="P64" i="4"/>
  <c r="Q61" i="4"/>
  <c r="P61" i="4"/>
  <c r="Q60" i="4"/>
  <c r="P60" i="4"/>
  <c r="Q59" i="4"/>
  <c r="P59" i="4"/>
  <c r="Q58" i="4"/>
  <c r="P58" i="4"/>
  <c r="Q55" i="4"/>
  <c r="P55" i="4"/>
  <c r="Q54" i="4"/>
  <c r="P54" i="4"/>
  <c r="Q53" i="4"/>
  <c r="P53" i="4"/>
  <c r="Q52" i="4"/>
  <c r="P52" i="4"/>
  <c r="Q49" i="4"/>
  <c r="P49" i="4"/>
  <c r="Q48" i="4"/>
  <c r="P48" i="4"/>
  <c r="Q47" i="4"/>
  <c r="P47" i="4"/>
  <c r="Q46" i="4"/>
  <c r="P46" i="4"/>
  <c r="Q43" i="4"/>
  <c r="P43" i="4"/>
  <c r="Q42" i="4"/>
  <c r="P42" i="4"/>
  <c r="Q41" i="4"/>
  <c r="P41" i="4"/>
  <c r="Q40" i="4"/>
  <c r="P40" i="4"/>
  <c r="Q37" i="4"/>
  <c r="P37" i="4"/>
  <c r="Q36" i="4"/>
  <c r="P36" i="4"/>
  <c r="Q35" i="4"/>
  <c r="P35" i="4"/>
  <c r="Q34" i="4"/>
  <c r="P34" i="4"/>
  <c r="Q31" i="4"/>
  <c r="P31" i="4"/>
  <c r="Q30" i="4"/>
  <c r="P30" i="4"/>
  <c r="Q29" i="4"/>
  <c r="P29" i="4"/>
  <c r="Q28" i="4"/>
  <c r="P28" i="4"/>
  <c r="Q25" i="4"/>
  <c r="P25" i="4"/>
  <c r="Q24" i="4"/>
  <c r="P24" i="4"/>
  <c r="Q23" i="4"/>
  <c r="P23" i="4"/>
  <c r="Q22" i="4"/>
  <c r="P22" i="4"/>
  <c r="Q19" i="4"/>
  <c r="P19" i="4"/>
  <c r="Q18" i="4"/>
  <c r="P18" i="4"/>
  <c r="Q17" i="4"/>
  <c r="P17" i="4"/>
  <c r="Q16" i="4"/>
  <c r="P16" i="4"/>
  <c r="Q13" i="4"/>
  <c r="P13" i="4"/>
  <c r="Q12" i="4"/>
  <c r="P12" i="4"/>
  <c r="Q11" i="4"/>
  <c r="P11" i="4"/>
  <c r="Q10" i="4"/>
  <c r="P10" i="4"/>
  <c r="P7" i="4"/>
  <c r="P6" i="4"/>
  <c r="P5" i="4"/>
  <c r="Q7" i="4"/>
  <c r="Q6" i="4"/>
  <c r="Q5" i="4"/>
  <c r="Q4" i="4"/>
  <c r="P4" i="4"/>
  <c r="AE20" i="5" l="1"/>
  <c r="K20" i="5"/>
  <c r="C21" i="3"/>
  <c r="X21" i="3" s="1"/>
  <c r="B19" i="5"/>
  <c r="C20" i="3"/>
  <c r="X20" i="3" s="1"/>
  <c r="B18" i="5"/>
  <c r="H36" i="2"/>
  <c r="M1" i="4"/>
  <c r="G57" i="2"/>
  <c r="H50" i="2" s="1"/>
  <c r="G18" i="2"/>
  <c r="G89" i="2"/>
  <c r="H89" i="2" s="1"/>
  <c r="G215" i="2"/>
  <c r="H208" i="2" s="1"/>
  <c r="G75" i="2"/>
  <c r="H75" i="2" s="1"/>
  <c r="G172" i="2"/>
  <c r="H165" i="2" s="1"/>
  <c r="AE19" i="5" l="1"/>
  <c r="K19" i="5"/>
  <c r="J16" i="3"/>
  <c r="AE18" i="5"/>
  <c r="K18" i="5"/>
  <c r="J89" i="2"/>
  <c r="D19" i="3"/>
  <c r="F27" i="3"/>
  <c r="J204" i="2"/>
  <c r="F24" i="3"/>
  <c r="J161" i="2"/>
  <c r="J75" i="2"/>
  <c r="D18" i="3"/>
  <c r="F16" i="3"/>
  <c r="J46" i="2"/>
  <c r="J32" i="2"/>
  <c r="B13" i="5" s="1"/>
  <c r="F15" i="3"/>
  <c r="H22" i="2"/>
  <c r="F14" i="3" s="1"/>
  <c r="H18" i="2"/>
  <c r="D14" i="3" s="1"/>
  <c r="C6" i="3"/>
  <c r="B1" i="2"/>
  <c r="AE11" i="5"/>
  <c r="AD11" i="5"/>
  <c r="AC11" i="5"/>
  <c r="AB11" i="5"/>
  <c r="AA11" i="5"/>
  <c r="B5" i="5"/>
  <c r="L5" i="5" s="1"/>
  <c r="B4" i="5"/>
  <c r="L4" i="5" s="1"/>
  <c r="U11" i="5"/>
  <c r="S11" i="5"/>
  <c r="Q11" i="5"/>
  <c r="O11" i="5"/>
  <c r="L128" i="5"/>
  <c r="L120" i="5"/>
  <c r="L112" i="5"/>
  <c r="L104" i="5"/>
  <c r="L96" i="5"/>
  <c r="L88" i="5"/>
  <c r="L56" i="5"/>
  <c r="L48" i="5"/>
  <c r="L41" i="5"/>
  <c r="L34" i="5"/>
  <c r="L27" i="5"/>
  <c r="Z26" i="5"/>
  <c r="Z25" i="5"/>
  <c r="Z24" i="5"/>
  <c r="Z23" i="5"/>
  <c r="Z22" i="5"/>
  <c r="Z21" i="5"/>
  <c r="Z17" i="5"/>
  <c r="L17" i="5"/>
  <c r="Z16" i="5"/>
  <c r="Z15" i="5"/>
  <c r="Z14" i="5"/>
  <c r="Z13" i="5"/>
  <c r="Z12" i="5"/>
  <c r="L6" i="5"/>
  <c r="L3" i="5"/>
  <c r="C9" i="3"/>
  <c r="C7" i="3"/>
  <c r="C8" i="3"/>
  <c r="A5" i="3"/>
  <c r="A6" i="3"/>
  <c r="A7" i="3"/>
  <c r="A8" i="3"/>
  <c r="A9" i="3"/>
  <c r="J18" i="2" l="1"/>
  <c r="B12" i="5" s="1"/>
  <c r="D15" i="3"/>
  <c r="A1" i="3"/>
  <c r="B16" i="5" l="1"/>
  <c r="AE16" i="5" s="1"/>
  <c r="C14" i="3"/>
  <c r="V14" i="3" s="1"/>
  <c r="AE13" i="5"/>
  <c r="B14" i="5"/>
  <c r="AE14" i="5" s="1"/>
  <c r="D15" i="5"/>
  <c r="B17" i="5"/>
  <c r="AE17" i="5" s="1"/>
  <c r="G107" i="3"/>
  <c r="G108" i="3"/>
  <c r="C28" i="3"/>
  <c r="B25" i="5"/>
  <c r="AE25" i="5" s="1"/>
  <c r="C25" i="3"/>
  <c r="AC25" i="5"/>
  <c r="AC13" i="5"/>
  <c r="AD21" i="5"/>
  <c r="G95" i="3"/>
  <c r="G99" i="3"/>
  <c r="AC14" i="5"/>
  <c r="D13" i="5"/>
  <c r="AD26" i="5"/>
  <c r="AC12" i="5"/>
  <c r="C26" i="3"/>
  <c r="C17" i="3"/>
  <c r="D17" i="5"/>
  <c r="H15" i="5"/>
  <c r="G103" i="3"/>
  <c r="F13" i="5" l="1"/>
  <c r="AD17" i="5"/>
  <c r="Y25" i="3"/>
  <c r="Z26" i="3"/>
  <c r="Z28" i="3"/>
  <c r="W17" i="3"/>
  <c r="F14" i="5"/>
  <c r="H14" i="5"/>
  <c r="AB15" i="5"/>
  <c r="G67" i="3"/>
  <c r="G14" i="3"/>
  <c r="C18" i="3"/>
  <c r="AE12" i="5"/>
  <c r="C19" i="3"/>
  <c r="W19" i="3" s="1"/>
  <c r="C15" i="3"/>
  <c r="V15" i="3" s="1"/>
  <c r="C27" i="3"/>
  <c r="B23" i="5"/>
  <c r="AE23" i="5" s="1"/>
  <c r="B26" i="5"/>
  <c r="AE26" i="5" s="1"/>
  <c r="C16" i="3"/>
  <c r="V16" i="3" s="1"/>
  <c r="D21" i="5"/>
  <c r="F12" i="5"/>
  <c r="F25" i="5"/>
  <c r="J16" i="5"/>
  <c r="J26" i="5"/>
  <c r="C23" i="3"/>
  <c r="B21" i="5"/>
  <c r="AE21" i="5" s="1"/>
  <c r="J25" i="5"/>
  <c r="B24" i="5"/>
  <c r="AE24" i="5" s="1"/>
  <c r="G48" i="3"/>
  <c r="H13" i="5"/>
  <c r="AB13" i="5"/>
  <c r="G44" i="3"/>
  <c r="G75" i="3"/>
  <c r="AD13" i="5"/>
  <c r="B15" i="5"/>
  <c r="AE15" i="5" s="1"/>
  <c r="AA23" i="5"/>
  <c r="AA22" i="5"/>
  <c r="G97" i="3"/>
  <c r="G104" i="3"/>
  <c r="G106" i="3"/>
  <c r="AD15" i="5"/>
  <c r="AD22" i="5"/>
  <c r="D22" i="5"/>
  <c r="G39" i="3"/>
  <c r="G37" i="3"/>
  <c r="G105" i="3"/>
  <c r="G96" i="3"/>
  <c r="G76" i="3"/>
  <c r="D26" i="5"/>
  <c r="G34" i="3"/>
  <c r="G25" i="3"/>
  <c r="H23" i="5"/>
  <c r="AB23" i="5"/>
  <c r="G28" i="3"/>
  <c r="G35" i="3"/>
  <c r="G56" i="3"/>
  <c r="G94" i="3"/>
  <c r="G43" i="3"/>
  <c r="K14" i="5"/>
  <c r="G55" i="3"/>
  <c r="AA15" i="5"/>
  <c r="G98" i="3"/>
  <c r="G84" i="3"/>
  <c r="G74" i="3"/>
  <c r="J24" i="5"/>
  <c r="AA24" i="5"/>
  <c r="C24" i="3"/>
  <c r="B22" i="5"/>
  <c r="AE22" i="5" s="1"/>
  <c r="G26" i="3"/>
  <c r="K25" i="5"/>
  <c r="G17" i="3"/>
  <c r="AA21" i="5"/>
  <c r="J21" i="5"/>
  <c r="K17" i="5"/>
  <c r="AA17" i="5"/>
  <c r="J17" i="5"/>
  <c r="AA13" i="5"/>
  <c r="K13" i="5"/>
  <c r="J13" i="5"/>
  <c r="AB14" i="5" l="1"/>
  <c r="Y24" i="3"/>
  <c r="Z27" i="3"/>
  <c r="Y23" i="3"/>
  <c r="W18" i="3"/>
  <c r="AA14" i="5"/>
  <c r="J14" i="5"/>
  <c r="AA26" i="5"/>
  <c r="J23" i="5"/>
  <c r="J22" i="5"/>
  <c r="K16" i="5"/>
  <c r="AA16" i="5"/>
  <c r="J15" i="5"/>
  <c r="G16" i="3"/>
  <c r="G15" i="3"/>
  <c r="G19" i="3"/>
  <c r="G57" i="3"/>
  <c r="G66" i="3"/>
  <c r="J18" i="3"/>
  <c r="G18" i="3"/>
  <c r="J15" i="3"/>
  <c r="G27" i="3"/>
  <c r="J14" i="3"/>
  <c r="K23" i="5"/>
  <c r="K26" i="5"/>
  <c r="G23" i="3"/>
  <c r="G63" i="3"/>
  <c r="K21" i="5"/>
  <c r="K24" i="5"/>
  <c r="AA25" i="5"/>
  <c r="C28" i="5"/>
  <c r="AD12" i="5"/>
  <c r="D12" i="5"/>
  <c r="F26" i="5"/>
  <c r="AC26" i="5"/>
  <c r="F17" i="5"/>
  <c r="AC17" i="5"/>
  <c r="AB17" i="5"/>
  <c r="H17" i="5"/>
  <c r="G83" i="3"/>
  <c r="G65" i="3"/>
  <c r="G86" i="3"/>
  <c r="AC21" i="5"/>
  <c r="F21" i="5"/>
  <c r="AB25" i="5"/>
  <c r="H25" i="5"/>
  <c r="G87" i="3"/>
  <c r="G73" i="3"/>
  <c r="AC24" i="5"/>
  <c r="F24" i="5"/>
  <c r="G45" i="3"/>
  <c r="G58" i="3"/>
  <c r="AB26" i="5"/>
  <c r="H26" i="5"/>
  <c r="G28" i="5"/>
  <c r="H12" i="5"/>
  <c r="AB12" i="5"/>
  <c r="G36" i="3"/>
  <c r="D23" i="5"/>
  <c r="AD23" i="5"/>
  <c r="F15" i="5"/>
  <c r="AC15" i="5"/>
  <c r="E28" i="5"/>
  <c r="D14" i="5"/>
  <c r="AD14" i="5"/>
  <c r="G38" i="3"/>
  <c r="AD16" i="5"/>
  <c r="D16" i="5"/>
  <c r="G85" i="3"/>
  <c r="G47" i="3"/>
  <c r="F23" i="5"/>
  <c r="AC23" i="5"/>
  <c r="G64" i="3"/>
  <c r="H16" i="5"/>
  <c r="AB16" i="5"/>
  <c r="G46" i="3"/>
  <c r="G82" i="3"/>
  <c r="AB24" i="5"/>
  <c r="H24" i="5"/>
  <c r="D25" i="5"/>
  <c r="AD25" i="5"/>
  <c r="AC16" i="5"/>
  <c r="F16" i="5"/>
  <c r="K15" i="5"/>
  <c r="F22" i="5"/>
  <c r="AC22" i="5"/>
  <c r="G77" i="3"/>
  <c r="AD24" i="5"/>
  <c r="D24" i="5"/>
  <c r="H21" i="5"/>
  <c r="AB21" i="5"/>
  <c r="G68" i="3"/>
  <c r="G59" i="3"/>
  <c r="G78" i="3"/>
  <c r="H22" i="5"/>
  <c r="AB22" i="5"/>
  <c r="G24" i="3"/>
  <c r="J17" i="3"/>
  <c r="J12" i="5"/>
  <c r="K12" i="5"/>
  <c r="I28" i="5"/>
  <c r="AA12" i="5"/>
  <c r="G54" i="3"/>
  <c r="K22" i="5"/>
  <c r="K28" i="5" l="1"/>
  <c r="K29" i="5" l="1"/>
  <c r="G29" i="5"/>
  <c r="E29" i="5"/>
  <c r="C29" i="5"/>
  <c r="I29" i="5"/>
</calcChain>
</file>

<file path=xl/sharedStrings.xml><?xml version="1.0" encoding="utf-8"?>
<sst xmlns="http://schemas.openxmlformats.org/spreadsheetml/2006/main" count="1214" uniqueCount="511">
  <si>
    <t>Operational Enablement</t>
  </si>
  <si>
    <t>Business Functions</t>
  </si>
  <si>
    <t>Security Practices</t>
  </si>
  <si>
    <t>0+</t>
  </si>
  <si>
    <t>1+</t>
  </si>
  <si>
    <t>2+</t>
  </si>
  <si>
    <t>Translated Value</t>
  </si>
  <si>
    <t>Version:</t>
  </si>
  <si>
    <t>Description:</t>
  </si>
  <si>
    <t>Contributors:</t>
  </si>
  <si>
    <t>License:</t>
  </si>
  <si>
    <t>Creative Commons Attribution-ShareAlike 3.0 License</t>
  </si>
  <si>
    <t>This work is licensed under the Creative Commons Attribution-Share Alike 3.0 License. To view a copy of this license, visit http://creativecommons.org/licenses/by-sa/3.0/legalcode; or, (b) send a letter to Creative Commons, 171 2nd Street, Suite 300, San Francisco, California, 94105, USA.</t>
  </si>
  <si>
    <t>Instructions</t>
  </si>
  <si>
    <t>Interview an individual based on the questions below organized according to SAMM Business Functions and Security Practices.</t>
  </si>
  <si>
    <t>Document additional information such as how and why in the "Interview Notes" column.</t>
  </si>
  <si>
    <t>Once the interview is complete, go to the "Scorecard" sheet and follow instructions.</t>
  </si>
  <si>
    <t>Organization:</t>
  </si>
  <si>
    <t>Interview Date:</t>
  </si>
  <si>
    <t>Governance</t>
  </si>
  <si>
    <t>Strategy &amp; Metrics</t>
  </si>
  <si>
    <t>Interview Notes</t>
  </si>
  <si>
    <t>Policy &amp; Compliance</t>
  </si>
  <si>
    <t>Education &amp; Guidance</t>
  </si>
  <si>
    <t>Threat Assessment</t>
  </si>
  <si>
    <t>Security Requirements</t>
  </si>
  <si>
    <t>Secure Architecture</t>
  </si>
  <si>
    <t>Verification</t>
  </si>
  <si>
    <t>Security Testing</t>
  </si>
  <si>
    <t>Do project teams specify security requirements during development?</t>
  </si>
  <si>
    <t>No</t>
  </si>
  <si>
    <t>Authors:</t>
  </si>
  <si>
    <t>Rating</t>
  </si>
  <si>
    <t>Yes</t>
  </si>
  <si>
    <t>Answer</t>
  </si>
  <si>
    <t>Rating Scale</t>
  </si>
  <si>
    <t>Operations</t>
  </si>
  <si>
    <t>Software Assurance Maturity Model (SAMM) Roadmap</t>
  </si>
  <si>
    <t>Date</t>
  </si>
  <si>
    <t>Source Data</t>
  </si>
  <si>
    <t>As-Is</t>
  </si>
  <si>
    <t>To-Be</t>
  </si>
  <si>
    <t>Security Practice</t>
  </si>
  <si>
    <t>Security Practices/Phase</t>
  </si>
  <si>
    <t>Start</t>
  </si>
  <si>
    <t>After 1</t>
  </si>
  <si>
    <t>After 2</t>
  </si>
  <si>
    <t>May</t>
  </si>
  <si>
    <t>After 4</t>
  </si>
  <si>
    <t>Current GAP</t>
  </si>
  <si>
    <t>Strategy &amp; metrics</t>
  </si>
  <si>
    <t>SAMM velocity:</t>
  </si>
  <si>
    <t>Valid Maturity Levels</t>
  </si>
  <si>
    <t>Software Assurance Maturity Model (SAMM) Roadmap Chart Template Background Images</t>
  </si>
  <si>
    <t>Author:</t>
  </si>
  <si>
    <t>One aim of the Software Assurance Maturity Model (SAMM) is to help organizations build software security assurance programs.  The current position and future targets can be charted and the SAMM document includes roadmap templates for different industries. This spreadsheet helps produce roadmaps once the plan is known.  It is structured with four phases of improvement, like in SAMM, although could be altered to suit any number of stages.</t>
  </si>
  <si>
    <t>Aidan Lynch</t>
  </si>
  <si>
    <t>SAMM</t>
  </si>
  <si>
    <t>The Software Assurance Maturity Model (SAMM) was created by Pravir Chandra and is now an Open Web Application Security Project (OWASP) project.</t>
  </si>
  <si>
    <t>SAMM is licensed under the Creative Commons Attribution-Share Alike 3.0 License</t>
  </si>
  <si>
    <t>Current</t>
  </si>
  <si>
    <t>Yes, it's less than a year old</t>
  </si>
  <si>
    <t>Yes, some of them are aware</t>
  </si>
  <si>
    <t>Yes, most of them are aware</t>
  </si>
  <si>
    <t>Yes, we did it once</t>
  </si>
  <si>
    <t>Yes, we do it every few years</t>
  </si>
  <si>
    <t>Yes, we do it at least annually</t>
  </si>
  <si>
    <t>2,3,6,9</t>
  </si>
  <si>
    <t>Yes, but on an adhoc basis</t>
  </si>
  <si>
    <t>Yes, there is a standard set</t>
  </si>
  <si>
    <t>Yes, the standard set is integrated</t>
  </si>
  <si>
    <t>8,15,20</t>
  </si>
  <si>
    <t>A</t>
  </si>
  <si>
    <t>B</t>
  </si>
  <si>
    <t>C</t>
  </si>
  <si>
    <t>D</t>
  </si>
  <si>
    <t>E</t>
  </si>
  <si>
    <t>F</t>
  </si>
  <si>
    <t>G</t>
  </si>
  <si>
    <t>H</t>
  </si>
  <si>
    <t>Yes, localized to business areas</t>
  </si>
  <si>
    <t>Yes, across the organization and required</t>
  </si>
  <si>
    <t>Yes, across the organization</t>
  </si>
  <si>
    <t>16,18</t>
  </si>
  <si>
    <t>Yes, approx. half of them are aware</t>
  </si>
  <si>
    <t>No, it is not applicable</t>
  </si>
  <si>
    <t>4,15</t>
  </si>
  <si>
    <t>1,2,3,5,8,10,13,14,17,18</t>
  </si>
  <si>
    <t>6,7,9,11,12,16,19</t>
  </si>
  <si>
    <t>1,3,5,12</t>
  </si>
  <si>
    <t>4,8,10,13</t>
  </si>
  <si>
    <t>Maturity</t>
  </si>
  <si>
    <t>Yes, it's a number of years old</t>
  </si>
  <si>
    <t>Yes, it's a pretty mature program</t>
  </si>
  <si>
    <t>Phase 1</t>
  </si>
  <si>
    <t>Phase 2</t>
  </si>
  <si>
    <t>Phase 3</t>
  </si>
  <si>
    <t>Phase 4</t>
  </si>
  <si>
    <t>Current Maturity Score</t>
  </si>
  <si>
    <t>Phase 4 Maturity Score</t>
  </si>
  <si>
    <r>
      <t xml:space="preserve">Notes:
</t>
    </r>
    <r>
      <rPr>
        <sz val="10"/>
        <rFont val="Trebuchet MS"/>
        <family val="2"/>
      </rPr>
      <t>Data in this worksheet is automatically imported from the Interview and Roadmap worksheets and will automatically update when changed in the respective worksheets.  This is mostly a read-only worksheet, changes should be made in Interview or Roadmap worksheets.</t>
    </r>
  </si>
  <si>
    <t>Select the best answer from the multiple choice drop down selections in the answer column.</t>
  </si>
  <si>
    <t>The formulas in hidden columns F-H will calculate the scores and update the Rating boxes and other worksheets as needed.</t>
  </si>
  <si>
    <r>
      <t xml:space="preserve">Notes:
</t>
    </r>
    <r>
      <rPr>
        <sz val="10"/>
        <rFont val="Trebuchet MS"/>
        <family val="2"/>
      </rPr>
      <t>Data in this worksheet is used to feed the Interview worksheet and Roadmap worksheet and provides answers and values.  
Please do not edit without understanding the potential impact to the SAMM model as it will alter the scoring model.
There are currently seven categories of answers, the colors/numbers in column I indicate which questions in which Business Function are using that specific answer category.</t>
    </r>
  </si>
  <si>
    <t xml:space="preserve">Software Assurance Maturity Model (SAMM) </t>
  </si>
  <si>
    <t>Element:</t>
  </si>
  <si>
    <t>Colin Watson</t>
  </si>
  <si>
    <t>Author(s):</t>
  </si>
  <si>
    <t>https://www.owasp.org/index.php/OWASP_SAMM_Project</t>
  </si>
  <si>
    <t>Nick Coblentz, Eoin Keary, and Seba Deleersnyder</t>
  </si>
  <si>
    <t>Toolbox for v1.5</t>
  </si>
  <si>
    <t>Brian Glas</t>
  </si>
  <si>
    <t>Roadmap Chart Template v1.0</t>
  </si>
  <si>
    <t>Interview Template v1.0</t>
  </si>
  <si>
    <t>11,19</t>
  </si>
  <si>
    <t>9,14,17</t>
  </si>
  <si>
    <t>1,2,3,6,7,8,10,11,12,15,19</t>
  </si>
  <si>
    <t>Yes, a small percentage are/do</t>
  </si>
  <si>
    <t>Yes, at least half of them are/do</t>
  </si>
  <si>
    <t>Yes, the majority of them are/do</t>
  </si>
  <si>
    <t>6,7,9,11,14,15,16,17</t>
  </si>
  <si>
    <t>Yes, teams write/run their own</t>
  </si>
  <si>
    <t>4,5,7,12,13,14,16,17,18</t>
  </si>
  <si>
    <t>Phase 3 Maturity Score</t>
  </si>
  <si>
    <t>Phase 2 Maturity Score</t>
  </si>
  <si>
    <t>Phase 1 Maturity Score</t>
  </si>
  <si>
    <t>Has the organization defined a set of risks by which applications could be prioritized?</t>
  </si>
  <si>
    <t>Yes, at least half of the time</t>
  </si>
  <si>
    <t>ANS_SET_CODE</t>
  </si>
  <si>
    <t>A_W</t>
  </si>
  <si>
    <t>B_W</t>
  </si>
  <si>
    <t>C_W</t>
  </si>
  <si>
    <t>D_W</t>
  </si>
  <si>
    <t>Yes, for some applications</t>
  </si>
  <si>
    <t>Yes, for at least half of the applications</t>
  </si>
  <si>
    <t>Yes, for most of the applications</t>
  </si>
  <si>
    <t>Yes, some of them</t>
  </si>
  <si>
    <t>Yes, at least half of them</t>
  </si>
  <si>
    <t>Yes, the most of them</t>
  </si>
  <si>
    <t>Yes, some content has been updated</t>
  </si>
  <si>
    <t>Yes, at least half of the content</t>
  </si>
  <si>
    <t>Yes, the majority of the content</t>
  </si>
  <si>
    <t>Yes, for some of the trianing</t>
  </si>
  <si>
    <t>Yes, at least half of the training</t>
  </si>
  <si>
    <t>Yes, the majority of training</t>
  </si>
  <si>
    <t>Yes, some of the time</t>
  </si>
  <si>
    <t>Yes, most of the time</t>
  </si>
  <si>
    <t>Yes, started to implement</t>
  </si>
  <si>
    <t>Yes, effective for some of the organization</t>
  </si>
  <si>
    <t>Yes, effective for most of the organization</t>
  </si>
  <si>
    <t>Yes, for some components</t>
  </si>
  <si>
    <t>Yes, for at least half of the components</t>
  </si>
  <si>
    <t>Yes, for most of the components</t>
  </si>
  <si>
    <t>Yes, for some of the incidents</t>
  </si>
  <si>
    <t>Yes, for at least half of the incidents</t>
  </si>
  <si>
    <t>Yes, for most of the incidents</t>
  </si>
  <si>
    <t>Yes, for some types of incidents</t>
  </si>
  <si>
    <t>Yes, for at least half of the types of incidents</t>
  </si>
  <si>
    <t>Yes, for most of the types of incidents</t>
  </si>
  <si>
    <t>Yes, for some of our data</t>
  </si>
  <si>
    <t>Yes, for at least half of our data</t>
  </si>
  <si>
    <t>Yes, for most of our data</t>
  </si>
  <si>
    <t>Yes, we do it when requested</t>
  </si>
  <si>
    <t>Yes, for some of the assets</t>
  </si>
  <si>
    <t>Yes, for at least half of the assets</t>
  </si>
  <si>
    <t>Yes, for most of the assets</t>
  </si>
  <si>
    <t>Yes, for some of the technology domains</t>
  </si>
  <si>
    <t>Yes, for at least half of the technology domains</t>
  </si>
  <si>
    <t>Yes, for the majority of the technology domains</t>
  </si>
  <si>
    <t>Yes, basic risks</t>
  </si>
  <si>
    <t>Yes, covers most significant risks</t>
  </si>
  <si>
    <t>Yes, covers risks and opportunities</t>
  </si>
  <si>
    <t>Yes, we review it annually</t>
  </si>
  <si>
    <t>Yes, we consult the plan before making significant decisions</t>
  </si>
  <si>
    <t>Yes, we consult the plan often, and it's aligned with our application security strategy</t>
  </si>
  <si>
    <t>Yes, we review it every two years or so</t>
  </si>
  <si>
    <t>Yes, we review it at least annually</t>
  </si>
  <si>
    <t>Yes, for one metrics category</t>
  </si>
  <si>
    <t>Yes, for two metrics categories</t>
  </si>
  <si>
    <t>Yes, for all three metrics categories</t>
  </si>
  <si>
    <t>Yes, sporadically</t>
  </si>
  <si>
    <t>Yes, upon change of the application</t>
  </si>
  <si>
    <t>Yes, at least yearly</t>
  </si>
  <si>
    <t>ID</t>
  </si>
  <si>
    <t>Business Function</t>
  </si>
  <si>
    <t>Activity</t>
  </si>
  <si>
    <t>Question</t>
  </si>
  <si>
    <t>Guidance</t>
  </si>
  <si>
    <t>Answer Option</t>
  </si>
  <si>
    <t>G-SM-A-1-1</t>
  </si>
  <si>
    <t>Create and Promote</t>
  </si>
  <si>
    <t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t>
  </si>
  <si>
    <t>G-SM-A-2-1</t>
  </si>
  <si>
    <t>Do you have a strategic plan for application security that is used to make decisions?</t>
  </si>
  <si>
    <t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t>
  </si>
  <si>
    <t>G-SM-A-3-1</t>
  </si>
  <si>
    <t>Do you regularly review and update the Strategic Plan for Application Security?</t>
  </si>
  <si>
    <t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t>
  </si>
  <si>
    <t>G-SM-B-1-1</t>
  </si>
  <si>
    <t>Measure and Improve</t>
  </si>
  <si>
    <t>Are you using a set of metrics to measure the effectiveness and efficiency of the application security program across applications?</t>
  </si>
  <si>
    <t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t>
  </si>
  <si>
    <t>G-SM-B-2-1</t>
  </si>
  <si>
    <t>Did you define Key Perfomance Indicators (KPI) from available application security metrics?</t>
  </si>
  <si>
    <t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t>
  </si>
  <si>
    <t>G-SM-B-3-1</t>
  </si>
  <si>
    <t>Do you influence the Application Security strategy and roadmap based on application security metrics and KPIs?</t>
  </si>
  <si>
    <t xml:space="preserve">KPIs are reviewed regularly (at least yearly) for their efficiency and effectiveness
Majority of the changes to the application security strategy are triggered by KPIs and application security metrics
</t>
  </si>
  <si>
    <t>G-EG-A-1-1</t>
  </si>
  <si>
    <t>Training and Awareness</t>
  </si>
  <si>
    <t>Do you require employees involved with application development to take SDLC training?</t>
  </si>
  <si>
    <t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t>
  </si>
  <si>
    <t>G-EG-A-2-1</t>
  </si>
  <si>
    <t>Has the training been customized for individual roles, such as developers, testers, or security champions?</t>
  </si>
  <si>
    <t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t>
  </si>
  <si>
    <t>G-EG-A-3-1</t>
  </si>
  <si>
    <t>Have you implemented a Learning Management System or equivalent to track employee training / certification processes?</t>
  </si>
  <si>
    <t>G-EG-B-1-1</t>
  </si>
  <si>
    <t>Organization and Culture</t>
  </si>
  <si>
    <t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t>
  </si>
  <si>
    <t>G-EG-B-2-1</t>
  </si>
  <si>
    <t>Does the organization have a Secure Software Center of Excellence (SSCE)?</t>
  </si>
  <si>
    <t>G-EG-B-3-1</t>
  </si>
  <si>
    <t>Is there a centralized portal where developers and application security professionals from different teams and business units are able to communicate and share information?</t>
  </si>
  <si>
    <t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t>
  </si>
  <si>
    <t>D-TA-A-1-1</t>
  </si>
  <si>
    <t>Design</t>
  </si>
  <si>
    <t>Application Risk Profile</t>
  </si>
  <si>
    <t>Are you classifying applications according to business risk based on a simple, but predefined set of questions?</t>
  </si>
  <si>
    <t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t>
  </si>
  <si>
    <t>D-TA-A-2-1</t>
  </si>
  <si>
    <t>Are you using centralized and quantified application risk profiles to evaluate business risk?</t>
  </si>
  <si>
    <t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t>
  </si>
  <si>
    <t>D-TA-A-3-1</t>
  </si>
  <si>
    <t>Do you regularly review and update the risk profiles for your applications?</t>
  </si>
  <si>
    <t xml:space="preserve">The organisational risk standard takes into account historical feedback to improve the evaluation method
Significant changes in the application or business context trigger a review of the relevant risk profiles
</t>
  </si>
  <si>
    <t>D-TA-B-1-1</t>
  </si>
  <si>
    <t>Threat Modeling</t>
  </si>
  <si>
    <t>Are you evaluating the technical architecture of your applications for potential threats?</t>
  </si>
  <si>
    <t xml:space="preserve">Application trust boundaries are being reviewed
Threat identification should cover different types of threats
</t>
  </si>
  <si>
    <t>D-TA-B-2-1</t>
  </si>
  <si>
    <t>Are you using a standard methodology to evaluate the threats to your applications?</t>
  </si>
  <si>
    <t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t>
  </si>
  <si>
    <t>D-TA-B-3-1</t>
  </si>
  <si>
    <t>Do you regularly review and update the threat models for your applications?</t>
  </si>
  <si>
    <t>D-SR-A-1-1</t>
  </si>
  <si>
    <t>Software Requirements</t>
  </si>
  <si>
    <t xml:space="preserve">Security requirements are derived from functional requirements and customer/organization concerns.
Security requirements are specific, measurable, and reasonable.
Security requirements are in line with the organisational baseline.
</t>
  </si>
  <si>
    <t>D-SR-A-2-1</t>
  </si>
  <si>
    <t>Are the artifacts of the security requirements gathering process well defined and structured, with prioritization?</t>
  </si>
  <si>
    <t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t>
  </si>
  <si>
    <t>D-SR-A-3-1</t>
  </si>
  <si>
    <t>Is a standard requirements framework used to streamline the elicitation of security requirements?</t>
  </si>
  <si>
    <t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t>
  </si>
  <si>
    <t>D-SR-B-1-1</t>
  </si>
  <si>
    <t>Supplier Security</t>
  </si>
  <si>
    <t>Do stakeholders review vendor collaborations for security requirements and methodology?</t>
  </si>
  <si>
    <t xml:space="preserve">During the creation of third-party agreements, specific security requirements, activities, and processes are considered for inclusion.
A vendor questionnaire is available and used to assess the strengths and weaknesses of your suppliers.
</t>
  </si>
  <si>
    <t>D-SR-B-2-1</t>
  </si>
  <si>
    <t>Does the vendor meet the security responsibilities and quality measures to be in line with service level agreements as defined by the organization?</t>
  </si>
  <si>
    <t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t>
  </si>
  <si>
    <t>D-SR-B-3-1</t>
  </si>
  <si>
    <t>Are vendors aligned with standard security controls and software development tools and processes that the organization utilizes?</t>
  </si>
  <si>
    <t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t>
  </si>
  <si>
    <t>D-SA-A-1-1</t>
  </si>
  <si>
    <t>Security Architecture</t>
  </si>
  <si>
    <t>Architecture Design</t>
  </si>
  <si>
    <t>Do teams use security principles during design?</t>
  </si>
  <si>
    <t xml:space="preserve">You have an agreed upon checklist of security principles
Your checklist(s) are stored in an accessible location
Security principles have been explained to relevant stakeholders
</t>
  </si>
  <si>
    <t>D-SA-A-2-1</t>
  </si>
  <si>
    <t>Do you favour the use of standard security services during design?</t>
  </si>
  <si>
    <t xml:space="preserve">You have a documented list of reusable security services, available to relevant stakeholders
You have reviewed the baseline security posture for each selected service
Your designers are trained to integrate each selected service following available guidance
</t>
  </si>
  <si>
    <t>D-SA-A-3-1</t>
  </si>
  <si>
    <t>Do you base your design on available reference architectures?</t>
  </si>
  <si>
    <t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t>
  </si>
  <si>
    <t>D-SA-B-1-1</t>
  </si>
  <si>
    <t>Technology Management</t>
  </si>
  <si>
    <t>Do you evaluate the security quality of important technologies used within the development organisation?</t>
  </si>
  <si>
    <t xml:space="preserve">You have a list of the most important technologies used in (or in support of) each application.
You identify and track technological risks
You ensure that the risks to these technologies are in line with the organisational baseline
</t>
  </si>
  <si>
    <t>D-SA-B-2-1</t>
  </si>
  <si>
    <t>Do you have a list of recommended technologies for use in the development organisation?</t>
  </si>
  <si>
    <t xml:space="preserve">The list is based on technologies used in the software portfolio
Lead architects and developers review and approve the list
The list is shared across the development organisation
The list is regularly (at least yearly) reviewed and updated
</t>
  </si>
  <si>
    <t>D-SA-B-3-1</t>
  </si>
  <si>
    <t>Do you enforce the use of recommended technologies within the development organisation?</t>
  </si>
  <si>
    <t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t>
  </si>
  <si>
    <t>I-SB-A-1-1</t>
  </si>
  <si>
    <t>Implementation</t>
  </si>
  <si>
    <t>Secure Build</t>
  </si>
  <si>
    <t>Build Process</t>
  </si>
  <si>
    <t>Do you use repeatable build processes?</t>
  </si>
  <si>
    <t xml:space="preserve">You have enough information to recreate the build processes
Your build documentation up to date
Your build documentation is stored in an accessible location
Produced artifact checksums are created during build to support later verification
</t>
  </si>
  <si>
    <t>I-SB-A-2-1</t>
  </si>
  <si>
    <t>Are build processes automated?</t>
  </si>
  <si>
    <t xml:space="preserve">Your build tools are hardened as per best practice and vendor guidance
You encrypt the secrets required by the build tools and control access based on the principle of least privilege
</t>
  </si>
  <si>
    <t>I-SB-A-3-1</t>
  </si>
  <si>
    <t>Do you integrate automated security checks in build processes?</t>
  </si>
  <si>
    <t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t>
  </si>
  <si>
    <t>I-SB-B-1-1</t>
  </si>
  <si>
    <t>Software Dependencies</t>
  </si>
  <si>
    <t>Do you evaluate security risk stemming from used dependencies?</t>
  </si>
  <si>
    <t xml:space="preserve">You have current bill of materials (BOM) for every application
You can quickly find out which applications are affected by a particular CVE
You have provably analyzed and addressed findings from dependencies at least once in the last three months
</t>
  </si>
  <si>
    <t>I-SB-B-2-1</t>
  </si>
  <si>
    <t>Is 3rd party dependency risk handled by a formal process?</t>
  </si>
  <si>
    <t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t>
  </si>
  <si>
    <t>I-SB-B-3-1</t>
  </si>
  <si>
    <t>Do you prevent build of software if it's affected by vulnerabilities in dependencies?</t>
  </si>
  <si>
    <t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t>
  </si>
  <si>
    <t>I-SD-A-1-1</t>
  </si>
  <si>
    <t>Secure Deployment</t>
  </si>
  <si>
    <t>Deployment Process</t>
  </si>
  <si>
    <t>Do you use repeatable deployment processes?</t>
  </si>
  <si>
    <t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t>
  </si>
  <si>
    <t>I-SD-A-2-1</t>
  </si>
  <si>
    <t>Are deployment processes automated and taking into account security?</t>
  </si>
  <si>
    <t xml:space="preserve">Deployment includes automated security testing procedures
Responsible staff is alerted with identified vulnerabilities
You have logs available for your past deployments for a defined period of time
</t>
  </si>
  <si>
    <t>I-SD-A-3-1</t>
  </si>
  <si>
    <t>Do you consistently validate the integrity of deployed artifacts?</t>
  </si>
  <si>
    <t xml:space="preserve">Deployment is prevented or rolled back in case integrity breach is detected
Software without a valid integrity check is not deployed
</t>
  </si>
  <si>
    <t>I-SD-B-1-1</t>
  </si>
  <si>
    <t>Secret Management</t>
  </si>
  <si>
    <t>Do you limit access to application secrets according to the need to know principle?</t>
  </si>
  <si>
    <t xml:space="preserve">You store application secrets protected in a secured location
</t>
  </si>
  <si>
    <t>I-SD-B-2-1</t>
  </si>
  <si>
    <t>Do you minimize permanent storage of secrets in application artefacts, for instance by injecting them into the configuration using an automated process?</t>
  </si>
  <si>
    <t xml:space="preserve">Under normal circumstances, no humans access secrets during deployment procedures
Any abnormal access to secrets is logged and alerted
</t>
  </si>
  <si>
    <t>I-SD-B-3-1</t>
  </si>
  <si>
    <t>Do you regenerate application secrets during deployment?</t>
  </si>
  <si>
    <t xml:space="preserve">Secrets are generated and synchronized using a vetted solution
Detection of a secret in a configuration file fails the deployment
</t>
  </si>
  <si>
    <t>I-DM-A-1-1</t>
  </si>
  <si>
    <t>Defect Management</t>
  </si>
  <si>
    <t>Defect Tracking (Flaws/Bugs/Process)</t>
  </si>
  <si>
    <t>Do you track all known security defects in a central location per defined scope?</t>
  </si>
  <si>
    <t xml:space="preserve">The process includess strategy for handling false positives and accepting risk
Defects stem from various sources / activities
Deduplication is ensured per location
</t>
  </si>
  <si>
    <t>I-DM-A-2-1</t>
  </si>
  <si>
    <t>Do you take action on defects exceeding defined threshold?</t>
  </si>
  <si>
    <t xml:space="preserve">The defined threshold is documented in an accessible location
Reaching the threshold triggers a timely alert to the relevant stakeholders
You don't deploy applications exceeding the threshold
</t>
  </si>
  <si>
    <t>I-DM-A-3-1</t>
  </si>
  <si>
    <t>Does independent security staff enforce the defined threshold?</t>
  </si>
  <si>
    <t xml:space="preserve">Knowledgeable decision based on input from defect management system is ensured upon deployment
The classification of the defects is regularly verified
</t>
  </si>
  <si>
    <t>I-DM-B-1-1</t>
  </si>
  <si>
    <t>Metrics and Feedback/Learning</t>
  </si>
  <si>
    <t>Do you share defect information for remediation and improving training materials?</t>
  </si>
  <si>
    <t xml:space="preserve">Basic information about defects is made available to fix them
You have improved your training materials based on the defect information in the last year
</t>
  </si>
  <si>
    <t>I-DM-B-2-1</t>
  </si>
  <si>
    <t>Do you improve your assurance program upon well-defined metrics?</t>
  </si>
  <si>
    <t xml:space="preserve">Metrics for defect classification and categorization is documented and up to date
Executive management regularly receives information about defects has acted upon it in the last year
Defects are mapped to a list of threats
</t>
  </si>
  <si>
    <t>I-DM-B-3-1</t>
  </si>
  <si>
    <t>Do you enrich defect metrics with relevant real time information?</t>
  </si>
  <si>
    <t xml:space="preserve">Defect metrics are automatically correlated with real-time environment information
Relevant stakeholders get timely update on significant changes in the defect classification
Trends in defect development have been updated in the last year
</t>
  </si>
  <si>
    <t>V-AA-A-1-1</t>
  </si>
  <si>
    <t>Architecture Assessment</t>
  </si>
  <si>
    <t>Architecture Validation</t>
  </si>
  <si>
    <t>Do you review the application architecture for key security objectives and threats on an ad-hoc basis?</t>
  </si>
  <si>
    <t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t>
  </si>
  <si>
    <t>V-AA-A-2-1</t>
  </si>
  <si>
    <t>Do you thoroughly review your software architecture regularly using an agreed upon methodology?</t>
  </si>
  <si>
    <t>V-AA-A-3-1</t>
  </si>
  <si>
    <t>Do you regularly review the effectiveness of the security controls?</t>
  </si>
  <si>
    <t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t>
  </si>
  <si>
    <t>V-AA-B-1-1</t>
  </si>
  <si>
    <t>Architecture Compliance</t>
  </si>
  <si>
    <t>Do you review the architecture against compliance requirements?</t>
  </si>
  <si>
    <t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t>
  </si>
  <si>
    <t>V-AA-B-2-1</t>
  </si>
  <si>
    <t>Do you analyze the architecture against known security requirements and best practices ?</t>
  </si>
  <si>
    <t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t>
  </si>
  <si>
    <t>V-AA-B-3-1</t>
  </si>
  <si>
    <t>Do you feed architecture review results back into the enterprise architecture?</t>
  </si>
  <si>
    <t xml:space="preserve">You map the security features to security compliance requirements
You identify the cause of gaps in the mapping and handle them following organisational risk management
</t>
  </si>
  <si>
    <t>V-RT-A-1-1</t>
  </si>
  <si>
    <t>Requirements Driven Testing</t>
  </si>
  <si>
    <t>Control Verification</t>
  </si>
  <si>
    <t>Do you test applications for the correct functioning of standard security controls?</t>
  </si>
  <si>
    <t xml:space="preserve">Security testing at least verifies the implementation of authentication, access control, input validation, encoding and escaping data, and encryption controls.
Security testing executes whenever the application changes its use of the controls.
</t>
  </si>
  <si>
    <t>V-RT-A-2-1</t>
  </si>
  <si>
    <t>Do you test security controls based on the specific application security requirements?</t>
  </si>
  <si>
    <t xml:space="preserve">Tests are tailored to each application and assert expected security functionality.
Test results are captured as a pass or fail condition
</t>
  </si>
  <si>
    <t>V-RT-A-3-1</t>
  </si>
  <si>
    <t>Do you automatically test applications for security regressions?</t>
  </si>
  <si>
    <t xml:space="preserve">Tests are consistently written for all identified bugs (possibly exceeding a pre-defined severity threshhold)
Security tests are collected in a test suite that is part of the existing unit testing framework
</t>
  </si>
  <si>
    <t>V-RT-B-1-1</t>
  </si>
  <si>
    <t>Misuse/Abuse Testing</t>
  </si>
  <si>
    <t>Do you test applications using randomization techniques?</t>
  </si>
  <si>
    <t xml:space="preserve">Testing covers most or all of the application's main input parameters
All application crashes are recorded and systematically inspected for security impact
</t>
  </si>
  <si>
    <t>V-RT-B-2-1</t>
  </si>
  <si>
    <t>Do you create abuse cases from functional requirements and use them to drive security tests?</t>
  </si>
  <si>
    <t xml:space="preserve">Important business functionality has corresponding abuse cases
You build abuse stories around relevant personas with well-defined motivations and characteristics
You capture identified weaknesses as security requirements
</t>
  </si>
  <si>
    <t>V-RT-B-3-1</t>
  </si>
  <si>
    <t>Do you perform denial of service and security stress testing?</t>
  </si>
  <si>
    <t xml:space="preserve">Stress tests target specific application resources (e.g. memory exhaustion by saving large amounts of data to a user session)
You design tests around relevant personas with well-defined capabilities (knowledge, resources)
</t>
  </si>
  <si>
    <t>V-ST-A-1-1</t>
  </si>
  <si>
    <t>Scalable Baseline</t>
  </si>
  <si>
    <t>Do you scan applications with automated security testing tools?</t>
  </si>
  <si>
    <t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t>
  </si>
  <si>
    <t>V-ST-A-2-1</t>
  </si>
  <si>
    <t>Do you verify business logic with automated security tests, created from application security requirements?</t>
  </si>
  <si>
    <t xml:space="preserve">Tests are specifically customized for software interfaces in the project.
Tests and the security requirements they verify are expressed in a structured format, such as a DSL.
Tests include organization-specific technical standards and compliance concerns.
</t>
  </si>
  <si>
    <t>V-ST-A-3-1</t>
  </si>
  <si>
    <t>Do you integrate automated security testing into the build and deploy process?</t>
  </si>
  <si>
    <t xml:space="preserve">Test results are tracked and reviewed by management and business stakeholders throughout the development cycle
Tests results are merged into a central dashboard and fed into defect management.
</t>
  </si>
  <si>
    <t>V-ST-B-1-1</t>
  </si>
  <si>
    <t>Deep Understanding</t>
  </si>
  <si>
    <t>Do you manually review the security quality of selected high-risk components?</t>
  </si>
  <si>
    <t xml:space="preserve">Criteria exist to help the reviewer to focus on high-risk components
Reviews are conducted by qualified personel following documented guidelines
findings are addressed in accordance with the organisation's defect management policy
</t>
  </si>
  <si>
    <t>V-ST-B-2-1</t>
  </si>
  <si>
    <t>Do you perform penetration testing for your applications at regular intervals?</t>
  </si>
  <si>
    <t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t>
  </si>
  <si>
    <t>V-ST-B-3-1</t>
  </si>
  <si>
    <t>Do you use the results of security testing to improve the development lifecycle?</t>
  </si>
  <si>
    <t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t>
  </si>
  <si>
    <t>O-IM-A-1-1</t>
  </si>
  <si>
    <t>Incident Management</t>
  </si>
  <si>
    <t>Incident Detection</t>
  </si>
  <si>
    <t>Do you analyze log data for possible security incidents periodically?</t>
  </si>
  <si>
    <t xml:space="preserve">You have a contact point for the creation of security incidents
You analyze data in accordance with the log data retention periods
The frequency of this analysis is aligned with the criticality of your applications
</t>
  </si>
  <si>
    <t>O-IM-A-2-1</t>
  </si>
  <si>
    <t>Do you follow a process for incident detection?</t>
  </si>
  <si>
    <t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t>
  </si>
  <si>
    <t>O-IM-A-3-1</t>
  </si>
  <si>
    <t>Do you review and update the incident detection process regularly?</t>
  </si>
  <si>
    <t xml:space="preserve">You perform reviews at least annually
You update the checklist of potential attacks with external and internal data
</t>
  </si>
  <si>
    <t>O-IM-B-1-1</t>
  </si>
  <si>
    <t>Incident Response</t>
  </si>
  <si>
    <t>Do you respond upon detected incidents?</t>
  </si>
  <si>
    <t xml:space="preserve">You have a defined person or role for incident handling
You document security incidents
</t>
  </si>
  <si>
    <t>O-IM-B-2-1</t>
  </si>
  <si>
    <t>Do you have a repeatable process for incident handling?</t>
  </si>
  <si>
    <t xml:space="preserve">You have an agreed upon incident classification
The process considers Root Case Analysis for high severity incidents
Employees responsible for incident response are trained in this process
Forensic analysis tooling is available
</t>
  </si>
  <si>
    <t>O-IM-B-3-1</t>
  </si>
  <si>
    <t>Is there a dedicated incident response team available?</t>
  </si>
  <si>
    <t xml:space="preserve">The team performs Root Cause Analysis for all security incidents unless there is a specific reason not to do so
You review and update the response process at least annually
</t>
  </si>
  <si>
    <t>O-EM-A-1-1</t>
  </si>
  <si>
    <t>Environment Management</t>
  </si>
  <si>
    <t>Configuration Hardening</t>
  </si>
  <si>
    <t>Do you harden configurations for key components across your whole technology stack?</t>
  </si>
  <si>
    <t xml:space="preserve">You have identified the scope for this activity
You work with public sources to gather recommendations for your configurations
</t>
  </si>
  <si>
    <t>O-EM-A-2-1</t>
  </si>
  <si>
    <t>Do you maintain hardening baselines for your components?</t>
  </si>
  <si>
    <t xml:space="preserve">There is an owner for each baseline
The owner is responsible for keeping baselines up to date
Baselines are stored in an accessible location
Employees responsible for configurations are trained in these baselines
</t>
  </si>
  <si>
    <t>O-EM-A-3-1</t>
  </si>
  <si>
    <t>Do you evaluate and track conformity with the hardening baselines?</t>
  </si>
  <si>
    <t xml:space="preserve">You review and update baselines at least annually
</t>
  </si>
  <si>
    <t>O-EM-B-1-1</t>
  </si>
  <si>
    <t>Patching and Updating</t>
  </si>
  <si>
    <t>Do you identify and patch vulnerable components?</t>
  </si>
  <si>
    <t xml:space="preserve">You have an up-to-date list of components with versions
You review public sources regularly for vulnerabilities related to your components
</t>
  </si>
  <si>
    <t>O-EM-B-2-1</t>
  </si>
  <si>
    <t>Do you follow an established process for updating components across your whole technology stack?</t>
  </si>
  <si>
    <t xml:space="preserve">The process includes vendor information for 3rd party patches
The process considers external sources to gather information about zero day attacks, and take appropriate risk mitigation steps
The process includes guidance with priorities for updates of components
</t>
  </si>
  <si>
    <t>O-EM-B-3-1</t>
  </si>
  <si>
    <t>Do you regularly evaluate components and review patch level status?</t>
  </si>
  <si>
    <t xml:space="preserve">You update the list with components and versions
You identify and update missing updates according to existing SLA
You review and update the process based on feedback from the people who perform patching
</t>
  </si>
  <si>
    <t>O-OM-A-1-1</t>
  </si>
  <si>
    <t>Operational Management</t>
  </si>
  <si>
    <t>Data Protection</t>
  </si>
  <si>
    <t>Do you protect and handle information according to protection requirements for data stored and processed on each application?</t>
  </si>
  <si>
    <t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t>
  </si>
  <si>
    <t>O-OM-A-2-1</t>
  </si>
  <si>
    <t>Do you maintain a data catalog, including types, sensitivity levels, and processing and storage locations?</t>
  </si>
  <si>
    <t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t>
  </si>
  <si>
    <t>O-OM-A-3-1</t>
  </si>
  <si>
    <t>Do you regularly review and update the data catalog and your data protection policies and procedures?</t>
  </si>
  <si>
    <t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t>
  </si>
  <si>
    <t>O-OM-B-1-1</t>
  </si>
  <si>
    <t>System decommissioning / Legacy management</t>
  </si>
  <si>
    <t>Do you identify and remove systems, applications, application dependencies, or services that are no longer used, have reached end of life, or are no longer actively developed or supported?</t>
  </si>
  <si>
    <t xml:space="preserve">You do not use unsupported applications or dependencies
You manage customer/user migration from older versions for each product and customer/user group
</t>
  </si>
  <si>
    <t>O-OM-B-2-1</t>
  </si>
  <si>
    <t>Do you follow an established process for removing all associated resources, as part of decommissioning of unused systems, applications, application dependencies, or services?</t>
  </si>
  <si>
    <t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t>
  </si>
  <si>
    <t>O-OM-B-3-1</t>
  </si>
  <si>
    <t>Do you regularly evaluate the lifecycle state and support status of every software asset and underlying infrastructure component, and estimate their end-of-life?</t>
  </si>
  <si>
    <t xml:space="preserve">Your end-of-life management process is agreed upon.
You inform customers and user groups of product timelines to prevent disruption of service or support.
You review the process at least annually
</t>
  </si>
  <si>
    <t>Policy and Standards</t>
  </si>
  <si>
    <t>Have you developed a common set of policies and standards that are applied throughout your organization?</t>
  </si>
  <si>
    <t>You have adapted existing standards appropriate for the organization’s industry, to account for domain-specific considerations
Your standards are aligned with your policies, and incorporate technology-specific implementation guidance</t>
  </si>
  <si>
    <t>Do you have clearly documented, repeatable evaluation methods to test for adherence to policies and standards?</t>
  </si>
  <si>
    <t>You have created verification checklists and test scripts (where applicable), aligned with the policy's requirements, and the implementation guidance in the associated standard(s)
You have created versions adapted to each development methodology/technology in use within the organization</t>
  </si>
  <si>
    <t>Yes, for some of the policies and standards</t>
  </si>
  <si>
    <t>Yes, for at least half of the policies and standards</t>
  </si>
  <si>
    <t>Yes, for most of the policies and standards</t>
  </si>
  <si>
    <t>Do you regularly report on policy and standard compliance, and use that information to guide compliance improvement efforts?</t>
  </si>
  <si>
    <t>You have procedures (automated, if possible) in place, to regularly generate compliance reports
You have ensured compliance reports are delivered to all relevant stakeholders
Stakeholders use the reported compliance status information to identify areas for improvement</t>
  </si>
  <si>
    <t>Yes, but review is ad-hoc</t>
  </si>
  <si>
    <t>Compliance Management</t>
  </si>
  <si>
    <t>Do you have a complete picture of your external compliance obligations?</t>
  </si>
  <si>
    <t>You have identified all sources of external compliance obligations
You have captured and reconciled compliance obligations from all sources</t>
  </si>
  <si>
    <t>Do you have a standard set of security requirements, and verification procedures, addressing the organization's external compliance obligations?</t>
  </si>
  <si>
    <t>You have mapped each external compliance obligation to a well-defined set of application requirements
You have defined verification procedures, including automated tests (when possible), to verify compliance with compliance-related requirements</t>
  </si>
  <si>
    <t>Do you regularly report on adherence to external compliance obligations, and use that information to guide efforts to close compliance gaps?</t>
  </si>
  <si>
    <t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t>
  </si>
  <si>
    <t>G-PC-A-1-1</t>
  </si>
  <si>
    <t>G-PC-A-2-1</t>
  </si>
  <si>
    <t>G-PC-A-3-1</t>
  </si>
  <si>
    <t>G-PC-B-1-1</t>
  </si>
  <si>
    <t>G-PC-B-2-1</t>
  </si>
  <si>
    <t>G-PC-B-3-1</t>
  </si>
  <si>
    <t>The threat model methodology takes into account historical feedback to improve the evaluation method
Changes in the application or business context trigger a review of the relevant threat models
Threat models are independently evaluated for their quality</t>
  </si>
  <si>
    <t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t>
  </si>
  <si>
    <t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t>
  </si>
  <si>
    <t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t>
  </si>
  <si>
    <t>Team/Application:</t>
  </si>
  <si>
    <t xml:space="preserve">Team Lead: </t>
  </si>
  <si>
    <t>Stream</t>
  </si>
  <si>
    <t>Level</t>
  </si>
  <si>
    <t>Have you identified a "Security Champion" for each development team?</t>
  </si>
  <si>
    <t>Phase I</t>
  </si>
  <si>
    <t>Phase II</t>
  </si>
  <si>
    <t>Phase III</t>
  </si>
  <si>
    <t>Phase IV</t>
  </si>
  <si>
    <t>Team Lead: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</si>
</sst>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6" x14ac:knownFonts="1">
    <font>
      <sz val="10"/>
      <name val="Arial"/>
    </font>
    <font>
      <sz val="10"/>
      <color indexed="8"/>
      <name val="Arial"/>
      <family val="2"/>
    </font>
    <font>
      <b/>
      <sz val="10"/>
      <color indexed="8"/>
      <name val="Arial"/>
      <family val="2"/>
    </font>
    <font>
      <b/>
      <sz val="14"/>
      <color indexed="8"/>
      <name val="Arial"/>
      <family val="2"/>
    </font>
    <font>
      <b/>
      <sz val="10"/>
      <color indexed="9"/>
      <name val="Arial"/>
      <family val="2"/>
    </font>
    <font>
      <i/>
      <sz val="10"/>
      <color indexed="8"/>
      <name val="Arial"/>
      <family val="2"/>
    </font>
    <font>
      <sz val="14"/>
      <color indexed="8"/>
      <name val="Arial"/>
      <family val="2"/>
    </font>
    <font>
      <sz val="10"/>
      <name val="Arial"/>
      <family val="2"/>
    </font>
    <font>
      <b/>
      <sz val="11"/>
      <color indexed="8"/>
      <name val="Arial"/>
      <family val="2"/>
    </font>
    <font>
      <b/>
      <sz val="11"/>
      <name val="Arial"/>
      <family val="2"/>
    </font>
    <font>
      <b/>
      <sz val="10"/>
      <name val="Arial"/>
      <family val="2"/>
    </font>
    <font>
      <b/>
      <sz val="22"/>
      <color indexed="8"/>
      <name val="Arial"/>
      <family val="2"/>
    </font>
    <font>
      <sz val="10"/>
      <name val="Arial"/>
      <family val="2"/>
    </font>
    <font>
      <sz val="20"/>
      <name val="Trebuchet MS"/>
      <family val="2"/>
    </font>
    <font>
      <sz val="10"/>
      <name val="Trebuchet MS"/>
      <family val="2"/>
    </font>
    <font>
      <sz val="11"/>
      <name val="Trebuchet MS"/>
      <family val="2"/>
    </font>
    <font>
      <sz val="10"/>
      <color indexed="9"/>
      <name val="Trebuchet MS"/>
      <family val="2"/>
    </font>
    <font>
      <u/>
      <sz val="10"/>
      <name val="Trebuchet MS"/>
      <family val="2"/>
    </font>
    <font>
      <u/>
      <sz val="10"/>
      <color indexed="12"/>
      <name val="Arial"/>
      <family val="2"/>
    </font>
    <font>
      <sz val="20"/>
      <color indexed="9"/>
      <name val="Trebuchet MS"/>
      <family val="2"/>
    </font>
    <font>
      <b/>
      <sz val="10"/>
      <color indexed="9"/>
      <name val="Trebuchet MS"/>
      <family val="2"/>
    </font>
    <font>
      <b/>
      <u/>
      <sz val="10"/>
      <color indexed="9"/>
      <name val="Arial"/>
      <family val="2"/>
    </font>
    <font>
      <b/>
      <sz val="10"/>
      <color rgb="FF791F17"/>
      <name val="Trebuchet MS"/>
      <family val="2"/>
    </font>
    <font>
      <b/>
      <sz val="10"/>
      <color rgb="FF37793E"/>
      <name val="Trebuchet MS"/>
      <family val="2"/>
    </font>
    <font>
      <b/>
      <sz val="10"/>
      <color rgb="FFB75727"/>
      <name val="Trebuchet MS"/>
      <family val="2"/>
    </font>
    <font>
      <b/>
      <sz val="10"/>
      <color rgb="FF3290C4"/>
      <name val="Trebuchet MS"/>
      <family val="2"/>
    </font>
    <font>
      <b/>
      <sz val="10"/>
      <name val="Trebuchet MS"/>
      <family val="2"/>
    </font>
    <font>
      <u/>
      <sz val="10"/>
      <color theme="11"/>
      <name val="Arial"/>
      <family val="2"/>
    </font>
    <font>
      <b/>
      <sz val="12"/>
      <color indexed="8"/>
      <name val="Arial"/>
      <family val="2"/>
    </font>
    <font>
      <b/>
      <sz val="12"/>
      <name val="Arial"/>
      <family val="2"/>
    </font>
    <font>
      <b/>
      <sz val="10"/>
      <color theme="0"/>
      <name val="Arial"/>
      <family val="2"/>
    </font>
    <font>
      <b/>
      <sz val="18"/>
      <name val="Arial"/>
      <family val="2"/>
    </font>
    <font>
      <sz val="10"/>
      <color rgb="FF010000"/>
      <name val="Arial"/>
      <family val="2"/>
    </font>
    <font>
      <b/>
      <sz val="22"/>
      <color rgb="FF010000"/>
      <name val="Arial"/>
      <family val="2"/>
    </font>
    <font>
      <b/>
      <sz val="11"/>
      <color rgb="FF010000"/>
      <name val="Arial"/>
      <family val="2"/>
    </font>
    <font>
      <b/>
      <sz val="10"/>
      <color rgb="FFD5D514"/>
      <name val="Trebuchet MS"/>
      <family val="2"/>
    </font>
  </fonts>
  <fills count="28">
    <fill>
      <patternFill patternType="none"/>
    </fill>
    <fill>
      <patternFill patternType="gray125"/>
    </fill>
    <fill>
      <patternFill patternType="solid">
        <fgColor indexed="18"/>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indexed="22"/>
        <bgColor indexed="64"/>
      </patternFill>
    </fill>
    <fill>
      <patternFill patternType="solid">
        <fgColor indexed="63"/>
        <bgColor indexed="64"/>
      </patternFill>
    </fill>
    <fill>
      <patternFill patternType="solid">
        <fgColor rgb="FF3290C4"/>
        <bgColor indexed="64"/>
      </patternFill>
    </fill>
    <fill>
      <patternFill patternType="solid">
        <fgColor rgb="FF94BCDD"/>
        <bgColor indexed="64"/>
      </patternFill>
    </fill>
    <fill>
      <patternFill patternType="solid">
        <fgColor rgb="FFB75727"/>
        <bgColor indexed="64"/>
      </patternFill>
    </fill>
    <fill>
      <patternFill patternType="solid">
        <fgColor rgb="FFD59E7B"/>
        <bgColor indexed="64"/>
      </patternFill>
    </fill>
    <fill>
      <patternFill patternType="solid">
        <fgColor rgb="FF37793E"/>
        <bgColor indexed="64"/>
      </patternFill>
    </fill>
    <fill>
      <patternFill patternType="solid">
        <fgColor rgb="FF8BAA88"/>
        <bgColor indexed="64"/>
      </patternFill>
    </fill>
    <fill>
      <patternFill patternType="solid">
        <fgColor rgb="FF791F17"/>
        <bgColor indexed="64"/>
      </patternFill>
    </fill>
    <fill>
      <patternFill patternType="solid">
        <fgColor rgb="FFB07667"/>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0"/>
        <bgColor theme="0"/>
      </patternFill>
    </fill>
    <fill>
      <patternFill patternType="solid">
        <fgColor rgb="FFD5D514"/>
        <bgColor indexed="64"/>
      </patternFill>
    </fill>
    <fill>
      <patternFill patternType="solid">
        <fgColor rgb="FFBDBF17"/>
        <bgColor indexed="64"/>
      </patternFill>
    </fill>
    <fill>
      <patternFill patternType="solid">
        <fgColor rgb="FF8BA988"/>
        <bgColor indexed="64"/>
      </patternFill>
    </fill>
    <fill>
      <patternFill patternType="solid">
        <fgColor rgb="FF94BCDD"/>
        <bgColor rgb="FF000000"/>
      </patternFill>
    </fill>
    <fill>
      <patternFill patternType="solid">
        <fgColor rgb="FFD9D9D9"/>
        <bgColor rgb="FF000000"/>
      </patternFill>
    </fill>
    <fill>
      <patternFill patternType="solid">
        <fgColor rgb="FFB07667"/>
        <bgColor rgb="FF000000"/>
      </patternFill>
    </fill>
    <fill>
      <patternFill patternType="solid">
        <fgColor rgb="FF8BA988"/>
        <bgColor rgb="FF000000"/>
      </patternFill>
    </fill>
    <fill>
      <patternFill patternType="solid">
        <fgColor rgb="FFD5D514"/>
        <bgColor rgb="FF000000"/>
      </patternFill>
    </fill>
    <fill>
      <patternFill patternType="solid">
        <fgColor rgb="FFD59E7B"/>
        <bgColor rgb="FF000000"/>
      </patternFill>
    </fill>
    <fill>
      <patternFill patternType="solid">
        <fgColor rgb="FFFFFF00"/>
        <bgColor indexed="64"/>
      </patternFill>
    </fill>
  </fills>
  <borders count="100">
    <border>
      <left/>
      <right/>
      <top/>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bottom/>
      <diagonal/>
    </border>
    <border>
      <left style="thin">
        <color indexed="8"/>
      </left>
      <right style="thin">
        <color indexed="8"/>
      </right>
      <top style="thin">
        <color indexed="8"/>
      </top>
      <bottom/>
      <diagonal/>
    </border>
    <border>
      <left/>
      <right/>
      <top style="thin">
        <color indexed="8"/>
      </top>
      <bottom/>
      <diagonal/>
    </border>
    <border>
      <left style="thin">
        <color indexed="8"/>
      </left>
      <right style="thin">
        <color indexed="8"/>
      </right>
      <top/>
      <bottom/>
      <diagonal/>
    </border>
    <border>
      <left/>
      <right style="thin">
        <color indexed="8"/>
      </right>
      <top/>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thin">
        <color indexed="8"/>
      </left>
      <right/>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right/>
      <top style="thin">
        <color indexed="8"/>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indexed="8"/>
      </bottom>
      <diagonal/>
    </border>
    <border>
      <left/>
      <right/>
      <top style="medium">
        <color auto="1"/>
      </top>
      <bottom style="thin">
        <color indexed="8"/>
      </bottom>
      <diagonal/>
    </border>
    <border>
      <left/>
      <right style="medium">
        <color auto="1"/>
      </right>
      <top style="medium">
        <color auto="1"/>
      </top>
      <bottom style="thin">
        <color indexed="8"/>
      </bottom>
      <diagonal/>
    </border>
    <border>
      <left style="medium">
        <color auto="1"/>
      </left>
      <right/>
      <top style="thin">
        <color indexed="8"/>
      </top>
      <bottom/>
      <diagonal/>
    </border>
    <border>
      <left/>
      <right style="medium">
        <color auto="1"/>
      </right>
      <top style="thin">
        <color indexed="8"/>
      </top>
      <bottom/>
      <diagonal/>
    </border>
    <border>
      <left style="thin">
        <color auto="1"/>
      </left>
      <right/>
      <top style="thin">
        <color auto="1"/>
      </top>
      <bottom/>
      <diagonal/>
    </border>
    <border>
      <left/>
      <right style="thin">
        <color indexed="8"/>
      </right>
      <top style="thin">
        <color auto="1"/>
      </top>
      <bottom/>
      <diagonal/>
    </border>
    <border>
      <left style="thin">
        <color indexed="8"/>
      </left>
      <right style="thin">
        <color indexed="8"/>
      </right>
      <top style="thin">
        <color auto="1"/>
      </top>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indexed="8"/>
      </right>
      <top/>
      <bottom style="thin">
        <color auto="1"/>
      </bottom>
      <diagonal/>
    </border>
    <border>
      <left style="thin">
        <color indexed="8"/>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
      <left/>
      <right/>
      <top style="medium">
        <color auto="1"/>
      </top>
      <bottom style="medium">
        <color auto="1"/>
      </bottom>
      <diagonal/>
    </border>
    <border>
      <left/>
      <right/>
      <top style="medium">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thin">
        <color indexed="8"/>
      </left>
      <right style="thin">
        <color indexed="8"/>
      </right>
      <top style="thin">
        <color auto="1"/>
      </top>
      <bottom style="thin">
        <color indexed="64"/>
      </bottom>
      <diagonal/>
    </border>
    <border>
      <left/>
      <right style="thin">
        <color indexed="8"/>
      </right>
      <top style="thin">
        <color auto="1"/>
      </top>
      <bottom style="thin">
        <color indexed="64"/>
      </bottom>
      <diagonal/>
    </border>
    <border>
      <left style="thin">
        <color indexed="8"/>
      </left>
      <right style="thin">
        <color auto="1"/>
      </right>
      <top style="thin">
        <color auto="1"/>
      </top>
      <bottom style="thin">
        <color indexed="64"/>
      </bottom>
      <diagonal/>
    </border>
    <border>
      <left style="thin">
        <color indexed="8"/>
      </left>
      <right style="thin">
        <color indexed="8"/>
      </right>
      <top style="thin">
        <color indexed="8"/>
      </top>
      <bottom style="thin">
        <color indexed="64"/>
      </bottom>
      <diagonal/>
    </border>
    <border>
      <left style="thin">
        <color indexed="8"/>
      </left>
      <right/>
      <top/>
      <bottom style="thin">
        <color indexed="64"/>
      </bottom>
      <diagonal/>
    </border>
    <border>
      <left style="thin">
        <color auto="1"/>
      </left>
      <right/>
      <top style="thin">
        <color auto="1"/>
      </top>
      <bottom style="thin">
        <color indexed="64"/>
      </bottom>
      <diagonal/>
    </border>
    <border>
      <left/>
      <right style="thin">
        <color indexed="8"/>
      </right>
      <top/>
      <bottom style="thin">
        <color indexed="64"/>
      </bottom>
      <diagonal/>
    </border>
    <border>
      <left style="thin">
        <color indexed="8"/>
      </left>
      <right style="thin">
        <color indexed="8"/>
      </right>
      <top/>
      <bottom style="thin">
        <color indexed="64"/>
      </bottom>
      <diagonal/>
    </border>
    <border>
      <left style="thin">
        <color indexed="64"/>
      </left>
      <right style="thin">
        <color indexed="64"/>
      </right>
      <top style="thin">
        <color indexed="8"/>
      </top>
      <bottom style="thin">
        <color auto="1"/>
      </bottom>
      <diagonal/>
    </border>
    <border>
      <left style="thin">
        <color rgb="FF010000"/>
      </left>
      <right style="thin">
        <color rgb="FF010000"/>
      </right>
      <top style="thin">
        <color rgb="FF010000"/>
      </top>
      <bottom/>
      <diagonal/>
    </border>
    <border>
      <left style="thin">
        <color rgb="FF010000"/>
      </left>
      <right style="thin">
        <color rgb="FF010000"/>
      </right>
      <top/>
      <bottom/>
      <diagonal/>
    </border>
    <border>
      <left style="thin">
        <color rgb="FF010000"/>
      </left>
      <right style="thin">
        <color indexed="64"/>
      </right>
      <top style="thin">
        <color indexed="64"/>
      </top>
      <bottom style="thin">
        <color indexed="64"/>
      </bottom>
      <diagonal/>
    </border>
    <border>
      <left/>
      <right style="thin">
        <color rgb="FF010000"/>
      </right>
      <top style="thin">
        <color indexed="8"/>
      </top>
      <bottom/>
      <diagonal/>
    </border>
    <border>
      <left/>
      <right style="thin">
        <color rgb="FF010000"/>
      </right>
      <top/>
      <bottom style="thin">
        <color rgb="FF010000"/>
      </bottom>
      <diagonal/>
    </border>
    <border>
      <left style="thin">
        <color rgb="FF010000"/>
      </left>
      <right style="thin">
        <color rgb="FF010000"/>
      </right>
      <top style="thin">
        <color indexed="8"/>
      </top>
      <bottom/>
      <diagonal/>
    </border>
    <border>
      <left/>
      <right style="thin">
        <color rgb="FF010000"/>
      </right>
      <top style="thin">
        <color rgb="FF010000"/>
      </top>
      <bottom/>
      <diagonal/>
    </border>
    <border>
      <left/>
      <right style="thin">
        <color rgb="FF010000"/>
      </right>
      <top/>
      <bottom style="thin">
        <color rgb="FF000000"/>
      </bottom>
      <diagonal/>
    </border>
    <border>
      <left/>
      <right style="thin">
        <color rgb="FF010000"/>
      </right>
      <top style="thin">
        <color rgb="FF000000"/>
      </top>
      <bottom/>
      <diagonal/>
    </border>
    <border>
      <left style="thin">
        <color indexed="8"/>
      </left>
      <right style="thin">
        <color indexed="64"/>
      </right>
      <top style="thin">
        <color indexed="8"/>
      </top>
      <bottom/>
      <diagonal/>
    </border>
    <border>
      <left style="thin">
        <color indexed="8"/>
      </left>
      <right style="thin">
        <color indexed="64"/>
      </right>
      <top/>
      <bottom/>
      <diagonal/>
    </border>
    <border>
      <left style="thin">
        <color indexed="8"/>
      </left>
      <right style="thin">
        <color indexed="64"/>
      </right>
      <top/>
      <bottom style="thin">
        <color auto="1"/>
      </bottom>
      <diagonal/>
    </border>
    <border>
      <left style="thin">
        <color indexed="8"/>
      </left>
      <right style="thin">
        <color indexed="64"/>
      </right>
      <top style="thin">
        <color auto="1"/>
      </top>
      <bottom/>
      <diagonal/>
    </border>
    <border>
      <left style="thin">
        <color indexed="8"/>
      </left>
      <right style="thin">
        <color indexed="64"/>
      </right>
      <top/>
      <bottom style="thin">
        <color indexed="64"/>
      </bottom>
      <diagonal/>
    </border>
    <border>
      <left style="thin">
        <color indexed="8"/>
      </left>
      <right style="thin">
        <color indexed="64"/>
      </right>
      <top/>
      <bottom style="thin">
        <color indexed="8"/>
      </bottom>
      <diagonal/>
    </border>
    <border>
      <left style="thin">
        <color indexed="64"/>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rgb="FF010000"/>
      </left>
      <right/>
      <top/>
      <bottom/>
      <diagonal/>
    </border>
    <border>
      <left style="thin">
        <color indexed="8"/>
      </left>
      <right style="thin">
        <color indexed="8"/>
      </right>
      <top style="thin">
        <color indexed="64"/>
      </top>
      <bottom style="thin">
        <color indexed="64"/>
      </bottom>
      <diagonal/>
    </border>
    <border>
      <left style="thin">
        <color rgb="FF010000"/>
      </left>
      <right/>
      <top style="thin">
        <color rgb="FF010000"/>
      </top>
      <bottom/>
      <diagonal/>
    </border>
    <border>
      <left style="thin">
        <color indexed="64"/>
      </left>
      <right style="thin">
        <color indexed="64"/>
      </right>
      <top style="thin">
        <color indexed="8"/>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8"/>
      </right>
      <top style="thin">
        <color indexed="8"/>
      </top>
      <bottom style="thin">
        <color indexed="64"/>
      </bottom>
      <diagonal/>
    </border>
    <border>
      <left style="thin">
        <color indexed="64"/>
      </left>
      <right style="thin">
        <color indexed="64"/>
      </right>
      <top/>
      <bottom style="thin">
        <color indexed="8"/>
      </bottom>
      <diagonal/>
    </border>
    <border>
      <left/>
      <right style="thin">
        <color indexed="64"/>
      </right>
      <top style="thin">
        <color indexed="64"/>
      </top>
      <bottom style="thin">
        <color indexed="8"/>
      </bottom>
      <diagonal/>
    </border>
    <border>
      <left/>
      <right/>
      <top style="thin">
        <color indexed="64"/>
      </top>
      <bottom style="thin">
        <color indexed="8"/>
      </bottom>
      <diagonal/>
    </border>
    <border>
      <left style="thin">
        <color indexed="64"/>
      </left>
      <right/>
      <top style="thin">
        <color indexed="64"/>
      </top>
      <bottom style="thin">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auto="1"/>
      </left>
      <right/>
      <top style="thin">
        <color indexed="64"/>
      </top>
      <bottom/>
      <diagonal/>
    </border>
    <border>
      <left style="thin">
        <color auto="1"/>
      </left>
      <right/>
      <top/>
      <bottom/>
      <diagonal/>
    </border>
    <border>
      <left/>
      <right/>
      <top style="thin">
        <color indexed="64"/>
      </top>
      <bottom/>
      <diagonal/>
    </border>
    <border>
      <left style="thin">
        <color auto="1"/>
      </left>
      <right/>
      <top style="thin">
        <color auto="1"/>
      </top>
      <bottom style="medium">
        <color auto="1"/>
      </bottom>
      <diagonal/>
    </border>
    <border>
      <left style="thin">
        <color indexed="64"/>
      </left>
      <right style="medium">
        <color indexed="64"/>
      </right>
      <top style="medium">
        <color auto="1"/>
      </top>
      <bottom style="medium">
        <color indexed="64"/>
      </bottom>
      <diagonal/>
    </border>
    <border>
      <left style="thin">
        <color auto="1"/>
      </left>
      <right/>
      <top style="medium">
        <color auto="1"/>
      </top>
      <bottom style="thin">
        <color auto="1"/>
      </bottom>
      <diagonal/>
    </border>
  </borders>
  <cellStyleXfs count="6">
    <xf numFmtId="0" fontId="0" fillId="0" borderId="0" applyNumberFormat="0" applyFont="0" applyFill="0" applyBorder="0" applyAlignment="0" applyProtection="0"/>
    <xf numFmtId="0" fontId="12" fillId="0" borderId="0"/>
    <xf numFmtId="9" fontId="7" fillId="0" borderId="0" applyFont="0" applyFill="0" applyBorder="0" applyAlignment="0" applyProtection="0"/>
    <xf numFmtId="0" fontId="18" fillId="0" borderId="0" applyNumberFormat="0" applyFill="0" applyBorder="0" applyAlignment="0" applyProtection="0">
      <alignment vertical="top"/>
      <protection locked="0"/>
    </xf>
    <xf numFmtId="0" fontId="27" fillId="0" borderId="0" applyNumberFormat="0" applyFill="0" applyBorder="0" applyAlignment="0" applyProtection="0"/>
    <xf numFmtId="0" fontId="7" fillId="0" borderId="0"/>
  </cellStyleXfs>
  <cellXfs count="510">
    <xf numFmtId="0" fontId="0" fillId="0" borderId="0" xfId="0" applyNumberFormat="1" applyFont="1" applyFill="1" applyBorder="1" applyAlignment="1"/>
    <xf numFmtId="0" fontId="1" fillId="0" borderId="0" xfId="0" applyNumberFormat="1" applyFont="1" applyFill="1" applyBorder="1" applyAlignment="1">
      <alignment wrapText="1"/>
    </xf>
    <xf numFmtId="0" fontId="1" fillId="0" borderId="1" xfId="0" applyNumberFormat="1" applyFont="1" applyFill="1" applyBorder="1" applyAlignment="1">
      <alignment wrapText="1"/>
    </xf>
    <xf numFmtId="0" fontId="1" fillId="0" borderId="3" xfId="0" applyNumberFormat="1" applyFont="1" applyFill="1" applyBorder="1" applyAlignment="1">
      <alignment wrapText="1"/>
    </xf>
    <xf numFmtId="0" fontId="1" fillId="0" borderId="5" xfId="0" applyNumberFormat="1" applyFont="1" applyFill="1" applyBorder="1" applyAlignment="1">
      <alignment wrapText="1"/>
    </xf>
    <xf numFmtId="0" fontId="2" fillId="0" borderId="4" xfId="0" applyNumberFormat="1" applyFont="1" applyFill="1" applyBorder="1" applyAlignment="1">
      <alignment horizontal="center" wrapText="1"/>
    </xf>
    <xf numFmtId="0" fontId="1" fillId="0" borderId="6" xfId="0" applyNumberFormat="1" applyFont="1" applyFill="1" applyBorder="1" applyAlignment="1">
      <alignment horizontal="center" wrapText="1"/>
    </xf>
    <xf numFmtId="0" fontId="2" fillId="2" borderId="2" xfId="0" applyNumberFormat="1" applyFont="1" applyFill="1" applyBorder="1" applyAlignment="1">
      <alignment horizontal="center" wrapText="1"/>
    </xf>
    <xf numFmtId="0" fontId="2" fillId="0" borderId="3" xfId="0" applyNumberFormat="1" applyFont="1" applyFill="1" applyBorder="1" applyAlignment="1">
      <alignment horizontal="center" wrapText="1"/>
    </xf>
    <xf numFmtId="0" fontId="1" fillId="0" borderId="0" xfId="0" applyNumberFormat="1" applyFont="1" applyFill="1" applyBorder="1" applyAlignment="1"/>
    <xf numFmtId="0" fontId="8" fillId="0" borderId="0" xfId="0" applyNumberFormat="1" applyFont="1" applyFill="1" applyBorder="1" applyAlignment="1">
      <alignment horizontal="left" wrapText="1"/>
    </xf>
    <xf numFmtId="0" fontId="8" fillId="0" borderId="3" xfId="0" applyNumberFormat="1" applyFont="1" applyFill="1" applyBorder="1" applyAlignment="1">
      <alignment horizontal="left" wrapText="1"/>
    </xf>
    <xf numFmtId="0" fontId="9" fillId="0" borderId="0" xfId="0" applyNumberFormat="1" applyFont="1" applyFill="1" applyBorder="1" applyAlignment="1">
      <alignment horizontal="left"/>
    </xf>
    <xf numFmtId="0" fontId="7" fillId="0" borderId="0" xfId="0" applyNumberFormat="1" applyFont="1" applyFill="1" applyBorder="1" applyAlignment="1"/>
    <xf numFmtId="0" fontId="1" fillId="0" borderId="24" xfId="0" applyNumberFormat="1" applyFont="1" applyFill="1" applyBorder="1" applyAlignment="1">
      <alignment wrapText="1"/>
    </xf>
    <xf numFmtId="0" fontId="1" fillId="0" borderId="26" xfId="0" applyNumberFormat="1" applyFont="1" applyFill="1" applyBorder="1" applyAlignment="1">
      <alignment wrapText="1"/>
    </xf>
    <xf numFmtId="15" fontId="1" fillId="0" borderId="26" xfId="0" applyNumberFormat="1" applyFont="1" applyFill="1" applyBorder="1" applyAlignment="1">
      <alignment horizontal="left" wrapText="1"/>
    </xf>
    <xf numFmtId="0" fontId="1" fillId="0" borderId="29" xfId="0" applyNumberFormat="1" applyFont="1" applyFill="1" applyBorder="1" applyAlignment="1">
      <alignment wrapText="1"/>
    </xf>
    <xf numFmtId="0" fontId="1" fillId="0" borderId="6" xfId="0" applyNumberFormat="1" applyFont="1" applyFill="1" applyBorder="1" applyAlignment="1">
      <alignment horizontal="center"/>
    </xf>
    <xf numFmtId="0" fontId="2" fillId="0" borderId="6" xfId="0" applyNumberFormat="1" applyFont="1" applyFill="1" applyBorder="1" applyAlignment="1">
      <alignment horizontal="center" wrapText="1"/>
    </xf>
    <xf numFmtId="0" fontId="1" fillId="0" borderId="0" xfId="0" applyNumberFormat="1" applyFont="1" applyFill="1" applyBorder="1" applyAlignment="1">
      <alignment horizontal="center" wrapText="1"/>
    </xf>
    <xf numFmtId="0" fontId="1" fillId="3" borderId="37" xfId="0" applyNumberFormat="1" applyFont="1" applyFill="1" applyBorder="1" applyAlignment="1">
      <alignment horizontal="center" wrapText="1"/>
    </xf>
    <xf numFmtId="0" fontId="1" fillId="3" borderId="40" xfId="0" applyNumberFormat="1" applyFont="1" applyFill="1" applyBorder="1" applyAlignment="1">
      <alignment horizontal="center" wrapText="1"/>
    </xf>
    <xf numFmtId="0" fontId="0" fillId="0" borderId="0" xfId="0" applyNumberFormat="1" applyFont="1" applyFill="1" applyBorder="1" applyAlignment="1">
      <alignment horizontal="center"/>
    </xf>
    <xf numFmtId="0" fontId="2" fillId="0" borderId="0" xfId="0" applyNumberFormat="1" applyFont="1" applyFill="1" applyBorder="1" applyAlignment="1">
      <alignment horizontal="center" wrapText="1"/>
    </xf>
    <xf numFmtId="0" fontId="2" fillId="3" borderId="37" xfId="0" applyNumberFormat="1" applyFont="1" applyFill="1" applyBorder="1" applyAlignment="1">
      <alignment horizontal="center" wrapText="1"/>
    </xf>
    <xf numFmtId="0" fontId="2" fillId="3" borderId="40" xfId="0" applyNumberFormat="1" applyFont="1" applyFill="1" applyBorder="1" applyAlignment="1">
      <alignment horizontal="center" wrapText="1"/>
    </xf>
    <xf numFmtId="0" fontId="10" fillId="0" borderId="0" xfId="0" applyNumberFormat="1" applyFont="1" applyFill="1" applyBorder="1" applyAlignment="1">
      <alignment horizontal="center"/>
    </xf>
    <xf numFmtId="0" fontId="10" fillId="0" borderId="0" xfId="0" applyNumberFormat="1" applyFont="1" applyFill="1" applyBorder="1" applyAlignment="1"/>
    <xf numFmtId="0" fontId="10" fillId="0" borderId="21" xfId="0" applyNumberFormat="1" applyFont="1" applyFill="1" applyBorder="1" applyAlignment="1"/>
    <xf numFmtId="0" fontId="7" fillId="0" borderId="21" xfId="0" applyNumberFormat="1" applyFont="1" applyFill="1" applyBorder="1" applyAlignment="1"/>
    <xf numFmtId="0" fontId="0" fillId="0" borderId="21" xfId="0" applyNumberFormat="1" applyFont="1" applyFill="1" applyBorder="1" applyAlignment="1">
      <alignment horizontal="center" vertical="center"/>
    </xf>
    <xf numFmtId="0" fontId="7" fillId="0" borderId="21" xfId="0" applyNumberFormat="1" applyFont="1" applyFill="1" applyBorder="1" applyAlignment="1">
      <alignment horizontal="center" vertical="center"/>
    </xf>
    <xf numFmtId="0" fontId="0" fillId="0" borderId="21" xfId="0" applyNumberFormat="1" applyFont="1" applyFill="1" applyBorder="1" applyAlignment="1">
      <alignment horizontal="center"/>
    </xf>
    <xf numFmtId="0" fontId="13" fillId="0" borderId="0" xfId="1" applyFont="1"/>
    <xf numFmtId="0" fontId="14" fillId="0" borderId="0" xfId="1" applyFont="1"/>
    <xf numFmtId="0" fontId="14" fillId="0" borderId="0" xfId="1" applyFont="1" applyFill="1"/>
    <xf numFmtId="0" fontId="15" fillId="0" borderId="0" xfId="1" applyFont="1"/>
    <xf numFmtId="0" fontId="15" fillId="0" borderId="0" xfId="1" applyFont="1" applyFill="1"/>
    <xf numFmtId="0" fontId="15" fillId="0" borderId="0" xfId="1" applyFont="1" applyAlignment="1">
      <alignment horizontal="center"/>
    </xf>
    <xf numFmtId="0" fontId="16" fillId="0" borderId="47" xfId="1" applyFont="1" applyBorder="1" applyAlignment="1">
      <alignment horizontal="center"/>
    </xf>
    <xf numFmtId="0" fontId="14" fillId="0" borderId="0" xfId="1" applyFont="1" applyAlignment="1">
      <alignment horizontal="center"/>
    </xf>
    <xf numFmtId="0" fontId="16" fillId="0" borderId="0" xfId="1" applyFont="1" applyBorder="1" applyAlignment="1">
      <alignment horizontal="center"/>
    </xf>
    <xf numFmtId="0" fontId="16" fillId="0" borderId="48" xfId="1" applyFont="1" applyBorder="1" applyAlignment="1">
      <alignment horizontal="center"/>
    </xf>
    <xf numFmtId="0" fontId="16" fillId="0" borderId="45" xfId="1" applyFont="1" applyBorder="1" applyAlignment="1">
      <alignment horizontal="center"/>
    </xf>
    <xf numFmtId="0" fontId="16" fillId="0" borderId="49" xfId="1" applyFont="1" applyBorder="1" applyAlignment="1">
      <alignment horizontal="center"/>
    </xf>
    <xf numFmtId="0" fontId="16" fillId="0" borderId="19" xfId="1" applyFont="1" applyBorder="1" applyAlignment="1">
      <alignment horizontal="center"/>
    </xf>
    <xf numFmtId="0" fontId="17" fillId="0" borderId="0" xfId="1" applyFont="1" applyAlignment="1">
      <alignment horizontal="right"/>
    </xf>
    <xf numFmtId="9" fontId="14" fillId="0" borderId="0" xfId="2" applyFont="1"/>
    <xf numFmtId="9" fontId="14" fillId="0" borderId="0" xfId="2" applyFont="1" applyAlignment="1">
      <alignment horizontal="center"/>
    </xf>
    <xf numFmtId="0" fontId="14" fillId="0" borderId="48" xfId="1" applyFont="1" applyBorder="1"/>
    <xf numFmtId="0" fontId="14" fillId="0" borderId="48" xfId="1" applyFont="1" applyBorder="1" applyAlignment="1">
      <alignment horizontal="center"/>
    </xf>
    <xf numFmtId="0" fontId="14" fillId="0" borderId="0" xfId="1" applyFont="1" applyBorder="1"/>
    <xf numFmtId="0" fontId="14" fillId="0" borderId="0" xfId="1" applyFont="1" applyBorder="1" applyAlignment="1">
      <alignment horizontal="center"/>
    </xf>
    <xf numFmtId="0" fontId="14" fillId="0" borderId="19" xfId="1" applyFont="1" applyBorder="1"/>
    <xf numFmtId="0" fontId="14" fillId="0" borderId="19" xfId="1" applyFont="1" applyBorder="1" applyAlignment="1">
      <alignment horizontal="center"/>
    </xf>
    <xf numFmtId="0" fontId="13" fillId="5" borderId="0" xfId="1" applyFont="1" applyFill="1" applyAlignment="1">
      <alignment horizontal="left" vertical="top"/>
    </xf>
    <xf numFmtId="0" fontId="12" fillId="5" borderId="0" xfId="1" applyFill="1"/>
    <xf numFmtId="0" fontId="19" fillId="6" borderId="0" xfId="1" applyFont="1" applyFill="1" applyAlignment="1">
      <alignment horizontal="left" vertical="top"/>
    </xf>
    <xf numFmtId="0" fontId="19" fillId="6" borderId="0" xfId="1" applyFont="1" applyFill="1"/>
    <xf numFmtId="0" fontId="16" fillId="6" borderId="0" xfId="1" applyFont="1" applyFill="1" applyAlignment="1">
      <alignment horizontal="left" vertical="top"/>
    </xf>
    <xf numFmtId="0" fontId="16" fillId="6" borderId="0" xfId="1" applyFont="1" applyFill="1"/>
    <xf numFmtId="0" fontId="16" fillId="6" borderId="0" xfId="1" applyNumberFormat="1" applyFont="1" applyFill="1" applyAlignment="1">
      <alignment horizontal="left" vertical="top" wrapText="1"/>
    </xf>
    <xf numFmtId="0" fontId="20" fillId="6" borderId="0" xfId="1" applyFont="1" applyFill="1" applyAlignment="1">
      <alignment horizontal="left" vertical="top"/>
    </xf>
    <xf numFmtId="0" fontId="20" fillId="6" borderId="0" xfId="1" applyFont="1" applyFill="1" applyAlignment="1">
      <alignment horizontal="left" vertical="top" wrapText="1"/>
    </xf>
    <xf numFmtId="0" fontId="20" fillId="6" borderId="0" xfId="1" applyFont="1" applyFill="1"/>
    <xf numFmtId="0" fontId="4" fillId="7" borderId="2" xfId="0" applyNumberFormat="1" applyFont="1" applyFill="1" applyBorder="1" applyAlignment="1">
      <alignment horizontal="center" vertical="center" wrapText="1"/>
    </xf>
    <xf numFmtId="0" fontId="2" fillId="8" borderId="2" xfId="0" applyNumberFormat="1" applyFont="1" applyFill="1" applyBorder="1" applyAlignment="1">
      <alignment horizontal="center" wrapText="1"/>
    </xf>
    <xf numFmtId="0" fontId="2" fillId="8" borderId="2" xfId="0" applyNumberFormat="1" applyFont="1" applyFill="1" applyBorder="1" applyAlignment="1">
      <alignment horizontal="center"/>
    </xf>
    <xf numFmtId="0" fontId="2" fillId="8" borderId="8" xfId="0" applyNumberFormat="1" applyFont="1" applyFill="1" applyBorder="1" applyAlignment="1">
      <alignment horizontal="center" wrapText="1"/>
    </xf>
    <xf numFmtId="0" fontId="2" fillId="8" borderId="2" xfId="0" applyNumberFormat="1" applyFont="1" applyFill="1" applyBorder="1" applyAlignment="1">
      <alignment horizontal="left" vertical="center" wrapText="1"/>
    </xf>
    <xf numFmtId="0" fontId="4" fillId="9" borderId="2" xfId="0" applyNumberFormat="1" applyFont="1" applyFill="1" applyBorder="1" applyAlignment="1">
      <alignment horizontal="center" vertical="center" wrapText="1"/>
    </xf>
    <xf numFmtId="0" fontId="2" fillId="10" borderId="2" xfId="0" applyNumberFormat="1" applyFont="1" applyFill="1" applyBorder="1" applyAlignment="1">
      <alignment horizontal="center" wrapText="1"/>
    </xf>
    <xf numFmtId="0" fontId="2" fillId="10" borderId="2" xfId="0" applyNumberFormat="1" applyFont="1" applyFill="1" applyBorder="1" applyAlignment="1">
      <alignment horizontal="center"/>
    </xf>
    <xf numFmtId="0" fontId="2" fillId="10" borderId="8" xfId="0" applyNumberFormat="1" applyFont="1" applyFill="1" applyBorder="1" applyAlignment="1">
      <alignment horizontal="center" wrapText="1"/>
    </xf>
    <xf numFmtId="0" fontId="2" fillId="10" borderId="2" xfId="0" applyNumberFormat="1" applyFont="1" applyFill="1" applyBorder="1" applyAlignment="1">
      <alignment vertical="center" wrapText="1"/>
    </xf>
    <xf numFmtId="0" fontId="4" fillId="11" borderId="2" xfId="0" applyNumberFormat="1" applyFont="1" applyFill="1" applyBorder="1" applyAlignment="1">
      <alignment horizontal="center" vertical="center" wrapText="1"/>
    </xf>
    <xf numFmtId="0" fontId="2" fillId="12" borderId="2" xfId="0" applyNumberFormat="1" applyFont="1" applyFill="1" applyBorder="1" applyAlignment="1">
      <alignment horizontal="center" wrapText="1"/>
    </xf>
    <xf numFmtId="0" fontId="2" fillId="12" borderId="2" xfId="0" applyNumberFormat="1" applyFont="1" applyFill="1" applyBorder="1" applyAlignment="1">
      <alignment horizontal="center"/>
    </xf>
    <xf numFmtId="0" fontId="2" fillId="12" borderId="8" xfId="0" applyNumberFormat="1" applyFont="1" applyFill="1" applyBorder="1" applyAlignment="1">
      <alignment horizontal="center" wrapText="1"/>
    </xf>
    <xf numFmtId="0" fontId="2" fillId="12" borderId="2" xfId="0" applyNumberFormat="1" applyFont="1" applyFill="1" applyBorder="1" applyAlignment="1">
      <alignment horizontal="left" vertical="center" wrapText="1"/>
    </xf>
    <xf numFmtId="0" fontId="4" fillId="13" borderId="2" xfId="0" applyNumberFormat="1" applyFont="1" applyFill="1" applyBorder="1" applyAlignment="1">
      <alignment horizontal="center" vertical="center" wrapText="1"/>
    </xf>
    <xf numFmtId="0" fontId="2" fillId="14" borderId="2" xfId="0" applyNumberFormat="1" applyFont="1" applyFill="1" applyBorder="1" applyAlignment="1">
      <alignment horizontal="center" wrapText="1"/>
    </xf>
    <xf numFmtId="0" fontId="2" fillId="14" borderId="2" xfId="0" applyNumberFormat="1" applyFont="1" applyFill="1" applyBorder="1" applyAlignment="1">
      <alignment horizontal="center"/>
    </xf>
    <xf numFmtId="0" fontId="2" fillId="14" borderId="8" xfId="0" applyNumberFormat="1" applyFont="1" applyFill="1" applyBorder="1" applyAlignment="1">
      <alignment horizontal="center" wrapText="1"/>
    </xf>
    <xf numFmtId="0" fontId="2" fillId="14" borderId="2" xfId="0" applyNumberFormat="1" applyFont="1" applyFill="1" applyBorder="1" applyAlignment="1">
      <alignment vertical="center" wrapText="1"/>
    </xf>
    <xf numFmtId="0" fontId="22" fillId="0" borderId="49" xfId="1" applyFont="1" applyBorder="1"/>
    <xf numFmtId="0" fontId="22" fillId="0" borderId="0" xfId="1" applyFont="1" applyBorder="1"/>
    <xf numFmtId="0" fontId="22" fillId="0" borderId="19" xfId="1" applyFont="1" applyBorder="1"/>
    <xf numFmtId="0" fontId="23" fillId="0" borderId="49" xfId="1" applyFont="1" applyBorder="1"/>
    <xf numFmtId="0" fontId="23" fillId="0" borderId="0" xfId="1" applyFont="1" applyBorder="1"/>
    <xf numFmtId="0" fontId="23" fillId="0" borderId="45" xfId="1" applyFont="1" applyBorder="1"/>
    <xf numFmtId="0" fontId="24" fillId="0" borderId="49" xfId="1" applyFont="1" applyBorder="1"/>
    <xf numFmtId="0" fontId="24" fillId="0" borderId="0" xfId="1" applyFont="1" applyBorder="1"/>
    <xf numFmtId="0" fontId="24" fillId="0" borderId="45" xfId="1" applyFont="1" applyBorder="1"/>
    <xf numFmtId="0" fontId="25" fillId="0" borderId="48" xfId="1" applyFont="1" applyBorder="1"/>
    <xf numFmtId="0" fontId="25" fillId="0" borderId="0" xfId="1" applyFont="1" applyBorder="1"/>
    <xf numFmtId="0" fontId="25" fillId="0" borderId="45" xfId="1" applyFont="1" applyBorder="1"/>
    <xf numFmtId="0" fontId="26" fillId="0" borderId="47" xfId="1" applyFont="1" applyBorder="1"/>
    <xf numFmtId="0" fontId="26" fillId="0" borderId="47" xfId="1" applyFont="1" applyBorder="1" applyAlignment="1">
      <alignment horizontal="center"/>
    </xf>
    <xf numFmtId="0" fontId="20" fillId="0" borderId="47" xfId="1" applyFont="1" applyBorder="1" applyAlignment="1">
      <alignment horizontal="center"/>
    </xf>
    <xf numFmtId="2" fontId="2" fillId="0" borderId="2" xfId="0" applyNumberFormat="1" applyFont="1" applyFill="1" applyBorder="1" applyAlignment="1">
      <alignment horizontal="center" vertical="center" wrapText="1"/>
    </xf>
    <xf numFmtId="164" fontId="1" fillId="0" borderId="4" xfId="0" applyNumberFormat="1" applyFont="1" applyFill="1" applyBorder="1" applyAlignment="1">
      <alignment horizontal="center"/>
    </xf>
    <xf numFmtId="164" fontId="1" fillId="0" borderId="6" xfId="0" applyNumberFormat="1" applyFont="1" applyFill="1" applyBorder="1" applyAlignment="1">
      <alignment horizontal="center" wrapText="1"/>
    </xf>
    <xf numFmtId="2" fontId="1" fillId="0" borderId="50" xfId="0" applyNumberFormat="1" applyFont="1" applyFill="1" applyBorder="1" applyAlignment="1">
      <alignment horizontal="center" wrapText="1"/>
    </xf>
    <xf numFmtId="2" fontId="1" fillId="0" borderId="51" xfId="0" applyNumberFormat="1" applyFont="1" applyFill="1" applyBorder="1" applyAlignment="1">
      <alignment horizontal="center" wrapText="1"/>
    </xf>
    <xf numFmtId="2" fontId="1" fillId="0" borderId="52" xfId="0" applyNumberFormat="1" applyFont="1" applyFill="1" applyBorder="1" applyAlignment="1">
      <alignment horizontal="center" wrapText="1"/>
    </xf>
    <xf numFmtId="0" fontId="0" fillId="10" borderId="0" xfId="0" applyNumberFormat="1" applyFont="1" applyFill="1" applyBorder="1" applyAlignment="1">
      <alignment horizontal="center"/>
    </xf>
    <xf numFmtId="0" fontId="0" fillId="8" borderId="0" xfId="0" applyNumberFormat="1" applyFont="1" applyFill="1" applyBorder="1" applyAlignment="1">
      <alignment horizontal="center"/>
    </xf>
    <xf numFmtId="0" fontId="0" fillId="12" borderId="0" xfId="0" applyNumberFormat="1" applyFont="1" applyFill="1" applyBorder="1" applyAlignment="1">
      <alignment horizontal="center"/>
    </xf>
    <xf numFmtId="0" fontId="0" fillId="14" borderId="0" xfId="0" applyNumberFormat="1" applyFont="1" applyFill="1" applyBorder="1" applyAlignment="1">
      <alignment horizontal="center"/>
    </xf>
    <xf numFmtId="0" fontId="0" fillId="0" borderId="0" xfId="0" applyNumberFormat="1" applyFont="1" applyFill="1" applyBorder="1" applyAlignment="1">
      <alignment horizontal="center" vertical="center"/>
    </xf>
    <xf numFmtId="0" fontId="0" fillId="8" borderId="0" xfId="0" applyNumberFormat="1" applyFont="1" applyFill="1" applyBorder="1" applyAlignment="1">
      <alignment horizontal="center" vertical="center"/>
    </xf>
    <xf numFmtId="164" fontId="1" fillId="0" borderId="0" xfId="0" applyNumberFormat="1" applyFont="1" applyFill="1" applyBorder="1" applyAlignment="1">
      <alignment horizontal="center" wrapText="1"/>
    </xf>
    <xf numFmtId="164" fontId="2" fillId="8" borderId="2" xfId="0" applyNumberFormat="1" applyFont="1" applyFill="1" applyBorder="1" applyAlignment="1">
      <alignment horizontal="center" wrapText="1"/>
    </xf>
    <xf numFmtId="164" fontId="1" fillId="3" borderId="41" xfId="0" applyNumberFormat="1" applyFont="1" applyFill="1" applyBorder="1" applyAlignment="1">
      <alignment horizontal="center" wrapText="1"/>
    </xf>
    <xf numFmtId="164" fontId="1" fillId="3" borderId="38" xfId="0" applyNumberFormat="1" applyFont="1" applyFill="1" applyBorder="1" applyAlignment="1">
      <alignment horizontal="center" wrapText="1"/>
    </xf>
    <xf numFmtId="164" fontId="2" fillId="8" borderId="8" xfId="0" applyNumberFormat="1" applyFont="1" applyFill="1" applyBorder="1" applyAlignment="1">
      <alignment horizontal="center" wrapText="1"/>
    </xf>
    <xf numFmtId="164" fontId="2" fillId="10" borderId="2" xfId="0" applyNumberFormat="1" applyFont="1" applyFill="1" applyBorder="1" applyAlignment="1">
      <alignment horizontal="center" wrapText="1"/>
    </xf>
    <xf numFmtId="164" fontId="2" fillId="10" borderId="8" xfId="0" applyNumberFormat="1" applyFont="1" applyFill="1" applyBorder="1" applyAlignment="1">
      <alignment horizontal="center" wrapText="1"/>
    </xf>
    <xf numFmtId="164" fontId="2" fillId="12" borderId="2" xfId="0" applyNumberFormat="1" applyFont="1" applyFill="1" applyBorder="1" applyAlignment="1">
      <alignment horizontal="center" wrapText="1"/>
    </xf>
    <xf numFmtId="164" fontId="2" fillId="12" borderId="8" xfId="0" applyNumberFormat="1" applyFont="1" applyFill="1" applyBorder="1" applyAlignment="1">
      <alignment horizontal="center" wrapText="1"/>
    </xf>
    <xf numFmtId="164" fontId="2" fillId="14" borderId="2" xfId="0" applyNumberFormat="1" applyFont="1" applyFill="1" applyBorder="1" applyAlignment="1">
      <alignment horizontal="center" wrapText="1"/>
    </xf>
    <xf numFmtId="164" fontId="2" fillId="14" borderId="8" xfId="0" applyNumberFormat="1" applyFont="1" applyFill="1" applyBorder="1" applyAlignment="1">
      <alignment horizontal="center" wrapText="1"/>
    </xf>
    <xf numFmtId="164" fontId="0" fillId="0" borderId="0" xfId="0" applyNumberFormat="1" applyFont="1" applyFill="1" applyBorder="1" applyAlignment="1">
      <alignment horizontal="center"/>
    </xf>
    <xf numFmtId="2" fontId="14" fillId="0" borderId="0" xfId="1" applyNumberFormat="1" applyFont="1" applyAlignment="1">
      <alignment horizontal="center"/>
    </xf>
    <xf numFmtId="2" fontId="14" fillId="0" borderId="0" xfId="1" applyNumberFormat="1" applyFont="1"/>
    <xf numFmtId="0" fontId="1" fillId="0" borderId="0" xfId="0" applyNumberFormat="1" applyFont="1" applyFill="1" applyBorder="1" applyAlignment="1">
      <alignment wrapText="1"/>
    </xf>
    <xf numFmtId="0" fontId="2" fillId="2" borderId="8"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horizontal="center" vertical="center" wrapText="1"/>
    </xf>
    <xf numFmtId="164" fontId="1" fillId="0" borderId="3" xfId="0" applyNumberFormat="1" applyFont="1" applyFill="1" applyBorder="1" applyAlignment="1">
      <alignment horizontal="center" wrapText="1"/>
    </xf>
    <xf numFmtId="0" fontId="1" fillId="4" borderId="43" xfId="0" applyNumberFormat="1" applyFont="1" applyFill="1" applyBorder="1" applyAlignment="1">
      <alignment horizontal="center" vertical="center" wrapText="1"/>
    </xf>
    <xf numFmtId="2" fontId="14" fillId="0" borderId="48" xfId="1" applyNumberFormat="1" applyFont="1" applyBorder="1" applyAlignment="1" applyProtection="1">
      <alignment horizontal="center"/>
      <protection locked="0"/>
    </xf>
    <xf numFmtId="2" fontId="14" fillId="0" borderId="0" xfId="1" applyNumberFormat="1" applyFont="1" applyBorder="1" applyAlignment="1" applyProtection="1">
      <alignment horizontal="center"/>
      <protection locked="0"/>
    </xf>
    <xf numFmtId="0" fontId="21" fillId="6" borderId="0" xfId="0" applyFont="1" applyFill="1" applyAlignment="1" applyProtection="1">
      <alignment horizontal="left" vertical="top"/>
    </xf>
    <xf numFmtId="0" fontId="15" fillId="17" borderId="0" xfId="1" applyFont="1" applyFill="1"/>
    <xf numFmtId="0" fontId="15" fillId="17" borderId="0" xfId="1" applyFont="1" applyFill="1" applyBorder="1"/>
    <xf numFmtId="0" fontId="15" fillId="17" borderId="19" xfId="1" applyFont="1" applyFill="1" applyBorder="1"/>
    <xf numFmtId="0" fontId="14" fillId="17" borderId="0" xfId="1" applyFont="1" applyFill="1" applyAlignment="1">
      <alignment horizontal="center"/>
    </xf>
    <xf numFmtId="0" fontId="14" fillId="17" borderId="0" xfId="1" applyFont="1" applyFill="1"/>
    <xf numFmtId="0" fontId="14" fillId="17" borderId="19" xfId="1" applyFont="1" applyFill="1" applyBorder="1"/>
    <xf numFmtId="0" fontId="0" fillId="0" borderId="0" xfId="0" applyNumberFormat="1" applyFont="1" applyFill="1" applyBorder="1" applyAlignment="1">
      <alignment wrapText="1"/>
    </xf>
    <xf numFmtId="0" fontId="5" fillId="3" borderId="35" xfId="0" applyNumberFormat="1" applyFont="1" applyFill="1" applyBorder="1" applyAlignment="1">
      <alignment horizontal="right" vertical="top" wrapText="1"/>
    </xf>
    <xf numFmtId="0" fontId="1" fillId="0" borderId="0" xfId="0" applyNumberFormat="1" applyFont="1" applyFill="1" applyBorder="1" applyAlignment="1">
      <alignment vertical="top" wrapText="1"/>
    </xf>
    <xf numFmtId="0" fontId="0" fillId="0" borderId="0" xfId="0" applyNumberFormat="1" applyFont="1" applyFill="1" applyBorder="1" applyAlignment="1">
      <alignment vertical="top"/>
    </xf>
    <xf numFmtId="0" fontId="1" fillId="0" borderId="0" xfId="0" applyNumberFormat="1" applyFont="1" applyFill="1" applyBorder="1" applyAlignment="1">
      <alignment wrapText="1"/>
    </xf>
    <xf numFmtId="0" fontId="2" fillId="8" borderId="12" xfId="0" applyFont="1" applyFill="1" applyBorder="1" applyAlignment="1">
      <alignment horizontal="center" wrapText="1"/>
    </xf>
    <xf numFmtId="0" fontId="2" fillId="12"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9" xfId="0" applyFont="1" applyFill="1" applyBorder="1" applyAlignment="1">
      <alignment horizontal="center" wrapText="1"/>
    </xf>
    <xf numFmtId="0" fontId="2" fillId="10" borderId="12" xfId="0" applyFont="1" applyFill="1" applyBorder="1" applyAlignment="1">
      <alignment horizontal="center" wrapText="1"/>
    </xf>
    <xf numFmtId="0" fontId="2" fillId="8" borderId="9" xfId="0" applyFont="1" applyFill="1" applyBorder="1" applyAlignment="1">
      <alignment horizontal="center" wrapText="1"/>
    </xf>
    <xf numFmtId="0" fontId="2" fillId="14" borderId="9" xfId="0" applyFont="1" applyFill="1" applyBorder="1" applyAlignment="1">
      <alignment horizontal="center" wrapText="1"/>
    </xf>
    <xf numFmtId="0" fontId="2" fillId="14" borderId="12" xfId="0" applyFont="1" applyFill="1" applyBorder="1" applyAlignment="1">
      <alignment horizontal="center" wrapText="1"/>
    </xf>
    <xf numFmtId="0" fontId="1" fillId="0" borderId="0" xfId="0" applyNumberFormat="1" applyFont="1" applyFill="1" applyBorder="1" applyAlignment="1">
      <alignment wrapText="1"/>
    </xf>
    <xf numFmtId="0" fontId="0" fillId="9" borderId="0" xfId="0" applyNumberFormat="1" applyFont="1" applyFill="1" applyBorder="1" applyAlignment="1">
      <alignment horizontal="center"/>
    </xf>
    <xf numFmtId="0" fontId="0" fillId="18" borderId="0" xfId="0" applyNumberFormat="1" applyFont="1" applyFill="1" applyBorder="1" applyAlignment="1">
      <alignment horizontal="center"/>
    </xf>
    <xf numFmtId="0" fontId="0" fillId="0" borderId="0" xfId="0"/>
    <xf numFmtId="0" fontId="7" fillId="0" borderId="0" xfId="0" applyFont="1"/>
    <xf numFmtId="0" fontId="0" fillId="0" borderId="0" xfId="0" applyAlignment="1">
      <alignment wrapText="1"/>
    </xf>
    <xf numFmtId="0" fontId="7" fillId="0" borderId="0" xfId="0" applyNumberFormat="1" applyFont="1" applyFill="1" applyBorder="1" applyAlignment="1">
      <alignment horizontal="center"/>
    </xf>
    <xf numFmtId="15" fontId="1" fillId="0" borderId="0" xfId="0" applyNumberFormat="1" applyFont="1" applyFill="1" applyBorder="1" applyAlignment="1">
      <alignment horizontal="center" wrapText="1"/>
    </xf>
    <xf numFmtId="0" fontId="2" fillId="0" borderId="15" xfId="0" applyFont="1" applyBorder="1" applyAlignment="1">
      <alignment horizontal="center" wrapText="1"/>
    </xf>
    <xf numFmtId="0" fontId="1" fillId="3" borderId="36" xfId="0" applyNumberFormat="1" applyFont="1" applyFill="1" applyBorder="1" applyAlignment="1">
      <alignment horizontal="center" wrapText="1"/>
    </xf>
    <xf numFmtId="0" fontId="2" fillId="0" borderId="7" xfId="0" applyFont="1" applyBorder="1" applyAlignment="1">
      <alignment horizontal="center" wrapText="1"/>
    </xf>
    <xf numFmtId="0" fontId="0" fillId="0" borderId="0" xfId="0" applyNumberFormat="1" applyFont="1" applyFill="1" applyBorder="1" applyAlignment="1">
      <alignment horizontal="center" wrapText="1"/>
    </xf>
    <xf numFmtId="0" fontId="1" fillId="3" borderId="55" xfId="0" applyNumberFormat="1" applyFont="1" applyFill="1" applyBorder="1" applyAlignment="1">
      <alignment wrapText="1"/>
    </xf>
    <xf numFmtId="0" fontId="1" fillId="3" borderId="56" xfId="0" applyNumberFormat="1" applyFont="1" applyFill="1" applyBorder="1" applyAlignment="1">
      <alignment horizontal="center" wrapText="1"/>
    </xf>
    <xf numFmtId="0" fontId="1"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xf>
    <xf numFmtId="0" fontId="1" fillId="0" borderId="4" xfId="0" applyNumberFormat="1" applyFont="1" applyFill="1" applyBorder="1" applyAlignment="1">
      <alignment horizontal="center"/>
    </xf>
    <xf numFmtId="0" fontId="5" fillId="3" borderId="60" xfId="0" applyNumberFormat="1" applyFont="1" applyFill="1" applyBorder="1" applyAlignment="1">
      <alignment horizontal="right" vertical="top" wrapText="1"/>
    </xf>
    <xf numFmtId="0" fontId="2" fillId="3" borderId="55" xfId="0" applyNumberFormat="1" applyFont="1" applyFill="1" applyBorder="1" applyAlignment="1">
      <alignment horizontal="center" wrapText="1"/>
    </xf>
    <xf numFmtId="164" fontId="1" fillId="3" borderId="57" xfId="0" applyNumberFormat="1" applyFont="1" applyFill="1" applyBorder="1" applyAlignment="1">
      <alignment horizontal="center" wrapText="1"/>
    </xf>
    <xf numFmtId="0" fontId="2" fillId="18" borderId="12" xfId="0" applyFont="1" applyFill="1" applyBorder="1" applyAlignment="1">
      <alignment horizontal="center" wrapText="1"/>
    </xf>
    <xf numFmtId="0" fontId="2" fillId="18" borderId="2" xfId="0" applyNumberFormat="1" applyFont="1" applyFill="1" applyBorder="1" applyAlignment="1">
      <alignment horizontal="center" wrapText="1"/>
    </xf>
    <xf numFmtId="164" fontId="2" fillId="18" borderId="2" xfId="0" applyNumberFormat="1" applyFont="1" applyFill="1" applyBorder="1" applyAlignment="1">
      <alignment horizontal="center" wrapText="1"/>
    </xf>
    <xf numFmtId="0" fontId="2" fillId="18" borderId="2" xfId="0" applyNumberFormat="1" applyFont="1" applyFill="1" applyBorder="1" applyAlignment="1">
      <alignment horizontal="center"/>
    </xf>
    <xf numFmtId="0" fontId="2" fillId="18" borderId="9" xfId="0" applyFont="1" applyFill="1" applyBorder="1" applyAlignment="1">
      <alignment horizontal="center" wrapText="1"/>
    </xf>
    <xf numFmtId="0" fontId="2" fillId="18" borderId="8" xfId="0" applyNumberFormat="1" applyFont="1" applyFill="1" applyBorder="1" applyAlignment="1">
      <alignment horizontal="center" wrapText="1"/>
    </xf>
    <xf numFmtId="164" fontId="2" fillId="18" borderId="8" xfId="0" applyNumberFormat="1" applyFont="1" applyFill="1" applyBorder="1" applyAlignment="1">
      <alignment horizontal="center" wrapText="1"/>
    </xf>
    <xf numFmtId="0" fontId="1" fillId="3" borderId="56" xfId="0" applyNumberFormat="1" applyFont="1" applyFill="1" applyBorder="1" applyAlignment="1">
      <alignment vertical="top" wrapText="1"/>
    </xf>
    <xf numFmtId="0" fontId="2" fillId="0" borderId="15" xfId="0" applyFont="1" applyBorder="1" applyAlignment="1">
      <alignment horizontal="center" vertical="top" wrapText="1"/>
    </xf>
    <xf numFmtId="0" fontId="1" fillId="0" borderId="6" xfId="0" applyNumberFormat="1" applyFont="1" applyFill="1" applyBorder="1" applyAlignment="1">
      <alignment horizontal="center" vertical="top"/>
    </xf>
    <xf numFmtId="164" fontId="1" fillId="0" borderId="6" xfId="0" applyNumberFormat="1" applyFont="1" applyFill="1" applyBorder="1" applyAlignment="1">
      <alignment horizontal="center" vertical="top" wrapText="1"/>
    </xf>
    <xf numFmtId="0" fontId="1" fillId="3" borderId="56" xfId="0" applyNumberFormat="1" applyFont="1" applyFill="1" applyBorder="1" applyAlignment="1">
      <alignment horizontal="center" vertical="top" wrapText="1"/>
    </xf>
    <xf numFmtId="0" fontId="2" fillId="3" borderId="40" xfId="0" applyNumberFormat="1" applyFont="1" applyFill="1" applyBorder="1" applyAlignment="1">
      <alignment horizontal="center" vertical="top" wrapText="1"/>
    </xf>
    <xf numFmtId="0" fontId="1" fillId="3" borderId="40" xfId="0" applyNumberFormat="1" applyFont="1" applyFill="1" applyBorder="1" applyAlignment="1">
      <alignment horizontal="center" vertical="top" wrapText="1"/>
    </xf>
    <xf numFmtId="164" fontId="1" fillId="3" borderId="41" xfId="0" applyNumberFormat="1" applyFont="1" applyFill="1" applyBorder="1" applyAlignment="1">
      <alignment horizontal="center" vertical="top" wrapText="1"/>
    </xf>
    <xf numFmtId="0" fontId="1" fillId="3" borderId="36" xfId="0" applyNumberFormat="1" applyFont="1" applyFill="1" applyBorder="1" applyAlignment="1">
      <alignment vertical="top" wrapText="1"/>
    </xf>
    <xf numFmtId="0" fontId="31" fillId="0" borderId="0" xfId="0" applyNumberFormat="1" applyFont="1" applyFill="1" applyBorder="1" applyAlignment="1"/>
    <xf numFmtId="0" fontId="2" fillId="0" borderId="58" xfId="0" applyNumberFormat="1" applyFont="1" applyFill="1" applyBorder="1" applyAlignment="1">
      <alignment horizontal="center" wrapText="1"/>
    </xf>
    <xf numFmtId="0" fontId="1" fillId="0" borderId="62" xfId="0" applyNumberFormat="1" applyFont="1" applyFill="1" applyBorder="1" applyAlignment="1">
      <alignment horizontal="center"/>
    </xf>
    <xf numFmtId="164" fontId="1" fillId="0" borderId="62" xfId="0" applyNumberFormat="1" applyFont="1" applyFill="1" applyBorder="1" applyAlignment="1">
      <alignment horizontal="center" wrapText="1"/>
    </xf>
    <xf numFmtId="0" fontId="7" fillId="0" borderId="0" xfId="0" applyNumberFormat="1" applyFont="1" applyFill="1" applyBorder="1" applyAlignment="1">
      <alignment wrapText="1"/>
    </xf>
    <xf numFmtId="0" fontId="2" fillId="0" borderId="55" xfId="0" applyNumberFormat="1" applyFont="1" applyFill="1" applyBorder="1" applyAlignment="1">
      <alignment horizontal="center" wrapText="1"/>
    </xf>
    <xf numFmtId="0" fontId="2" fillId="0" borderId="62" xfId="0" applyNumberFormat="1" applyFont="1" applyFill="1" applyBorder="1" applyAlignment="1">
      <alignment horizontal="center" wrapText="1"/>
    </xf>
    <xf numFmtId="0" fontId="7" fillId="0" borderId="0" xfId="0" applyFont="1" applyAlignment="1">
      <alignment wrapText="1"/>
    </xf>
    <xf numFmtId="0" fontId="2" fillId="0" borderId="58" xfId="0" applyNumberFormat="1" applyFont="1" applyFill="1" applyBorder="1" applyAlignment="1">
      <alignment horizontal="center" vertical="top" wrapText="1"/>
    </xf>
    <xf numFmtId="0" fontId="2" fillId="0" borderId="62" xfId="0" applyNumberFormat="1" applyFont="1" applyFill="1" applyBorder="1" applyAlignment="1">
      <alignment horizontal="center" vertical="top" wrapText="1"/>
    </xf>
    <xf numFmtId="0" fontId="2" fillId="0" borderId="15" xfId="0" applyFont="1" applyBorder="1" applyAlignment="1">
      <alignment vertical="top" wrapText="1"/>
    </xf>
    <xf numFmtId="0" fontId="2" fillId="8" borderId="11" xfId="0" applyFont="1" applyFill="1" applyBorder="1" applyAlignment="1">
      <alignment horizontal="center" wrapText="1"/>
    </xf>
    <xf numFmtId="0" fontId="2" fillId="8" borderId="13" xfId="0" applyFont="1" applyFill="1" applyBorder="1" applyAlignment="1">
      <alignment horizontal="center" wrapText="1"/>
    </xf>
    <xf numFmtId="0" fontId="1" fillId="0" borderId="0" xfId="0" applyNumberFormat="1" applyFont="1" applyFill="1" applyBorder="1" applyAlignment="1">
      <alignment wrapText="1"/>
    </xf>
    <xf numFmtId="0" fontId="2" fillId="8" borderId="11" xfId="0" applyFont="1" applyFill="1" applyBorder="1" applyAlignment="1">
      <alignment wrapText="1"/>
    </xf>
    <xf numFmtId="0" fontId="2" fillId="8" borderId="63" xfId="0" applyFont="1" applyFill="1" applyBorder="1" applyAlignment="1">
      <alignment horizontal="center" wrapText="1"/>
    </xf>
    <xf numFmtId="0" fontId="2" fillId="10" borderId="63" xfId="0" applyFont="1" applyFill="1" applyBorder="1" applyAlignment="1">
      <alignment horizontal="center" wrapText="1"/>
    </xf>
    <xf numFmtId="0" fontId="2" fillId="18" borderId="63" xfId="0" applyFont="1" applyFill="1" applyBorder="1" applyAlignment="1">
      <alignment horizontal="center" wrapText="1"/>
    </xf>
    <xf numFmtId="0" fontId="2" fillId="20" borderId="63" xfId="0" applyFont="1" applyFill="1" applyBorder="1" applyAlignment="1">
      <alignment horizontal="center" vertical="top" wrapText="1"/>
    </xf>
    <xf numFmtId="0" fontId="2" fillId="14" borderId="63" xfId="0" applyFont="1" applyFill="1" applyBorder="1" applyAlignment="1">
      <alignment horizontal="center" vertical="top" wrapText="1"/>
    </xf>
    <xf numFmtId="164" fontId="32" fillId="0" borderId="64" xfId="0" applyNumberFormat="1" applyFont="1" applyFill="1" applyBorder="1" applyAlignment="1">
      <alignment horizontal="center"/>
    </xf>
    <xf numFmtId="164" fontId="32" fillId="22" borderId="66" xfId="0" applyNumberFormat="1" applyFont="1" applyFill="1" applyBorder="1" applyAlignment="1">
      <alignment horizontal="center"/>
    </xf>
    <xf numFmtId="164" fontId="32" fillId="0" borderId="65" xfId="0" applyNumberFormat="1" applyFont="1" applyFill="1" applyBorder="1" applyAlignment="1">
      <alignment horizontal="center" wrapText="1"/>
    </xf>
    <xf numFmtId="0" fontId="34" fillId="0" borderId="0" xfId="0" applyNumberFormat="1" applyFont="1" applyFill="1" applyBorder="1" applyAlignment="1">
      <alignment horizontal="left" wrapText="1"/>
    </xf>
    <xf numFmtId="164" fontId="32" fillId="22" borderId="66" xfId="0" applyNumberFormat="1" applyFont="1" applyFill="1" applyBorder="1" applyAlignment="1">
      <alignment horizontal="center" wrapText="1"/>
    </xf>
    <xf numFmtId="0" fontId="1" fillId="0" borderId="0" xfId="0" applyNumberFormat="1" applyFont="1" applyFill="1" applyBorder="1" applyAlignment="1">
      <alignment wrapText="1"/>
    </xf>
    <xf numFmtId="0" fontId="2" fillId="8" borderId="10" xfId="0" applyFont="1" applyFill="1" applyBorder="1" applyAlignment="1">
      <alignment horizontal="center" wrapText="1"/>
    </xf>
    <xf numFmtId="0" fontId="2" fillId="8" borderId="9" xfId="0" applyFont="1" applyFill="1" applyBorder="1" applyAlignment="1">
      <alignment horizontal="center" wrapText="1"/>
    </xf>
    <xf numFmtId="0" fontId="2" fillId="18" borderId="10" xfId="0" applyFont="1" applyFill="1" applyBorder="1" applyAlignment="1">
      <alignment horizontal="center" vertical="center" wrapText="1"/>
    </xf>
    <xf numFmtId="0" fontId="1" fillId="15" borderId="5" xfId="0" applyFont="1" applyFill="1" applyBorder="1" applyAlignment="1">
      <alignment wrapText="1"/>
    </xf>
    <xf numFmtId="0" fontId="1" fillId="15" borderId="0" xfId="0" applyFont="1" applyFill="1" applyBorder="1" applyAlignment="1">
      <alignment wrapText="1"/>
    </xf>
    <xf numFmtId="0" fontId="1" fillId="15" borderId="19" xfId="0" applyFont="1" applyFill="1" applyBorder="1" applyAlignment="1">
      <alignment wrapText="1"/>
    </xf>
    <xf numFmtId="0" fontId="2" fillId="12" borderId="9" xfId="0" applyFont="1" applyFill="1" applyBorder="1" applyAlignment="1">
      <alignment horizontal="center" wrapText="1"/>
    </xf>
    <xf numFmtId="0" fontId="2" fillId="14" borderId="12" xfId="0" applyFont="1" applyFill="1" applyBorder="1" applyAlignment="1">
      <alignment horizontal="center" wrapText="1"/>
    </xf>
    <xf numFmtId="0" fontId="2" fillId="14" borderId="9" xfId="0" applyFont="1" applyFill="1" applyBorder="1" applyAlignment="1">
      <alignment horizontal="center" wrapText="1"/>
    </xf>
    <xf numFmtId="0" fontId="2" fillId="18" borderId="9"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2" xfId="0" applyFont="1" applyFill="1" applyBorder="1" applyAlignment="1">
      <alignment horizontal="center" wrapText="1"/>
    </xf>
    <xf numFmtId="0" fontId="2" fillId="18" borderId="12" xfId="0" applyFont="1" applyFill="1" applyBorder="1" applyAlignment="1">
      <alignment horizontal="center" wrapText="1"/>
    </xf>
    <xf numFmtId="0" fontId="3" fillId="0" borderId="0" xfId="0" applyNumberFormat="1" applyFont="1" applyFill="1" applyBorder="1" applyAlignment="1">
      <alignment horizontal="center" vertical="center" wrapText="1"/>
    </xf>
    <xf numFmtId="0" fontId="1" fillId="0" borderId="0" xfId="0" applyNumberFormat="1" applyFont="1" applyFill="1" applyBorder="1" applyAlignment="1">
      <alignment wrapText="1"/>
    </xf>
    <xf numFmtId="0" fontId="0" fillId="0" borderId="0" xfId="0" applyNumberFormat="1" applyFont="1" applyFill="1" applyBorder="1" applyAlignment="1">
      <alignment horizontal="center" vertical="center"/>
    </xf>
    <xf numFmtId="0" fontId="2" fillId="27" borderId="2" xfId="0" applyNumberFormat="1" applyFont="1" applyFill="1" applyBorder="1" applyAlignment="1">
      <alignment vertical="center" wrapText="1"/>
    </xf>
    <xf numFmtId="0" fontId="4" fillId="19" borderId="2" xfId="0" applyNumberFormat="1" applyFont="1" applyFill="1" applyBorder="1" applyAlignment="1">
      <alignment horizontal="center" vertical="center" wrapText="1"/>
    </xf>
    <xf numFmtId="0" fontId="2" fillId="27" borderId="2" xfId="0" applyNumberFormat="1" applyFont="1" applyFill="1" applyBorder="1" applyAlignment="1">
      <alignment horizontal="left" vertical="center" wrapText="1"/>
    </xf>
    <xf numFmtId="0" fontId="1" fillId="0" borderId="24" xfId="0" applyNumberFormat="1" applyFont="1" applyFill="1" applyBorder="1" applyAlignment="1">
      <alignment horizontal="left" wrapText="1"/>
    </xf>
    <xf numFmtId="14" fontId="1" fillId="0" borderId="24" xfId="0" applyNumberFormat="1" applyFont="1" applyFill="1" applyBorder="1" applyAlignment="1">
      <alignment horizontal="left" wrapText="1"/>
    </xf>
    <xf numFmtId="0" fontId="1" fillId="4" borderId="1" xfId="0" applyNumberFormat="1" applyFont="1" applyFill="1" applyBorder="1" applyAlignment="1">
      <alignment wrapText="1"/>
    </xf>
    <xf numFmtId="0" fontId="4" fillId="13" borderId="1" xfId="0" applyFont="1" applyFill="1" applyBorder="1" applyAlignment="1">
      <alignment wrapText="1"/>
    </xf>
    <xf numFmtId="0" fontId="1" fillId="4" borderId="1" xfId="0" applyNumberFormat="1" applyFont="1" applyFill="1" applyBorder="1" applyAlignment="1">
      <alignment vertical="top" wrapText="1"/>
    </xf>
    <xf numFmtId="0" fontId="4" fillId="11" borderId="1" xfId="0" applyFont="1" applyFill="1" applyBorder="1" applyAlignment="1">
      <alignment wrapText="1"/>
    </xf>
    <xf numFmtId="0" fontId="30" fillId="19" borderId="1" xfId="0" applyFont="1" applyFill="1" applyBorder="1" applyAlignment="1">
      <alignment wrapText="1"/>
    </xf>
    <xf numFmtId="0" fontId="4" fillId="9" borderId="1" xfId="0" applyFont="1" applyFill="1" applyBorder="1" applyAlignment="1">
      <alignment wrapText="1"/>
    </xf>
    <xf numFmtId="0" fontId="1" fillId="4" borderId="43" xfId="0" applyNumberFormat="1" applyFont="1" applyFill="1" applyBorder="1" applyAlignment="1">
      <alignment wrapText="1"/>
    </xf>
    <xf numFmtId="0" fontId="3" fillId="0" borderId="0" xfId="0" applyNumberFormat="1" applyFont="1" applyFill="1" applyBorder="1" applyAlignment="1">
      <alignment wrapText="1"/>
    </xf>
    <xf numFmtId="0" fontId="2" fillId="16" borderId="31" xfId="0" applyFont="1" applyFill="1" applyBorder="1" applyAlignment="1">
      <alignment wrapText="1"/>
    </xf>
    <xf numFmtId="0" fontId="8" fillId="8" borderId="2" xfId="0" applyNumberFormat="1" applyFont="1" applyFill="1" applyBorder="1" applyAlignment="1">
      <alignment horizontal="center"/>
    </xf>
    <xf numFmtId="0" fontId="8" fillId="10" borderId="2" xfId="0" applyNumberFormat="1" applyFont="1" applyFill="1" applyBorder="1" applyAlignment="1">
      <alignment horizontal="center"/>
    </xf>
    <xf numFmtId="0" fontId="8" fillId="18" borderId="2" xfId="0" applyNumberFormat="1" applyFont="1" applyFill="1" applyBorder="1" applyAlignment="1">
      <alignment horizontal="center"/>
    </xf>
    <xf numFmtId="0" fontId="8" fillId="12" borderId="2" xfId="0" applyNumberFormat="1" applyFont="1" applyFill="1" applyBorder="1" applyAlignment="1">
      <alignment horizontal="center"/>
    </xf>
    <xf numFmtId="0" fontId="8" fillId="14" borderId="2" xfId="0" applyNumberFormat="1" applyFont="1" applyFill="1" applyBorder="1" applyAlignment="1">
      <alignment horizontal="center"/>
    </xf>
    <xf numFmtId="0" fontId="2" fillId="16" borderId="31" xfId="0" applyFont="1" applyFill="1" applyBorder="1" applyAlignment="1">
      <alignment horizontal="center" vertical="center" wrapText="1"/>
    </xf>
    <xf numFmtId="0" fontId="1" fillId="15" borderId="5" xfId="0" applyFont="1" applyFill="1" applyBorder="1" applyAlignment="1">
      <alignment horizontal="center" vertical="center" wrapText="1"/>
    </xf>
    <xf numFmtId="0" fontId="1" fillId="15" borderId="0" xfId="0" applyFont="1" applyFill="1" applyBorder="1" applyAlignment="1">
      <alignment horizontal="center" vertical="center" wrapText="1"/>
    </xf>
    <xf numFmtId="0" fontId="1" fillId="15" borderId="19" xfId="0" applyFont="1" applyFill="1" applyBorder="1" applyAlignment="1">
      <alignment horizontal="center" vertical="center" wrapText="1"/>
    </xf>
    <xf numFmtId="0" fontId="2" fillId="8" borderId="13" xfId="0" applyFont="1" applyFill="1" applyBorder="1" applyAlignment="1">
      <alignment horizontal="center" vertical="center" wrapText="1"/>
    </xf>
    <xf numFmtId="0" fontId="2" fillId="8" borderId="63" xfId="0" applyFont="1" applyFill="1" applyBorder="1" applyAlignment="1">
      <alignment horizontal="center" vertical="center" wrapText="1"/>
    </xf>
    <xf numFmtId="0" fontId="1" fillId="4" borderId="1" xfId="0" applyNumberFormat="1" applyFont="1" applyFill="1" applyBorder="1" applyAlignment="1">
      <alignment horizontal="center" vertical="center" wrapText="1"/>
    </xf>
    <xf numFmtId="0" fontId="4" fillId="9" borderId="1" xfId="0" applyFont="1" applyFill="1" applyBorder="1" applyAlignment="1">
      <alignment horizontal="center" vertical="center" wrapText="1"/>
    </xf>
    <xf numFmtId="0" fontId="2" fillId="10" borderId="13" xfId="0" applyFont="1" applyFill="1" applyBorder="1" applyAlignment="1">
      <alignment horizontal="center" vertical="center" wrapText="1"/>
    </xf>
    <xf numFmtId="0" fontId="2" fillId="10" borderId="63" xfId="0" applyFont="1" applyFill="1" applyBorder="1" applyAlignment="1">
      <alignment horizontal="center" vertical="center" wrapText="1"/>
    </xf>
    <xf numFmtId="0" fontId="30" fillId="19" borderId="1" xfId="0" applyFont="1" applyFill="1" applyBorder="1" applyAlignment="1">
      <alignment horizontal="center" vertical="center" wrapText="1"/>
    </xf>
    <xf numFmtId="0" fontId="2" fillId="18" borderId="13" xfId="0" applyFont="1" applyFill="1" applyBorder="1" applyAlignment="1">
      <alignment horizontal="center" vertical="center" wrapText="1"/>
    </xf>
    <xf numFmtId="0" fontId="2" fillId="18" borderId="63" xfId="0" applyFont="1" applyFill="1" applyBorder="1" applyAlignment="1">
      <alignment horizontal="center" vertical="center" wrapText="1"/>
    </xf>
    <xf numFmtId="0" fontId="4" fillId="11" borderId="1" xfId="0" applyFont="1" applyFill="1" applyBorder="1" applyAlignment="1">
      <alignment horizontal="center" vertical="center" wrapText="1"/>
    </xf>
    <xf numFmtId="0" fontId="2" fillId="12" borderId="13" xfId="0" applyFont="1" applyFill="1" applyBorder="1" applyAlignment="1">
      <alignment horizontal="center" vertical="center" wrapText="1"/>
    </xf>
    <xf numFmtId="0" fontId="2" fillId="20" borderId="63" xfId="0" applyFont="1" applyFill="1" applyBorder="1" applyAlignment="1">
      <alignment horizontal="center" vertical="center" wrapText="1"/>
    </xf>
    <xf numFmtId="0" fontId="4" fillId="13" borderId="1" xfId="0" applyFont="1" applyFill="1" applyBorder="1" applyAlignment="1">
      <alignment horizontal="center" vertical="center" wrapText="1"/>
    </xf>
    <xf numFmtId="0" fontId="2" fillId="14" borderId="13" xfId="0" applyFont="1" applyFill="1" applyBorder="1" applyAlignment="1">
      <alignment horizontal="center" vertical="center" wrapText="1"/>
    </xf>
    <xf numFmtId="0" fontId="2" fillId="14" borderId="63" xfId="0" applyFont="1" applyFill="1" applyBorder="1" applyAlignment="1">
      <alignment horizontal="center" vertical="center" wrapText="1"/>
    </xf>
    <xf numFmtId="0" fontId="2" fillId="8" borderId="11" xfId="0" applyFont="1" applyFill="1" applyBorder="1" applyAlignment="1">
      <alignment horizontal="center" vertical="center" wrapText="1"/>
    </xf>
    <xf numFmtId="0" fontId="1" fillId="4" borderId="10" xfId="0" applyNumberFormat="1" applyFont="1" applyFill="1" applyBorder="1" applyAlignment="1">
      <alignment horizontal="center" vertical="center" wrapText="1"/>
    </xf>
    <xf numFmtId="0" fontId="1" fillId="4" borderId="42" xfId="0" applyNumberFormat="1" applyFont="1" applyFill="1" applyBorder="1" applyAlignment="1">
      <alignment horizontal="center" vertical="center" wrapText="1"/>
    </xf>
    <xf numFmtId="0" fontId="2" fillId="10" borderId="11" xfId="0" applyFont="1" applyFill="1" applyBorder="1" applyAlignment="1">
      <alignment horizontal="center" vertical="center" wrapText="1"/>
    </xf>
    <xf numFmtId="0" fontId="1" fillId="4" borderId="11" xfId="0" applyNumberFormat="1" applyFont="1" applyFill="1" applyBorder="1" applyAlignment="1">
      <alignment horizontal="center" vertical="center" wrapText="1"/>
    </xf>
    <xf numFmtId="0" fontId="2" fillId="18" borderId="11" xfId="0" applyFont="1" applyFill="1" applyBorder="1" applyAlignment="1">
      <alignment horizontal="center" vertical="center" wrapText="1"/>
    </xf>
    <xf numFmtId="0" fontId="2" fillId="12" borderId="11" xfId="0" applyFont="1" applyFill="1" applyBorder="1" applyAlignment="1">
      <alignment horizontal="center" vertical="center" wrapText="1"/>
    </xf>
    <xf numFmtId="0" fontId="2" fillId="14" borderId="11" xfId="0" applyFont="1" applyFill="1" applyBorder="1" applyAlignment="1">
      <alignment horizontal="center" vertical="center" wrapText="1"/>
    </xf>
    <xf numFmtId="0" fontId="3" fillId="0" borderId="0" xfId="0" applyNumberFormat="1" applyFont="1" applyFill="1" applyBorder="1" applyAlignment="1">
      <alignment horizontal="left" vertical="top"/>
    </xf>
    <xf numFmtId="0" fontId="1" fillId="0" borderId="0" xfId="0" applyNumberFormat="1" applyFont="1" applyFill="1" applyBorder="1" applyAlignment="1">
      <alignment horizontal="left" vertical="top"/>
    </xf>
    <xf numFmtId="0" fontId="2" fillId="16" borderId="30" xfId="0" applyFont="1" applyFill="1" applyBorder="1" applyAlignment="1">
      <alignment horizontal="left" vertical="top"/>
    </xf>
    <xf numFmtId="0" fontId="1" fillId="15" borderId="33" xfId="0" applyFont="1" applyFill="1" applyBorder="1" applyAlignment="1">
      <alignment horizontal="left" vertical="top"/>
    </xf>
    <xf numFmtId="0" fontId="1" fillId="15" borderId="16" xfId="0" applyFont="1" applyFill="1" applyBorder="1" applyAlignment="1">
      <alignment horizontal="left" vertical="top"/>
    </xf>
    <xf numFmtId="0" fontId="1" fillId="15" borderId="18" xfId="0" applyFont="1" applyFill="1" applyBorder="1" applyAlignment="1">
      <alignment horizontal="left" vertical="top"/>
    </xf>
    <xf numFmtId="0" fontId="2" fillId="0" borderId="22" xfId="0" applyNumberFormat="1" applyFont="1" applyFill="1" applyBorder="1" applyAlignment="1">
      <alignment horizontal="left" vertical="top"/>
    </xf>
    <xf numFmtId="0" fontId="2" fillId="0" borderId="25" xfId="0" applyNumberFormat="1" applyFont="1" applyFill="1" applyBorder="1" applyAlignment="1">
      <alignment horizontal="left" vertical="top"/>
    </xf>
    <xf numFmtId="0" fontId="2" fillId="0" borderId="27" xfId="0" applyNumberFormat="1" applyFont="1" applyFill="1" applyBorder="1" applyAlignment="1">
      <alignment horizontal="left" vertical="top"/>
    </xf>
    <xf numFmtId="0" fontId="2" fillId="12" borderId="11" xfId="0" applyFont="1" applyFill="1" applyBorder="1" applyAlignment="1">
      <alignment horizontal="left" vertical="center" wrapText="1"/>
    </xf>
    <xf numFmtId="0" fontId="2" fillId="12" borderId="10" xfId="0" applyFont="1" applyFill="1" applyBorder="1" applyAlignment="1">
      <alignment horizontal="left" vertical="center" wrapText="1"/>
    </xf>
    <xf numFmtId="0" fontId="2" fillId="14" borderId="11" xfId="0" applyFont="1" applyFill="1" applyBorder="1" applyAlignment="1">
      <alignment horizontal="left" vertical="center" wrapText="1"/>
    </xf>
    <xf numFmtId="0" fontId="2" fillId="14" borderId="10" xfId="0" applyFont="1" applyFill="1" applyBorder="1" applyAlignment="1">
      <alignment horizontal="left" vertical="center" wrapText="1"/>
    </xf>
    <xf numFmtId="0" fontId="2" fillId="0" borderId="79" xfId="0" applyFont="1" applyBorder="1" applyAlignment="1">
      <alignment vertical="top" wrapText="1"/>
    </xf>
    <xf numFmtId="0" fontId="2" fillId="0" borderId="80" xfId="0" applyFont="1" applyBorder="1" applyAlignment="1">
      <alignment horizontal="center" wrapText="1"/>
    </xf>
    <xf numFmtId="0" fontId="2" fillId="0" borderId="80" xfId="0" applyNumberFormat="1" applyFont="1" applyFill="1" applyBorder="1" applyAlignment="1">
      <alignment horizontal="center" wrapText="1"/>
    </xf>
    <xf numFmtId="0" fontId="2" fillId="8" borderId="4" xfId="0" applyNumberFormat="1" applyFont="1" applyFill="1" applyBorder="1" applyAlignment="1">
      <alignment horizontal="center" wrapText="1"/>
    </xf>
    <xf numFmtId="0" fontId="2" fillId="0" borderId="82" xfId="0" applyNumberFormat="1" applyFont="1" applyFill="1" applyBorder="1" applyAlignment="1">
      <alignment horizontal="center" wrapText="1"/>
    </xf>
    <xf numFmtId="164" fontId="32" fillId="0" borderId="83" xfId="0" applyNumberFormat="1" applyFont="1" applyFill="1" applyBorder="1" applyAlignment="1">
      <alignment horizontal="center"/>
    </xf>
    <xf numFmtId="164" fontId="1" fillId="0" borderId="3" xfId="0" applyNumberFormat="1" applyFont="1" applyFill="1" applyBorder="1" applyAlignment="1">
      <alignment horizontal="center" vertical="top" wrapText="1"/>
    </xf>
    <xf numFmtId="164" fontId="32" fillId="0" borderId="81" xfId="0" applyNumberFormat="1" applyFont="1" applyFill="1" applyBorder="1" applyAlignment="1">
      <alignment horizontal="center" wrapText="1"/>
    </xf>
    <xf numFmtId="164" fontId="1" fillId="0" borderId="14" xfId="0" applyNumberFormat="1" applyFont="1" applyFill="1" applyBorder="1" applyAlignment="1">
      <alignment horizontal="center"/>
    </xf>
    <xf numFmtId="164" fontId="1" fillId="0" borderId="59" xfId="0" applyNumberFormat="1" applyFont="1" applyFill="1" applyBorder="1" applyAlignment="1">
      <alignment horizontal="center" wrapText="1"/>
    </xf>
    <xf numFmtId="0" fontId="2" fillId="0" borderId="87" xfId="0" applyNumberFormat="1" applyFont="1" applyFill="1" applyBorder="1" applyAlignment="1">
      <alignment horizontal="center" wrapText="1"/>
    </xf>
    <xf numFmtId="0" fontId="4" fillId="7" borderId="90" xfId="0" applyFont="1" applyFill="1" applyBorder="1" applyAlignment="1">
      <alignment horizontal="center" vertical="center" wrapText="1"/>
    </xf>
    <xf numFmtId="0" fontId="4" fillId="7" borderId="90" xfId="0" applyFont="1" applyFill="1" applyBorder="1" applyAlignment="1">
      <alignment wrapText="1"/>
    </xf>
    <xf numFmtId="0" fontId="35" fillId="0" borderId="0" xfId="1" applyFont="1" applyBorder="1"/>
    <xf numFmtId="2" fontId="14" fillId="0" borderId="94" xfId="1" applyNumberFormat="1" applyFont="1" applyBorder="1" applyAlignment="1" applyProtection="1">
      <alignment horizontal="center"/>
      <protection locked="0"/>
    </xf>
    <xf numFmtId="2" fontId="1" fillId="0" borderId="95" xfId="0" applyNumberFormat="1" applyFont="1" applyFill="1" applyBorder="1" applyAlignment="1">
      <alignment horizontal="center" wrapText="1"/>
    </xf>
    <xf numFmtId="2" fontId="14" fillId="0" borderId="96" xfId="1" applyNumberFormat="1" applyFont="1" applyBorder="1" applyAlignment="1" applyProtection="1">
      <alignment horizontal="center"/>
      <protection locked="0"/>
    </xf>
    <xf numFmtId="2" fontId="1" fillId="0" borderId="94" xfId="0" applyNumberFormat="1" applyFont="1" applyFill="1" applyBorder="1" applyAlignment="1">
      <alignment horizontal="center" wrapText="1"/>
    </xf>
    <xf numFmtId="2" fontId="14" fillId="0" borderId="39" xfId="1" applyNumberFormat="1" applyFont="1" applyBorder="1" applyAlignment="1" applyProtection="1">
      <alignment horizontal="center"/>
      <protection locked="0"/>
    </xf>
    <xf numFmtId="0" fontId="14" fillId="17" borderId="0" xfId="1" applyFont="1" applyFill="1" applyBorder="1"/>
    <xf numFmtId="0" fontId="2" fillId="0" borderId="97" xfId="0" applyNumberFormat="1" applyFont="1" applyFill="1" applyBorder="1" applyAlignment="1">
      <alignment horizontal="center" vertical="center" wrapText="1"/>
    </xf>
    <xf numFmtId="0" fontId="2" fillId="0" borderId="99" xfId="0" applyNumberFormat="1" applyFont="1" applyFill="1" applyBorder="1" applyAlignment="1">
      <alignment horizontal="center" vertical="center" wrapText="1"/>
    </xf>
    <xf numFmtId="0" fontId="1" fillId="0" borderId="60" xfId="0" applyNumberFormat="1" applyFont="1" applyFill="1" applyBorder="1" applyAlignment="1">
      <alignment horizontal="center" vertical="center" wrapText="1"/>
    </xf>
    <xf numFmtId="0" fontId="2" fillId="0" borderId="60" xfId="0" applyNumberFormat="1" applyFont="1" applyFill="1" applyBorder="1" applyAlignment="1">
      <alignment horizontal="center" vertical="center" wrapText="1"/>
    </xf>
    <xf numFmtId="0" fontId="1" fillId="0" borderId="98" xfId="0" applyNumberFormat="1" applyFont="1" applyFill="1" applyBorder="1" applyAlignment="1">
      <alignment horizontal="left" wrapText="1"/>
    </xf>
    <xf numFmtId="14" fontId="15" fillId="0" borderId="0" xfId="1" applyNumberFormat="1" applyFont="1" applyAlignment="1">
      <alignment horizontal="left"/>
    </xf>
    <xf numFmtId="0" fontId="1" fillId="0" borderId="15" xfId="0" applyNumberFormat="1" applyFont="1" applyFill="1" applyBorder="1" applyAlignment="1">
      <alignment horizontal="left" vertical="center"/>
    </xf>
    <xf numFmtId="0" fontId="1" fillId="0" borderId="9" xfId="0" applyNumberFormat="1" applyFont="1" applyFill="1" applyBorder="1" applyAlignment="1">
      <alignment horizontal="left" vertical="center"/>
    </xf>
    <xf numFmtId="0" fontId="1" fillId="0" borderId="4" xfId="0" applyNumberFormat="1" applyFont="1" applyFill="1" applyBorder="1" applyAlignment="1">
      <alignment horizontal="left" vertical="center"/>
    </xf>
    <xf numFmtId="0" fontId="32" fillId="0" borderId="70" xfId="0" applyNumberFormat="1" applyFont="1" applyFill="1" applyBorder="1" applyAlignment="1">
      <alignment horizontal="left" vertical="center"/>
    </xf>
    <xf numFmtId="0" fontId="32" fillId="0" borderId="71" xfId="0" applyNumberFormat="1" applyFont="1" applyFill="1" applyBorder="1" applyAlignment="1">
      <alignment horizontal="left" vertical="center"/>
    </xf>
    <xf numFmtId="0" fontId="1" fillId="0" borderId="61" xfId="0" applyNumberFormat="1" applyFont="1" applyFill="1" applyBorder="1" applyAlignment="1">
      <alignment horizontal="left" vertical="center"/>
    </xf>
    <xf numFmtId="0" fontId="1" fillId="4" borderId="10" xfId="0" applyNumberFormat="1" applyFont="1" applyFill="1" applyBorder="1" applyAlignment="1">
      <alignment horizontal="center" vertical="top" wrapText="1"/>
    </xf>
    <xf numFmtId="0" fontId="1" fillId="4" borderId="1" xfId="0" applyNumberFormat="1" applyFont="1" applyFill="1" applyBorder="1" applyAlignment="1">
      <alignment horizontal="center" vertical="top" wrapText="1"/>
    </xf>
    <xf numFmtId="0" fontId="1" fillId="4" borderId="9" xfId="0" applyNumberFormat="1" applyFont="1" applyFill="1" applyBorder="1" applyAlignment="1">
      <alignment horizontal="center" vertical="top" wrapText="1"/>
    </xf>
    <xf numFmtId="0" fontId="32" fillId="0" borderId="67" xfId="0" applyNumberFormat="1" applyFont="1" applyFill="1" applyBorder="1" applyAlignment="1">
      <alignment horizontal="left" vertical="center"/>
    </xf>
    <xf numFmtId="0" fontId="32" fillId="0" borderId="68" xfId="0" applyNumberFormat="1" applyFont="1" applyFill="1" applyBorder="1" applyAlignment="1">
      <alignment horizontal="left" vertical="center"/>
    </xf>
    <xf numFmtId="2" fontId="33" fillId="23" borderId="69" xfId="0" applyNumberFormat="1" applyFont="1" applyFill="1" applyBorder="1" applyAlignment="1">
      <alignment horizontal="center" vertical="center"/>
    </xf>
    <xf numFmtId="2" fontId="33" fillId="23" borderId="65" xfId="0" applyNumberFormat="1" applyFont="1" applyFill="1" applyBorder="1" applyAlignment="1">
      <alignment horizontal="center" vertical="center"/>
    </xf>
    <xf numFmtId="0" fontId="1" fillId="0" borderId="15" xfId="0" applyNumberFormat="1" applyFont="1" applyFill="1" applyBorder="1" applyAlignment="1">
      <alignment horizontal="left" vertical="top"/>
    </xf>
    <xf numFmtId="0" fontId="1" fillId="0" borderId="9" xfId="0" applyNumberFormat="1" applyFont="1" applyFill="1" applyBorder="1" applyAlignment="1">
      <alignment horizontal="left" vertical="top"/>
    </xf>
    <xf numFmtId="0" fontId="2" fillId="20" borderId="14" xfId="0" applyFont="1" applyFill="1" applyBorder="1" applyAlignment="1">
      <alignment horizontal="center" vertical="center" wrapText="1"/>
    </xf>
    <xf numFmtId="0" fontId="2" fillId="20" borderId="3" xfId="0" applyFont="1" applyFill="1" applyBorder="1" applyAlignment="1">
      <alignment horizontal="center" vertical="center" wrapText="1"/>
    </xf>
    <xf numFmtId="0" fontId="2" fillId="20" borderId="10" xfId="0" applyFont="1" applyFill="1" applyBorder="1" applyAlignment="1">
      <alignment horizontal="center" vertical="center" wrapText="1"/>
    </xf>
    <xf numFmtId="0" fontId="1" fillId="4" borderId="10" xfId="0" applyNumberFormat="1" applyFont="1" applyFill="1" applyBorder="1" applyAlignment="1">
      <alignment horizontal="center" wrapText="1"/>
    </xf>
    <xf numFmtId="0" fontId="1" fillId="4" borderId="1" xfId="0" applyNumberFormat="1" applyFont="1" applyFill="1" applyBorder="1" applyAlignment="1">
      <alignment horizontal="center" wrapText="1"/>
    </xf>
    <xf numFmtId="0" fontId="1" fillId="4" borderId="9" xfId="0" applyNumberFormat="1" applyFont="1" applyFill="1" applyBorder="1" applyAlignment="1">
      <alignment horizontal="center" wrapText="1"/>
    </xf>
    <xf numFmtId="0" fontId="4" fillId="11" borderId="1" xfId="0" applyFont="1" applyFill="1" applyBorder="1" applyAlignment="1">
      <alignment horizontal="center" wrapText="1"/>
    </xf>
    <xf numFmtId="2" fontId="33" fillId="26" borderId="69" xfId="0" applyNumberFormat="1" applyFont="1" applyFill="1" applyBorder="1" applyAlignment="1">
      <alignment horizontal="center" vertical="center"/>
    </xf>
    <xf numFmtId="2" fontId="33" fillId="26" borderId="65" xfId="0" applyNumberFormat="1" applyFont="1" applyFill="1" applyBorder="1" applyAlignment="1">
      <alignment horizontal="center" vertical="center"/>
    </xf>
    <xf numFmtId="2" fontId="33" fillId="25" borderId="69" xfId="0" applyNumberFormat="1" applyFont="1" applyFill="1" applyBorder="1" applyAlignment="1">
      <alignment horizontal="center" vertical="center"/>
    </xf>
    <xf numFmtId="2" fontId="33" fillId="25" borderId="65" xfId="0" applyNumberFormat="1" applyFont="1" applyFill="1" applyBorder="1" applyAlignment="1">
      <alignment horizontal="center" vertical="center"/>
    </xf>
    <xf numFmtId="2" fontId="33" fillId="24" borderId="69" xfId="0" applyNumberFormat="1" applyFont="1" applyFill="1" applyBorder="1" applyAlignment="1">
      <alignment horizontal="center" vertical="center"/>
    </xf>
    <xf numFmtId="2" fontId="33" fillId="24" borderId="65" xfId="0" applyNumberFormat="1" applyFont="1" applyFill="1" applyBorder="1" applyAlignment="1">
      <alignment horizontal="center" vertical="center"/>
    </xf>
    <xf numFmtId="0" fontId="2" fillId="8" borderId="10" xfId="0" applyFont="1" applyFill="1" applyBorder="1" applyAlignment="1">
      <alignment horizontal="center" wrapText="1"/>
    </xf>
    <xf numFmtId="0" fontId="2" fillId="8" borderId="1" xfId="0" applyFont="1" applyFill="1" applyBorder="1" applyAlignment="1">
      <alignment horizontal="center" wrapText="1"/>
    </xf>
    <xf numFmtId="0" fontId="2" fillId="8" borderId="9" xfId="0" applyFont="1" applyFill="1" applyBorder="1" applyAlignment="1">
      <alignment horizontal="center" wrapText="1"/>
    </xf>
    <xf numFmtId="0" fontId="32" fillId="0" borderId="72" xfId="0" applyNumberFormat="1" applyFont="1" applyFill="1" applyBorder="1" applyAlignment="1">
      <alignment horizontal="left" vertical="center"/>
    </xf>
    <xf numFmtId="0" fontId="1" fillId="0" borderId="7" xfId="0" applyNumberFormat="1" applyFont="1" applyFill="1" applyBorder="1" applyAlignment="1">
      <alignment horizontal="left" vertical="center"/>
    </xf>
    <xf numFmtId="0" fontId="1" fillId="0" borderId="6" xfId="0" applyNumberFormat="1" applyFont="1" applyFill="1" applyBorder="1" applyAlignment="1">
      <alignment horizontal="left" vertical="center"/>
    </xf>
    <xf numFmtId="0" fontId="1" fillId="4" borderId="42" xfId="0" applyNumberFormat="1" applyFont="1" applyFill="1" applyBorder="1" applyAlignment="1">
      <alignment horizontal="center" wrapText="1"/>
    </xf>
    <xf numFmtId="0" fontId="1" fillId="4" borderId="43" xfId="0" applyNumberFormat="1" applyFont="1" applyFill="1" applyBorder="1" applyAlignment="1">
      <alignment horizontal="center" wrapText="1"/>
    </xf>
    <xf numFmtId="0" fontId="1" fillId="4" borderId="44" xfId="0" applyNumberFormat="1" applyFont="1" applyFill="1" applyBorder="1" applyAlignment="1">
      <alignment horizontal="center" wrapText="1"/>
    </xf>
    <xf numFmtId="0" fontId="2" fillId="8" borderId="14" xfId="0" applyNumberFormat="1" applyFont="1" applyFill="1" applyBorder="1" applyAlignment="1">
      <alignment horizontal="center" vertical="center" wrapText="1"/>
    </xf>
    <xf numFmtId="0" fontId="2" fillId="8" borderId="3" xfId="0" applyNumberFormat="1" applyFont="1" applyFill="1" applyBorder="1" applyAlignment="1">
      <alignment horizontal="center" vertical="center" wrapText="1"/>
    </xf>
    <xf numFmtId="0" fontId="2" fillId="8" borderId="59" xfId="0" applyNumberFormat="1" applyFont="1" applyFill="1" applyBorder="1" applyAlignment="1">
      <alignment horizontal="center" vertical="center" wrapText="1"/>
    </xf>
    <xf numFmtId="0" fontId="4" fillId="9" borderId="1" xfId="0" applyFont="1" applyFill="1" applyBorder="1" applyAlignment="1">
      <alignment horizontal="center" wrapText="1"/>
    </xf>
    <xf numFmtId="2" fontId="11" fillId="8" borderId="4" xfId="0" applyNumberFormat="1" applyFont="1" applyFill="1" applyBorder="1" applyAlignment="1">
      <alignment horizontal="center" vertical="center"/>
    </xf>
    <xf numFmtId="2" fontId="11" fillId="8" borderId="6" xfId="0" applyNumberFormat="1" applyFont="1" applyFill="1" applyBorder="1" applyAlignment="1">
      <alignment horizontal="center" vertical="center"/>
    </xf>
    <xf numFmtId="0" fontId="2" fillId="10" borderId="14" xfId="0" applyFont="1" applyFill="1" applyBorder="1" applyAlignment="1">
      <alignment horizontal="center" vertical="center" wrapText="1"/>
    </xf>
    <xf numFmtId="0" fontId="2" fillId="10" borderId="3" xfId="0" applyFont="1" applyFill="1" applyBorder="1" applyAlignment="1">
      <alignment horizontal="center" vertical="center" wrapText="1"/>
    </xf>
    <xf numFmtId="0" fontId="2" fillId="10" borderId="10" xfId="0" applyFont="1" applyFill="1" applyBorder="1" applyAlignment="1">
      <alignment horizontal="center" vertical="center" wrapText="1"/>
    </xf>
    <xf numFmtId="0" fontId="1" fillId="4" borderId="11" xfId="0" applyNumberFormat="1" applyFont="1" applyFill="1" applyBorder="1" applyAlignment="1">
      <alignment horizontal="center" wrapText="1"/>
    </xf>
    <xf numFmtId="0" fontId="1" fillId="4" borderId="12" xfId="0" applyNumberFormat="1" applyFont="1" applyFill="1" applyBorder="1" applyAlignment="1">
      <alignment horizontal="center" wrapText="1"/>
    </xf>
    <xf numFmtId="0" fontId="2" fillId="18" borderId="14" xfId="0" applyFont="1" applyFill="1" applyBorder="1" applyAlignment="1">
      <alignment horizontal="center" vertical="center" wrapText="1"/>
    </xf>
    <xf numFmtId="0" fontId="2" fillId="18" borderId="3" xfId="0" applyFont="1" applyFill="1" applyBorder="1" applyAlignment="1">
      <alignment horizontal="center" vertical="center" wrapText="1"/>
    </xf>
    <xf numFmtId="0" fontId="2" fillId="18" borderId="10" xfId="0" applyFont="1" applyFill="1" applyBorder="1" applyAlignment="1">
      <alignment horizontal="center" vertical="center" wrapText="1"/>
    </xf>
    <xf numFmtId="0" fontId="2" fillId="12" borderId="10" xfId="0" applyFont="1" applyFill="1" applyBorder="1" applyAlignment="1">
      <alignment horizontal="center" wrapText="1"/>
    </xf>
    <xf numFmtId="0" fontId="2" fillId="12" borderId="1" xfId="0" applyFont="1" applyFill="1" applyBorder="1" applyAlignment="1">
      <alignment horizontal="center" wrapText="1"/>
    </xf>
    <xf numFmtId="0" fontId="2" fillId="12" borderId="9" xfId="0" applyFont="1" applyFill="1" applyBorder="1" applyAlignment="1">
      <alignment horizontal="center" wrapText="1"/>
    </xf>
    <xf numFmtId="0" fontId="3" fillId="0" borderId="0" xfId="0" applyNumberFormat="1" applyFont="1" applyFill="1" applyBorder="1" applyAlignment="1">
      <alignment horizontal="center" wrapText="1"/>
    </xf>
    <xf numFmtId="0" fontId="2" fillId="16" borderId="30" xfId="0" applyFont="1" applyFill="1" applyBorder="1" applyAlignment="1">
      <alignment horizontal="center" wrapText="1"/>
    </xf>
    <xf numFmtId="0" fontId="2" fillId="16" borderId="31" xfId="0" applyFont="1" applyFill="1" applyBorder="1" applyAlignment="1">
      <alignment horizontal="center" wrapText="1"/>
    </xf>
    <xf numFmtId="0" fontId="2" fillId="16" borderId="32" xfId="0" applyFont="1" applyFill="1" applyBorder="1" applyAlignment="1">
      <alignment horizontal="center" wrapText="1"/>
    </xf>
    <xf numFmtId="0" fontId="1" fillId="15" borderId="33" xfId="0" applyFont="1" applyFill="1" applyBorder="1" applyAlignment="1">
      <alignment wrapText="1"/>
    </xf>
    <xf numFmtId="0" fontId="1" fillId="15" borderId="5" xfId="0" applyFont="1" applyFill="1" applyBorder="1" applyAlignment="1">
      <alignment wrapText="1"/>
    </xf>
    <xf numFmtId="0" fontId="1" fillId="15" borderId="34" xfId="0" applyFont="1" applyFill="1" applyBorder="1" applyAlignment="1">
      <alignment wrapText="1"/>
    </xf>
    <xf numFmtId="0" fontId="1" fillId="15" borderId="16" xfId="0" applyFont="1" applyFill="1" applyBorder="1" applyAlignment="1">
      <alignment wrapText="1"/>
    </xf>
    <xf numFmtId="0" fontId="1" fillId="15" borderId="0" xfId="0" applyFont="1" applyFill="1" applyBorder="1" applyAlignment="1">
      <alignment wrapText="1"/>
    </xf>
    <xf numFmtId="0" fontId="1" fillId="15" borderId="17" xfId="0" applyFont="1" applyFill="1" applyBorder="1" applyAlignment="1">
      <alignment wrapText="1"/>
    </xf>
    <xf numFmtId="0" fontId="2" fillId="0" borderId="25" xfId="0" applyNumberFormat="1" applyFont="1" applyFill="1" applyBorder="1" applyAlignment="1">
      <alignment horizontal="right" wrapText="1"/>
    </xf>
    <xf numFmtId="0" fontId="1" fillId="0" borderId="21" xfId="0" applyNumberFormat="1" applyFont="1" applyFill="1" applyBorder="1" applyAlignment="1">
      <alignment horizontal="right" wrapText="1"/>
    </xf>
    <xf numFmtId="0" fontId="2" fillId="0" borderId="21" xfId="0" applyNumberFormat="1" applyFont="1" applyFill="1" applyBorder="1" applyAlignment="1">
      <alignment horizontal="right" wrapText="1"/>
    </xf>
    <xf numFmtId="0" fontId="2" fillId="0" borderId="27" xfId="0" applyNumberFormat="1" applyFont="1" applyFill="1" applyBorder="1" applyAlignment="1">
      <alignment horizontal="right" wrapText="1"/>
    </xf>
    <xf numFmtId="0" fontId="2" fillId="0" borderId="28" xfId="0" applyNumberFormat="1" applyFont="1" applyFill="1" applyBorder="1" applyAlignment="1">
      <alignment horizontal="right" wrapText="1"/>
    </xf>
    <xf numFmtId="0" fontId="1" fillId="15" borderId="18" xfId="0" applyFont="1" applyFill="1" applyBorder="1" applyAlignment="1">
      <alignment wrapText="1"/>
    </xf>
    <xf numFmtId="0" fontId="1" fillId="15" borderId="19" xfId="0" applyFont="1" applyFill="1" applyBorder="1" applyAlignment="1">
      <alignment wrapText="1"/>
    </xf>
    <xf numFmtId="0" fontId="1" fillId="15" borderId="20" xfId="0" applyFont="1" applyFill="1" applyBorder="1" applyAlignment="1">
      <alignment wrapText="1"/>
    </xf>
    <xf numFmtId="0" fontId="2" fillId="0" borderId="22" xfId="0" applyNumberFormat="1" applyFont="1" applyFill="1" applyBorder="1" applyAlignment="1">
      <alignment horizontal="right" wrapText="1"/>
    </xf>
    <xf numFmtId="0" fontId="2" fillId="0" borderId="23" xfId="0" applyNumberFormat="1" applyFont="1" applyFill="1" applyBorder="1" applyAlignment="1">
      <alignment horizontal="right" wrapText="1"/>
    </xf>
    <xf numFmtId="0" fontId="4" fillId="7" borderId="1" xfId="0" applyFont="1" applyFill="1" applyBorder="1" applyAlignment="1">
      <alignment horizontal="center" wrapText="1"/>
    </xf>
    <xf numFmtId="0" fontId="4" fillId="13" borderId="1" xfId="0" applyFont="1" applyFill="1" applyBorder="1" applyAlignment="1">
      <alignment horizontal="center" wrapText="1"/>
    </xf>
    <xf numFmtId="0" fontId="2" fillId="14" borderId="14" xfId="0" applyFont="1" applyFill="1" applyBorder="1" applyAlignment="1">
      <alignment horizontal="center" vertical="center" wrapText="1"/>
    </xf>
    <xf numFmtId="0" fontId="2" fillId="14" borderId="3" xfId="0" applyFont="1" applyFill="1" applyBorder="1" applyAlignment="1">
      <alignment horizontal="center" vertical="center" wrapText="1"/>
    </xf>
    <xf numFmtId="0" fontId="2" fillId="14" borderId="10" xfId="0" applyFont="1" applyFill="1" applyBorder="1" applyAlignment="1">
      <alignment horizontal="center" vertical="center" wrapText="1"/>
    </xf>
    <xf numFmtId="0" fontId="2" fillId="18" borderId="10" xfId="0" applyFont="1" applyFill="1" applyBorder="1" applyAlignment="1">
      <alignment horizontal="center" wrapText="1"/>
    </xf>
    <xf numFmtId="0" fontId="2" fillId="18" borderId="1" xfId="0" applyFont="1" applyFill="1" applyBorder="1" applyAlignment="1">
      <alignment horizontal="center" wrapText="1"/>
    </xf>
    <xf numFmtId="0" fontId="2" fillId="18" borderId="9" xfId="0" applyFont="1" applyFill="1" applyBorder="1" applyAlignment="1">
      <alignment horizontal="center" wrapText="1"/>
    </xf>
    <xf numFmtId="0" fontId="2" fillId="14" borderId="11" xfId="0" applyFont="1" applyFill="1" applyBorder="1" applyAlignment="1">
      <alignment horizontal="center" wrapText="1"/>
    </xf>
    <xf numFmtId="0" fontId="2" fillId="14" borderId="13" xfId="0" applyFont="1" applyFill="1" applyBorder="1" applyAlignment="1">
      <alignment horizontal="center" wrapText="1"/>
    </xf>
    <xf numFmtId="0" fontId="2" fillId="14" borderId="12" xfId="0" applyFont="1" applyFill="1" applyBorder="1" applyAlignment="1">
      <alignment horizontal="center" wrapText="1"/>
    </xf>
    <xf numFmtId="0" fontId="2" fillId="14" borderId="10" xfId="0" applyFont="1" applyFill="1" applyBorder="1" applyAlignment="1">
      <alignment horizontal="center" wrapText="1"/>
    </xf>
    <xf numFmtId="0" fontId="2" fillId="14" borderId="1" xfId="0" applyFont="1" applyFill="1" applyBorder="1" applyAlignment="1">
      <alignment horizontal="center" wrapText="1"/>
    </xf>
    <xf numFmtId="0" fontId="2" fillId="14" borderId="9" xfId="0" applyFont="1" applyFill="1" applyBorder="1" applyAlignment="1">
      <alignment horizontal="center" wrapText="1"/>
    </xf>
    <xf numFmtId="2" fontId="33" fillId="21" borderId="69" xfId="0" applyNumberFormat="1" applyFont="1" applyFill="1" applyBorder="1" applyAlignment="1">
      <alignment horizontal="center" vertical="center"/>
    </xf>
    <xf numFmtId="2" fontId="33" fillId="21" borderId="65" xfId="0" applyNumberFormat="1" applyFont="1" applyFill="1" applyBorder="1" applyAlignment="1">
      <alignment horizontal="center" vertical="center"/>
    </xf>
    <xf numFmtId="0" fontId="2" fillId="12" borderId="11" xfId="0" applyFont="1" applyFill="1" applyBorder="1" applyAlignment="1">
      <alignment horizontal="center" wrapText="1"/>
    </xf>
    <xf numFmtId="0" fontId="2" fillId="12" borderId="13" xfId="0" applyFont="1" applyFill="1" applyBorder="1" applyAlignment="1">
      <alignment horizontal="center" wrapText="1"/>
    </xf>
    <xf numFmtId="0" fontId="2" fillId="12" borderId="12" xfId="0" applyFont="1" applyFill="1" applyBorder="1" applyAlignment="1">
      <alignment horizontal="center" wrapText="1"/>
    </xf>
    <xf numFmtId="0" fontId="2" fillId="10" borderId="10" xfId="0" applyFont="1" applyFill="1" applyBorder="1" applyAlignment="1">
      <alignment horizontal="center" wrapText="1"/>
    </xf>
    <xf numFmtId="0" fontId="2" fillId="10" borderId="1" xfId="0" applyFont="1" applyFill="1" applyBorder="1" applyAlignment="1">
      <alignment horizontal="center" wrapText="1"/>
    </xf>
    <xf numFmtId="0" fontId="2" fillId="10" borderId="9" xfId="0" applyFont="1" applyFill="1" applyBorder="1" applyAlignment="1">
      <alignment horizontal="center" wrapText="1"/>
    </xf>
    <xf numFmtId="0" fontId="2" fillId="10" borderId="11" xfId="0" applyFont="1" applyFill="1" applyBorder="1" applyAlignment="1">
      <alignment horizontal="center" wrapText="1"/>
    </xf>
    <xf numFmtId="0" fontId="2" fillId="10" borderId="13" xfId="0" applyFont="1" applyFill="1" applyBorder="1" applyAlignment="1">
      <alignment horizontal="center" wrapText="1"/>
    </xf>
    <xf numFmtId="0" fontId="2" fillId="10" borderId="12" xfId="0" applyFont="1" applyFill="1" applyBorder="1" applyAlignment="1">
      <alignment horizontal="center" wrapText="1"/>
    </xf>
    <xf numFmtId="0" fontId="30" fillId="19" borderId="1" xfId="0" applyFont="1" applyFill="1" applyBorder="1" applyAlignment="1">
      <alignment horizontal="center" wrapText="1"/>
    </xf>
    <xf numFmtId="0" fontId="2" fillId="18" borderId="11" xfId="0" applyFont="1" applyFill="1" applyBorder="1" applyAlignment="1">
      <alignment horizontal="center" wrapText="1"/>
    </xf>
    <xf numFmtId="0" fontId="2" fillId="18" borderId="13" xfId="0" applyFont="1" applyFill="1" applyBorder="1" applyAlignment="1">
      <alignment horizontal="center" wrapText="1"/>
    </xf>
    <xf numFmtId="0" fontId="2" fillId="18" borderId="12" xfId="0" applyFont="1" applyFill="1" applyBorder="1" applyAlignment="1">
      <alignment horizontal="center" wrapText="1"/>
    </xf>
    <xf numFmtId="0" fontId="2" fillId="2" borderId="39" xfId="0" applyNumberFormat="1" applyFont="1" applyFill="1" applyBorder="1" applyAlignment="1">
      <alignment horizontal="center" vertical="center" wrapText="1"/>
    </xf>
    <xf numFmtId="0" fontId="2" fillId="2" borderId="45" xfId="0" applyNumberFormat="1" applyFont="1" applyFill="1" applyBorder="1" applyAlignment="1">
      <alignment horizontal="center" vertical="center" wrapText="1"/>
    </xf>
    <xf numFmtId="0" fontId="2" fillId="2" borderId="46" xfId="0" applyNumberFormat="1" applyFont="1" applyFill="1" applyBorder="1" applyAlignment="1">
      <alignment horizontal="center" vertical="center" wrapText="1"/>
    </xf>
    <xf numFmtId="0" fontId="28" fillId="4" borderId="53" xfId="0" applyNumberFormat="1" applyFont="1" applyFill="1" applyBorder="1" applyAlignment="1">
      <alignment horizontal="center" vertical="center" wrapText="1"/>
    </xf>
    <xf numFmtId="0" fontId="28" fillId="4" borderId="47" xfId="0" applyNumberFormat="1" applyFont="1" applyFill="1" applyBorder="1" applyAlignment="1">
      <alignment horizontal="center" vertical="center" wrapText="1"/>
    </xf>
    <xf numFmtId="0" fontId="28" fillId="4" borderId="54" xfId="0" applyNumberFormat="1" applyFont="1" applyFill="1" applyBorder="1" applyAlignment="1">
      <alignment horizontal="center" vertical="center" wrapText="1"/>
    </xf>
    <xf numFmtId="0" fontId="29" fillId="4" borderId="53" xfId="0" applyNumberFormat="1" applyFont="1" applyFill="1" applyBorder="1" applyAlignment="1">
      <alignment horizontal="center" vertical="center"/>
    </xf>
    <xf numFmtId="0" fontId="29" fillId="4" borderId="47" xfId="0" applyNumberFormat="1" applyFont="1" applyFill="1" applyBorder="1" applyAlignment="1">
      <alignment horizontal="center" vertical="center"/>
    </xf>
    <xf numFmtId="0" fontId="29" fillId="4" borderId="54" xfId="0" applyNumberFormat="1" applyFont="1" applyFill="1" applyBorder="1" applyAlignment="1">
      <alignment horizontal="center" vertical="center"/>
    </xf>
    <xf numFmtId="0" fontId="3" fillId="0" borderId="0" xfId="0" applyNumberFormat="1" applyFont="1" applyFill="1" applyBorder="1" applyAlignment="1">
      <alignment horizontal="center" vertical="center" wrapText="1"/>
    </xf>
    <xf numFmtId="0" fontId="6" fillId="0" borderId="0" xfId="0" applyNumberFormat="1" applyFont="1" applyFill="1" applyBorder="1" applyAlignment="1">
      <alignment vertical="center" wrapText="1"/>
    </xf>
    <xf numFmtId="0" fontId="1" fillId="0" borderId="0" xfId="0" applyNumberFormat="1" applyFont="1" applyFill="1" applyBorder="1" applyAlignment="1">
      <alignment vertical="center" wrapText="1"/>
    </xf>
    <xf numFmtId="0" fontId="2" fillId="0" borderId="0" xfId="0" applyNumberFormat="1" applyFont="1" applyFill="1" applyBorder="1" applyAlignment="1">
      <alignment horizontal="right" wrapText="1"/>
    </xf>
    <xf numFmtId="0" fontId="1" fillId="0" borderId="0" xfId="0" applyNumberFormat="1" applyFont="1" applyFill="1" applyBorder="1" applyAlignment="1">
      <alignment wrapText="1"/>
    </xf>
    <xf numFmtId="14" fontId="1" fillId="0" borderId="0" xfId="0" applyNumberFormat="1" applyFont="1" applyFill="1" applyBorder="1" applyAlignment="1">
      <alignment horizontal="left" wrapText="1"/>
    </xf>
    <xf numFmtId="0" fontId="26" fillId="15" borderId="53" xfId="1" applyFont="1" applyFill="1" applyBorder="1" applyAlignment="1">
      <alignment horizontal="left" vertical="center" wrapText="1"/>
    </xf>
    <xf numFmtId="0" fontId="26" fillId="15" borderId="47" xfId="1" applyFont="1" applyFill="1" applyBorder="1" applyAlignment="1">
      <alignment horizontal="left" vertical="center"/>
    </xf>
    <xf numFmtId="0" fontId="26" fillId="15" borderId="54" xfId="1" applyFont="1" applyFill="1" applyBorder="1" applyAlignment="1">
      <alignment horizontal="left" vertical="center"/>
    </xf>
    <xf numFmtId="0" fontId="1" fillId="0" borderId="0" xfId="0" applyNumberFormat="1" applyFont="1" applyFill="1" applyBorder="1" applyAlignment="1">
      <alignment horizontal="left" wrapText="1"/>
    </xf>
    <xf numFmtId="2" fontId="33" fillId="23" borderId="84" xfId="0" applyNumberFormat="1" applyFont="1" applyFill="1" applyBorder="1" applyAlignment="1">
      <alignment horizontal="center" vertical="center"/>
    </xf>
    <xf numFmtId="2" fontId="33" fillId="23" borderId="85" xfId="0" applyNumberFormat="1" applyFont="1" applyFill="1" applyBorder="1" applyAlignment="1">
      <alignment horizontal="center" vertical="center"/>
    </xf>
    <xf numFmtId="2" fontId="33" fillId="23" borderId="88" xfId="0" applyNumberFormat="1" applyFont="1" applyFill="1" applyBorder="1" applyAlignment="1">
      <alignment horizontal="center" vertical="center"/>
    </xf>
    <xf numFmtId="2" fontId="11" fillId="8" borderId="73" xfId="0" applyNumberFormat="1" applyFont="1" applyFill="1" applyBorder="1" applyAlignment="1">
      <alignment horizontal="center" vertical="center"/>
    </xf>
    <xf numFmtId="2" fontId="11" fillId="8" borderId="74" xfId="0" applyNumberFormat="1" applyFont="1" applyFill="1" applyBorder="1" applyAlignment="1">
      <alignment horizontal="center" vertical="center"/>
    </xf>
    <xf numFmtId="2" fontId="11" fillId="8" borderId="78" xfId="0" applyNumberFormat="1" applyFont="1" applyFill="1" applyBorder="1" applyAlignment="1">
      <alignment horizontal="center" vertical="center"/>
    </xf>
    <xf numFmtId="2" fontId="11" fillId="8" borderId="84" xfId="0" applyNumberFormat="1" applyFont="1" applyFill="1" applyBorder="1" applyAlignment="1">
      <alignment horizontal="center" vertical="center"/>
    </xf>
    <xf numFmtId="2" fontId="11" fillId="8" borderId="85" xfId="0" applyNumberFormat="1" applyFont="1" applyFill="1" applyBorder="1" applyAlignment="1">
      <alignment horizontal="center" vertical="center"/>
    </xf>
    <xf numFmtId="2" fontId="11" fillId="8" borderId="88" xfId="0" applyNumberFormat="1" applyFont="1" applyFill="1" applyBorder="1" applyAlignment="1">
      <alignment horizontal="center" vertical="center"/>
    </xf>
    <xf numFmtId="2" fontId="33" fillId="21" borderId="84" xfId="0" applyNumberFormat="1" applyFont="1" applyFill="1" applyBorder="1" applyAlignment="1">
      <alignment horizontal="center" vertical="center"/>
    </xf>
    <xf numFmtId="2" fontId="33" fillId="21" borderId="85" xfId="0" applyNumberFormat="1" applyFont="1" applyFill="1" applyBorder="1" applyAlignment="1">
      <alignment horizontal="center" vertical="center"/>
    </xf>
    <xf numFmtId="2" fontId="33" fillId="21" borderId="86" xfId="0" applyNumberFormat="1" applyFont="1" applyFill="1" applyBorder="1" applyAlignment="1">
      <alignment horizontal="center" vertical="center"/>
    </xf>
    <xf numFmtId="2" fontId="33" fillId="26" borderId="84" xfId="0" applyNumberFormat="1" applyFont="1" applyFill="1" applyBorder="1" applyAlignment="1">
      <alignment horizontal="center" vertical="center"/>
    </xf>
    <xf numFmtId="2" fontId="33" fillId="26" borderId="85" xfId="0" applyNumberFormat="1" applyFont="1" applyFill="1" applyBorder="1" applyAlignment="1">
      <alignment horizontal="center" vertical="center"/>
    </xf>
    <xf numFmtId="2" fontId="33" fillId="26" borderId="88" xfId="0" applyNumberFormat="1" applyFont="1" applyFill="1" applyBorder="1" applyAlignment="1">
      <alignment horizontal="center" vertical="center"/>
    </xf>
    <xf numFmtId="2" fontId="33" fillId="26" borderId="86" xfId="0" applyNumberFormat="1" applyFont="1" applyFill="1" applyBorder="1" applyAlignment="1">
      <alignment horizontal="center" vertical="center"/>
    </xf>
    <xf numFmtId="2" fontId="33" fillId="25" borderId="84" xfId="0" applyNumberFormat="1" applyFont="1" applyFill="1" applyBorder="1" applyAlignment="1">
      <alignment horizontal="center" vertical="center"/>
    </xf>
    <xf numFmtId="2" fontId="33" fillId="25" borderId="85" xfId="0" applyNumberFormat="1" applyFont="1" applyFill="1" applyBorder="1" applyAlignment="1">
      <alignment horizontal="center" vertical="center"/>
    </xf>
    <xf numFmtId="2" fontId="33" fillId="25" borderId="88" xfId="0" applyNumberFormat="1" applyFont="1" applyFill="1" applyBorder="1" applyAlignment="1">
      <alignment horizontal="center" vertical="center"/>
    </xf>
    <xf numFmtId="2" fontId="33" fillId="25" borderId="86" xfId="0" applyNumberFormat="1" applyFont="1" applyFill="1" applyBorder="1" applyAlignment="1">
      <alignment horizontal="center" vertical="center"/>
    </xf>
    <xf numFmtId="2" fontId="33" fillId="24" borderId="84" xfId="0" applyNumberFormat="1" applyFont="1" applyFill="1" applyBorder="1" applyAlignment="1">
      <alignment horizontal="center" vertical="center"/>
    </xf>
    <xf numFmtId="2" fontId="33" fillId="24" borderId="85" xfId="0" applyNumberFormat="1" applyFont="1" applyFill="1" applyBorder="1" applyAlignment="1">
      <alignment horizontal="center" vertical="center"/>
    </xf>
    <xf numFmtId="2" fontId="33" fillId="24" borderId="88" xfId="0" applyNumberFormat="1" applyFont="1" applyFill="1" applyBorder="1" applyAlignment="1">
      <alignment horizontal="center" vertical="center"/>
    </xf>
    <xf numFmtId="2" fontId="33" fillId="24" borderId="86" xfId="0" applyNumberFormat="1" applyFont="1" applyFill="1" applyBorder="1" applyAlignment="1">
      <alignment horizontal="center" vertical="center"/>
    </xf>
    <xf numFmtId="0" fontId="2" fillId="14" borderId="73" xfId="0" applyFont="1" applyFill="1" applyBorder="1" applyAlignment="1">
      <alignment horizontal="center" vertical="center" wrapText="1"/>
    </xf>
    <xf numFmtId="0" fontId="2" fillId="14" borderId="74" xfId="0" applyFont="1" applyFill="1" applyBorder="1" applyAlignment="1">
      <alignment horizontal="center" vertical="center" wrapText="1"/>
    </xf>
    <xf numFmtId="0" fontId="2" fillId="14" borderId="78" xfId="0" applyFont="1" applyFill="1" applyBorder="1" applyAlignment="1">
      <alignment horizontal="center" vertical="center" wrapText="1"/>
    </xf>
    <xf numFmtId="0" fontId="2" fillId="18" borderId="73" xfId="0" applyFont="1" applyFill="1" applyBorder="1" applyAlignment="1">
      <alignment horizontal="center" vertical="center" wrapText="1"/>
    </xf>
    <xf numFmtId="0" fontId="2" fillId="18" borderId="74" xfId="0" applyFont="1" applyFill="1" applyBorder="1" applyAlignment="1">
      <alignment horizontal="center" vertical="center" wrapText="1"/>
    </xf>
    <xf numFmtId="0" fontId="2" fillId="18" borderId="77" xfId="0" applyFont="1" applyFill="1" applyBorder="1" applyAlignment="1">
      <alignment horizontal="center" vertical="center" wrapText="1"/>
    </xf>
    <xf numFmtId="0" fontId="2" fillId="14" borderId="77" xfId="0" applyFont="1" applyFill="1" applyBorder="1" applyAlignment="1">
      <alignment horizontal="center" vertical="center" wrapText="1"/>
    </xf>
    <xf numFmtId="0" fontId="2" fillId="20" borderId="73" xfId="0" applyFont="1" applyFill="1" applyBorder="1" applyAlignment="1">
      <alignment horizontal="center" vertical="center" wrapText="1"/>
    </xf>
    <xf numFmtId="0" fontId="2" fillId="20" borderId="74" xfId="0" applyFont="1" applyFill="1" applyBorder="1" applyAlignment="1">
      <alignment horizontal="center" vertical="center" wrapText="1"/>
    </xf>
    <xf numFmtId="0" fontId="2" fillId="20" borderId="77" xfId="0" applyFont="1" applyFill="1" applyBorder="1" applyAlignment="1">
      <alignment horizontal="center" vertical="center" wrapText="1"/>
    </xf>
    <xf numFmtId="0" fontId="2" fillId="10" borderId="73" xfId="0" applyFont="1" applyFill="1" applyBorder="1" applyAlignment="1">
      <alignment horizontal="center" vertical="center" wrapText="1"/>
    </xf>
    <xf numFmtId="0" fontId="2" fillId="10" borderId="74" xfId="0" applyFont="1" applyFill="1" applyBorder="1" applyAlignment="1">
      <alignment horizontal="center" vertical="center" wrapText="1"/>
    </xf>
    <xf numFmtId="0" fontId="2" fillId="10" borderId="77" xfId="0" applyFont="1" applyFill="1" applyBorder="1" applyAlignment="1">
      <alignment horizontal="center" vertical="center" wrapText="1"/>
    </xf>
    <xf numFmtId="0" fontId="2" fillId="10" borderId="78" xfId="0" applyFont="1" applyFill="1" applyBorder="1" applyAlignment="1">
      <alignment horizontal="center" vertical="center" wrapText="1"/>
    </xf>
    <xf numFmtId="0" fontId="4" fillId="11" borderId="92" xfId="0" applyFont="1" applyFill="1" applyBorder="1" applyAlignment="1">
      <alignment horizontal="center" wrapText="1"/>
    </xf>
    <xf numFmtId="0" fontId="4" fillId="11" borderId="13" xfId="0" applyFont="1" applyFill="1" applyBorder="1" applyAlignment="1">
      <alignment horizontal="center" wrapText="1"/>
    </xf>
    <xf numFmtId="0" fontId="4" fillId="11" borderId="93" xfId="0" applyFont="1" applyFill="1" applyBorder="1" applyAlignment="1">
      <alignment horizontal="center" wrapText="1"/>
    </xf>
    <xf numFmtId="0" fontId="4" fillId="13" borderId="92" xfId="0" applyFont="1" applyFill="1" applyBorder="1" applyAlignment="1">
      <alignment horizontal="center" wrapText="1"/>
    </xf>
    <xf numFmtId="0" fontId="4" fillId="13" borderId="13" xfId="0" applyFont="1" applyFill="1" applyBorder="1" applyAlignment="1">
      <alignment horizontal="center" wrapText="1"/>
    </xf>
    <xf numFmtId="0" fontId="4" fillId="13" borderId="93" xfId="0" applyFont="1" applyFill="1" applyBorder="1" applyAlignment="1">
      <alignment horizontal="center" wrapText="1"/>
    </xf>
    <xf numFmtId="0" fontId="4" fillId="9" borderId="13" xfId="0" applyFont="1" applyFill="1" applyBorder="1" applyAlignment="1">
      <alignment horizontal="center" wrapText="1"/>
    </xf>
    <xf numFmtId="0" fontId="30" fillId="19" borderId="13" xfId="0" applyFont="1" applyFill="1" applyBorder="1" applyAlignment="1">
      <alignment horizontal="center" wrapText="1"/>
    </xf>
    <xf numFmtId="0" fontId="4" fillId="9" borderId="92" xfId="0" applyFont="1" applyFill="1" applyBorder="1" applyAlignment="1">
      <alignment horizontal="center" wrapText="1"/>
    </xf>
    <xf numFmtId="0" fontId="4" fillId="9" borderId="93" xfId="0" applyFont="1" applyFill="1" applyBorder="1" applyAlignment="1">
      <alignment horizontal="center" wrapText="1"/>
    </xf>
    <xf numFmtId="0" fontId="30" fillId="19" borderId="92" xfId="0" applyFont="1" applyFill="1" applyBorder="1" applyAlignment="1">
      <alignment horizontal="center" wrapText="1"/>
    </xf>
    <xf numFmtId="0" fontId="30" fillId="19" borderId="93" xfId="0" applyFont="1" applyFill="1" applyBorder="1" applyAlignment="1">
      <alignment horizontal="center" wrapText="1"/>
    </xf>
    <xf numFmtId="0" fontId="4" fillId="7" borderId="91" xfId="0" applyFont="1" applyFill="1" applyBorder="1" applyAlignment="1">
      <alignment horizontal="center" wrapText="1"/>
    </xf>
    <xf numFmtId="0" fontId="4" fillId="7" borderId="90" xfId="0" applyFont="1" applyFill="1" applyBorder="1" applyAlignment="1">
      <alignment horizontal="center" wrapText="1"/>
    </xf>
    <xf numFmtId="0" fontId="4" fillId="7" borderId="89" xfId="0" applyFont="1" applyFill="1" applyBorder="1" applyAlignment="1">
      <alignment horizontal="center" wrapText="1"/>
    </xf>
    <xf numFmtId="0" fontId="2" fillId="8" borderId="73" xfId="0" applyNumberFormat="1" applyFont="1" applyFill="1" applyBorder="1" applyAlignment="1">
      <alignment horizontal="center" vertical="center" wrapText="1"/>
    </xf>
    <xf numFmtId="0" fontId="2" fillId="8" borderId="74" xfId="0" applyNumberFormat="1" applyFont="1" applyFill="1" applyBorder="1" applyAlignment="1">
      <alignment horizontal="center" vertical="center" wrapText="1"/>
    </xf>
    <xf numFmtId="0" fontId="2" fillId="8" borderId="77" xfId="0" applyNumberFormat="1" applyFont="1" applyFill="1" applyBorder="1" applyAlignment="1">
      <alignment horizontal="center" vertical="center" wrapText="1"/>
    </xf>
    <xf numFmtId="0" fontId="2" fillId="8" borderId="75" xfId="0" applyNumberFormat="1" applyFont="1" applyFill="1" applyBorder="1" applyAlignment="1">
      <alignment horizontal="center" vertical="center" wrapText="1"/>
    </xf>
    <xf numFmtId="0" fontId="2" fillId="8" borderId="76" xfId="0" applyNumberFormat="1" applyFont="1" applyFill="1" applyBorder="1" applyAlignment="1">
      <alignment horizontal="center" vertical="center" wrapText="1"/>
    </xf>
    <xf numFmtId="0" fontId="15" fillId="17" borderId="19" xfId="1" applyFont="1" applyFill="1" applyBorder="1" applyAlignment="1">
      <alignment horizontal="center"/>
    </xf>
    <xf numFmtId="0" fontId="15" fillId="0" borderId="0" xfId="1" applyFont="1" applyAlignment="1" applyProtection="1">
      <alignment horizontal="left"/>
      <protection locked="0"/>
    </xf>
    <xf numFmtId="14" fontId="15" fillId="0" borderId="0" xfId="1" applyNumberFormat="1" applyFont="1" applyAlignment="1" applyProtection="1">
      <alignment horizontal="left"/>
      <protection locked="0"/>
    </xf>
    <xf numFmtId="0" fontId="14" fillId="17" borderId="0" xfId="1" applyFont="1" applyFill="1" applyBorder="1" applyAlignment="1">
      <alignment horizontal="center"/>
    </xf>
    <xf numFmtId="0" fontId="15" fillId="17" borderId="0" xfId="1" applyFont="1" applyFill="1" applyBorder="1" applyAlignment="1">
      <alignment horizontal="center"/>
    </xf>
    <xf numFmtId="0" fontId="0" fillId="3" borderId="0" xfId="0" applyNumberFormat="1" applyFont="1" applyFill="1" applyBorder="1" applyAlignment="1">
      <alignment horizontal="center" vertical="center"/>
    </xf>
    <xf numFmtId="0" fontId="10" fillId="0" borderId="21" xfId="0" applyNumberFormat="1" applyFont="1" applyFill="1" applyBorder="1" applyAlignment="1">
      <alignment horizontal="center"/>
    </xf>
    <xf numFmtId="0" fontId="0" fillId="0" borderId="0" xfId="0" applyNumberFormat="1" applyFont="1" applyFill="1" applyBorder="1" applyAlignment="1">
      <alignment horizontal="center" vertical="center"/>
    </xf>
  </cellXfs>
  <cellStyles count="6">
    <cellStyle name="Followed Hyperlink" xfId="4" builtinId="9" hidden="1"/>
    <cellStyle name="Hyperlink 2" xfId="3"/>
    <cellStyle name="Normal" xfId="0" builtinId="0"/>
    <cellStyle name="Normal 2" xfId="1"/>
    <cellStyle name="Normal 2 2" xfId="5"/>
    <cellStyle name="Percent 2" xfId="2"/>
  </cellStyles>
  <dxfs count="7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gradientFill degree="180">
          <stop position="0">
            <color theme="0"/>
          </stop>
          <stop position="1">
            <color theme="4"/>
          </stop>
        </gradientFill>
      </fill>
    </dxf>
    <dxf>
      <fill>
        <gradientFill degree="180">
          <stop position="0">
            <color theme="0"/>
          </stop>
          <stop position="1">
            <color theme="4"/>
          </stop>
        </gradient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10000"/>
      <rgbColor rgb="00FFFFFF"/>
      <rgbColor rgb="0099CCFF"/>
      <rgbColor rgb="00B3D580"/>
      <rgbColor rgb="00339966"/>
      <rgbColor rgb="00FF0000"/>
      <rgbColor rgb="00003366"/>
      <rgbColor rgb="00FFCC99"/>
      <rgbColor rgb="00FF6600"/>
      <rgbColor rgb="00008000"/>
      <rgbColor rgb="00DDDDDD"/>
      <rgbColor rgb="00E69999"/>
      <rgbColor rgb="00CCFFC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CC"/>
      <rgbColor rgb="00969696"/>
      <rgbColor rgb="00003366"/>
      <rgbColor rgb="00339966"/>
      <rgbColor rgb="00003300"/>
      <rgbColor rgb="00333300"/>
      <rgbColor rgb="00993300"/>
      <rgbColor rgb="00993366"/>
      <rgbColor rgb="00333399"/>
      <rgbColor rgb="00333333"/>
    </indexedColors>
    <mruColors>
      <color rgb="FFD4D513"/>
      <color rgb="FFD5D514"/>
      <color rgb="FFB75727"/>
      <color rgb="FF37793E"/>
      <color rgb="FFBDBF17"/>
      <color rgb="FFD59E7B"/>
      <color rgb="FF8BA988"/>
      <color rgb="FFB07667"/>
      <color rgb="FF791F17"/>
      <color rgb="FF3290C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6.xml.rels><?xml version="1.0" encoding="UTF-8" standalone="yes"?>
<Relationships xmlns="http://schemas.openxmlformats.org/package/2006/relationships"><Relationship Id="rId1" Type="http://schemas.openxmlformats.org/officeDocument/2006/relationships/image" Target="../media/image2.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SAMM Current Score</a:t>
            </a:r>
          </a:p>
        </c:rich>
      </c:tx>
      <c:layout>
        <c:manualLayout>
          <c:xMode val="edge"/>
          <c:yMode val="edge"/>
          <c:x val="0.68834891732283499"/>
          <c:y val="0.91054313099041495"/>
        </c:manualLayout>
      </c:layout>
      <c:overlay val="1"/>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fi-FI"/>
        </a:p>
      </c:txPr>
    </c:title>
    <c:autoTitleDeleted val="0"/>
    <c:plotArea>
      <c:layout/>
      <c:radarChart>
        <c:radarStyle val="filled"/>
        <c:varyColors val="0"/>
        <c:ser>
          <c:idx val="4"/>
          <c:order val="0"/>
          <c:tx>
            <c:strRef>
              <c:f>Scorecard!$V$13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Scorecard!$V$14:$V$28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D1C-474B-B425-376F500D9178}"/>
            </c:ext>
          </c:extLst>
        </c:ser>
        <c:ser>
          <c:idx val="5"/>
          <c:order val="1"/>
          <c:tx>
            <c:strRef>
              <c:f>Scorecard!$W$13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Scorecard!$W$14:$W$28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6D1C-474B-B425-376F500D9178}"/>
            </c:ext>
          </c:extLst>
        </c:ser>
        <c:ser>
          <c:idx val="0"/>
          <c:order val="2"/>
          <c:tx>
            <c:strRef>
              <c:f>Scorecard!$X$13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Scorecard!$X$14:$X$28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752F-E14A-A498-6E3B6CCB4C3E}"/>
            </c:ext>
          </c:extLst>
        </c:ser>
        <c:ser>
          <c:idx val="6"/>
          <c:order val="3"/>
          <c:tx>
            <c:strRef>
              <c:f>Scorecard!$Y$13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Scorecard!$Y$14:$Y$28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6D1C-474B-B425-376F500D9178}"/>
            </c:ext>
          </c:extLst>
        </c:ser>
        <c:ser>
          <c:idx val="7"/>
          <c:order val="4"/>
          <c:tx>
            <c:strRef>
              <c:f>Scorecard!$Z$13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Scorecard!$U$14:$U$28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Scorecard!$Z$14:$Z$28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6D1C-474B-B425-376F500D9178}"/>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i-FI"/>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Chart'!$B$15:$J$15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0F6-46BF-A6D0-6EDA868CD3FB}"/>
            </c:ext>
          </c:extLst>
        </c:ser>
        <c:dLbls>
          <c:showLegendKey val="0"/>
          <c:showVal val="0"/>
          <c:showCatName val="0"/>
          <c:showSerName val="0"/>
          <c:showPercent val="0"/>
          <c:showBubbleSize val="0"/>
        </c:dLbls>
        <c:axId val="-1734317040"/>
        <c:axId val="-1757680912"/>
      </c:areaChart>
      <c:catAx>
        <c:axId val="-173431704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57680912"/>
        <c:crosses val="autoZero"/>
        <c:auto val="1"/>
        <c:lblAlgn val="ctr"/>
        <c:lblOffset val="100"/>
        <c:tickLblSkip val="9"/>
        <c:tickMarkSkip val="9"/>
        <c:noMultiLvlLbl val="0"/>
      </c:catAx>
      <c:valAx>
        <c:axId val="-17576809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1704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8227848101266"/>
          <c:w val="0.92047529424983898"/>
          <c:h val="0.645569620253165"/>
        </c:manualLayout>
      </c:layout>
      <c:areaChart>
        <c:grouping val="standard"/>
        <c:varyColors val="0"/>
        <c:ser>
          <c:idx val="0"/>
          <c:order val="0"/>
          <c:spPr>
            <a:solidFill>
              <a:srgbClr val="B75727"/>
            </a:solidFill>
            <a:ln w="25400">
              <a:noFill/>
            </a:ln>
          </c:spPr>
          <c:val>
            <c:numRef>
              <c:f>'Roadmap Chart'!$B$16:$J$16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EBC-4D66-A4F6-E9E8112D96DC}"/>
            </c:ext>
          </c:extLst>
        </c:ser>
        <c:dLbls>
          <c:showLegendKey val="0"/>
          <c:showVal val="0"/>
          <c:showCatName val="0"/>
          <c:showSerName val="0"/>
          <c:showPercent val="0"/>
          <c:showBubbleSize val="0"/>
        </c:dLbls>
        <c:axId val="-1708566064"/>
        <c:axId val="-1757587024"/>
      </c:areaChart>
      <c:catAx>
        <c:axId val="-1708566064"/>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57587024"/>
        <c:crosses val="autoZero"/>
        <c:auto val="1"/>
        <c:lblAlgn val="ctr"/>
        <c:lblOffset val="100"/>
        <c:tickLblSkip val="9"/>
        <c:tickMarkSkip val="9"/>
        <c:noMultiLvlLbl val="0"/>
      </c:catAx>
      <c:valAx>
        <c:axId val="-1757587024"/>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08566064"/>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B75727"/>
            </a:solidFill>
            <a:ln w="25400">
              <a:noFill/>
            </a:ln>
          </c:spPr>
          <c:val>
            <c:numRef>
              <c:f>'Roadmap Chart'!$B$17:$J$17</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1CAD-4BBC-AB04-539BAD828096}"/>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625047683861301"/>
          <c:w val="0.92047529424983898"/>
          <c:h val="0.65000198364863204"/>
        </c:manualLayout>
      </c:layout>
      <c:areaChart>
        <c:grouping val="standard"/>
        <c:varyColors val="0"/>
        <c:ser>
          <c:idx val="0"/>
          <c:order val="0"/>
          <c:spPr>
            <a:solidFill>
              <a:srgbClr val="37793E"/>
            </a:solidFill>
            <a:ln w="25400">
              <a:noFill/>
            </a:ln>
          </c:spPr>
          <c:val>
            <c:numRef>
              <c:f>'Roadmap Chart'!$B$21:$J$21</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66-4434-9D8C-312C28E6E1F1}"/>
            </c:ext>
          </c:extLst>
        </c:ser>
        <c:dLbls>
          <c:showLegendKey val="0"/>
          <c:showVal val="0"/>
          <c:showCatName val="0"/>
          <c:showSerName val="0"/>
          <c:showPercent val="0"/>
          <c:showBubbleSize val="0"/>
        </c:dLbls>
        <c:axId val="-1734308736"/>
        <c:axId val="-1734306416"/>
      </c:areaChart>
      <c:catAx>
        <c:axId val="-17343087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34306416"/>
        <c:crosses val="autoZero"/>
        <c:auto val="1"/>
        <c:lblAlgn val="ctr"/>
        <c:lblOffset val="100"/>
        <c:tickLblSkip val="9"/>
        <c:tickMarkSkip val="9"/>
        <c:noMultiLvlLbl val="0"/>
      </c:catAx>
      <c:valAx>
        <c:axId val="-173430641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087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527950310558999"/>
          <c:w val="0.92060886742575798"/>
          <c:h val="0.65217391304347905"/>
        </c:manualLayout>
      </c:layout>
      <c:areaChart>
        <c:grouping val="standard"/>
        <c:varyColors val="0"/>
        <c:ser>
          <c:idx val="0"/>
          <c:order val="0"/>
          <c:spPr>
            <a:solidFill>
              <a:srgbClr val="37793E"/>
            </a:solidFill>
            <a:ln w="25400">
              <a:noFill/>
            </a:ln>
          </c:spPr>
          <c:val>
            <c:numRef>
              <c:f>'Roadmap Chart'!$B$22:$J$22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7BA-4A3D-8CF8-482269D47B74}"/>
            </c:ext>
          </c:extLst>
        </c:ser>
        <c:dLbls>
          <c:showLegendKey val="0"/>
          <c:showVal val="0"/>
          <c:showCatName val="0"/>
          <c:showSerName val="0"/>
          <c:showPercent val="0"/>
          <c:showBubbleSize val="0"/>
        </c:dLbls>
        <c:axId val="-1730467536"/>
        <c:axId val="-1757796352"/>
      </c:areaChart>
      <c:catAx>
        <c:axId val="-173046753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57796352"/>
        <c:crosses val="autoZero"/>
        <c:auto val="1"/>
        <c:lblAlgn val="ctr"/>
        <c:lblOffset val="100"/>
        <c:tickLblSkip val="9"/>
        <c:tickMarkSkip val="9"/>
        <c:noMultiLvlLbl val="0"/>
      </c:catAx>
      <c:valAx>
        <c:axId val="-175779635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046753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542372881355902E-2"/>
          <c:y val="0.15527950310558999"/>
          <c:w val="0.92033898305084705"/>
          <c:h val="0.65217391304347905"/>
        </c:manualLayout>
      </c:layout>
      <c:areaChart>
        <c:grouping val="standard"/>
        <c:varyColors val="0"/>
        <c:ser>
          <c:idx val="0"/>
          <c:order val="0"/>
          <c:spPr>
            <a:solidFill>
              <a:srgbClr val="37793E"/>
            </a:solidFill>
            <a:ln w="25400">
              <a:noFill/>
            </a:ln>
          </c:spPr>
          <c:val>
            <c:numRef>
              <c:f>'Roadmap Chart'!$B$23:$J$23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9EA7-44E3-A7C9-332FF630466A}"/>
            </c:ext>
          </c:extLst>
        </c:ser>
        <c:dLbls>
          <c:showLegendKey val="0"/>
          <c:showVal val="0"/>
          <c:showCatName val="0"/>
          <c:showSerName val="0"/>
          <c:showPercent val="0"/>
          <c:showBubbleSize val="0"/>
        </c:dLbls>
        <c:axId val="-1757435280"/>
        <c:axId val="-1757432960"/>
      </c:areaChart>
      <c:catAx>
        <c:axId val="-175743528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57432960"/>
        <c:crosses val="autoZero"/>
        <c:auto val="1"/>
        <c:lblAlgn val="ctr"/>
        <c:lblOffset val="100"/>
        <c:tickLblSkip val="9"/>
        <c:tickMarkSkip val="9"/>
        <c:noMultiLvlLbl val="0"/>
      </c:catAx>
      <c:valAx>
        <c:axId val="-175743296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43528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5432191793208599"/>
          <c:w val="0.92047529424983898"/>
          <c:h val="0.654324932032046"/>
        </c:manualLayout>
      </c:layout>
      <c:areaChart>
        <c:grouping val="standard"/>
        <c:varyColors val="0"/>
        <c:ser>
          <c:idx val="0"/>
          <c:order val="0"/>
          <c:spPr>
            <a:solidFill>
              <a:srgbClr val="791F17"/>
            </a:solidFill>
            <a:ln w="25400">
              <a:noFill/>
            </a:ln>
          </c:spPr>
          <c:val>
            <c:numRef>
              <c:f>'Roadmap Chart'!$B$24:$J$24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AB2F-4148-B1E2-C3E071367C71}"/>
            </c:ext>
          </c:extLst>
        </c:ser>
        <c:dLbls>
          <c:showLegendKey val="0"/>
          <c:showVal val="0"/>
          <c:showCatName val="0"/>
          <c:showSerName val="0"/>
          <c:showPercent val="0"/>
          <c:showBubbleSize val="0"/>
        </c:dLbls>
        <c:axId val="-1757543872"/>
        <c:axId val="-1733835056"/>
      </c:areaChart>
      <c:catAx>
        <c:axId val="-175754387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33835056"/>
        <c:crosses val="autoZero"/>
        <c:auto val="1"/>
        <c:lblAlgn val="ctr"/>
        <c:lblOffset val="100"/>
        <c:tickLblSkip val="9"/>
        <c:tickMarkSkip val="9"/>
        <c:noMultiLvlLbl val="0"/>
      </c:catAx>
      <c:valAx>
        <c:axId val="-173383505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54387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Chart'!$B$25:$J$25</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070-44D2-89E0-142AC72699B2}"/>
            </c:ext>
          </c:extLst>
        </c:ser>
        <c:dLbls>
          <c:showLegendKey val="0"/>
          <c:showVal val="0"/>
          <c:showCatName val="0"/>
          <c:showSerName val="0"/>
          <c:showPercent val="0"/>
          <c:showBubbleSize val="0"/>
        </c:dLbls>
        <c:axId val="-1708151760"/>
        <c:axId val="-1708149440"/>
      </c:areaChart>
      <c:catAx>
        <c:axId val="-1708151760"/>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08149440"/>
        <c:crosses val="autoZero"/>
        <c:auto val="1"/>
        <c:lblAlgn val="ctr"/>
        <c:lblOffset val="100"/>
        <c:tickLblSkip val="9"/>
        <c:tickMarkSkip val="9"/>
        <c:noMultiLvlLbl val="0"/>
      </c:catAx>
      <c:valAx>
        <c:axId val="-1708149440"/>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08151760"/>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337469257660499"/>
          <c:w val="0.92060886742575798"/>
          <c:h val="0.65644368422786903"/>
        </c:manualLayout>
      </c:layout>
      <c:areaChart>
        <c:grouping val="standard"/>
        <c:varyColors val="0"/>
        <c:ser>
          <c:idx val="0"/>
          <c:order val="0"/>
          <c:spPr>
            <a:solidFill>
              <a:srgbClr val="791F17"/>
            </a:solidFill>
            <a:ln w="25400">
              <a:noFill/>
            </a:ln>
          </c:spPr>
          <c:val>
            <c:numRef>
              <c:f>'Roadmap Chart'!$B$26:$J$26</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38E-4145-9B06-670AEB96F08E}"/>
            </c:ext>
          </c:extLst>
        </c:ser>
        <c:dLbls>
          <c:showLegendKey val="0"/>
          <c:showVal val="0"/>
          <c:showCatName val="0"/>
          <c:showSerName val="0"/>
          <c:showPercent val="0"/>
          <c:showBubbleSize val="0"/>
        </c:dLbls>
        <c:axId val="-1757456832"/>
        <c:axId val="-1757454512"/>
      </c:areaChart>
      <c:catAx>
        <c:axId val="-175745683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75" b="0" i="0" u="none" strike="noStrike" baseline="0">
                <a:solidFill>
                  <a:srgbClr val="FFFFFF"/>
                </a:solidFill>
                <a:latin typeface="Arial"/>
                <a:ea typeface="Arial"/>
                <a:cs typeface="Arial"/>
              </a:defRPr>
            </a:pPr>
            <a:endParaRPr lang="fi-FI"/>
          </a:p>
        </c:txPr>
        <c:crossAx val="-1757454512"/>
        <c:crosses val="autoZero"/>
        <c:auto val="1"/>
        <c:lblAlgn val="ctr"/>
        <c:lblOffset val="100"/>
        <c:tickLblSkip val="9"/>
        <c:tickMarkSkip val="9"/>
        <c:noMultiLvlLbl val="0"/>
      </c:catAx>
      <c:valAx>
        <c:axId val="-1757454512"/>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45683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7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filled"/>
        <c:varyColors val="0"/>
        <c:ser>
          <c:idx val="0"/>
          <c:order val="0"/>
          <c:tx>
            <c:strRef>
              <c:f>'Roadmap Chart'!$AA$11</c:f>
              <c:strCache>
                <c:ptCount val="1"/>
                <c:pt idx="0">
                  <c:v>Phase 4</c:v>
                </c:pt>
              </c:strCache>
            </c:strRef>
          </c:tx>
          <c:spPr>
            <a:solidFill>
              <a:schemeClr val="accent3"/>
            </a:solidFill>
            <a:ln>
              <a:solidFill>
                <a:schemeClr val="accent3"/>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Chart'!$AA$12:$AA$26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47DE-45B4-A333-13B34FC5CC07}"/>
            </c:ext>
          </c:extLst>
        </c:ser>
        <c:ser>
          <c:idx val="1"/>
          <c:order val="1"/>
          <c:tx>
            <c:strRef>
              <c:f>'Roadmap Chart'!$AB$11</c:f>
              <c:strCache>
                <c:ptCount val="1"/>
                <c:pt idx="0">
                  <c:v>Phase 3</c:v>
                </c:pt>
              </c:strCache>
            </c:strRef>
          </c:tx>
          <c:spPr>
            <a:solidFill>
              <a:srgbClr val="00B0F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Chart'!$AB$12:$AB$26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1-47DE-45B4-A333-13B34FC5CC07}"/>
            </c:ext>
          </c:extLst>
        </c:ser>
        <c:ser>
          <c:idx val="2"/>
          <c:order val="2"/>
          <c:tx>
            <c:strRef>
              <c:f>'Roadmap Chart'!$AC$11</c:f>
              <c:strCache>
                <c:ptCount val="1"/>
                <c:pt idx="0">
                  <c:v>Phase 2</c:v>
                </c:pt>
              </c:strCache>
            </c:strRef>
          </c:tx>
          <c:spPr>
            <a:solidFill>
              <a:srgbClr val="FFC000"/>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Chart'!$AC$12:$AC$26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2-47DE-45B4-A333-13B34FC5CC07}"/>
            </c:ext>
          </c:extLst>
        </c:ser>
        <c:ser>
          <c:idx val="3"/>
          <c:order val="3"/>
          <c:tx>
            <c:strRef>
              <c:f>'Roadmap Chart'!$AD$11</c:f>
              <c:strCache>
                <c:ptCount val="1"/>
                <c:pt idx="0">
                  <c:v>Phase 1</c:v>
                </c:pt>
              </c:strCache>
            </c:strRef>
          </c:tx>
          <c:spPr>
            <a:solidFill>
              <a:schemeClr val="accent2"/>
            </a:solidFill>
            <a:ln>
              <a:solidFill>
                <a:schemeClr val="accent2"/>
              </a:solidFill>
            </a:ln>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Chart'!$AD$12:$AD$26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3-47DE-45B4-A333-13B34FC5CC07}"/>
            </c:ext>
          </c:extLst>
        </c:ser>
        <c:ser>
          <c:idx val="4"/>
          <c:order val="4"/>
          <c:tx>
            <c:strRef>
              <c:f>'Roadmap Chart'!$AE$11</c:f>
              <c:strCache>
                <c:ptCount val="1"/>
                <c:pt idx="0">
                  <c:v>Start</c:v>
                </c:pt>
              </c:strCache>
            </c:strRef>
          </c:tx>
          <c:spPr>
            <a:solidFill>
              <a:schemeClr val="bg2">
                <a:lumMod val="90000"/>
              </a:schemeClr>
            </a:solidFill>
          </c:spPr>
          <c:cat>
            <c:strRef>
              <c:f>'Roadmap Chart'!$Z$12:$Z$26</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Enablement</c:v>
                </c:pt>
              </c:strCache>
            </c:strRef>
          </c:cat>
          <c:val>
            <c:numRef>
              <c:f>'Roadmap Chart'!$AE$12:$AE$26</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00-6BE1-4C0A-80AB-A8DC500F7FEA}"/>
            </c:ext>
          </c:extLst>
        </c:ser>
        <c:dLbls>
          <c:showLegendKey val="0"/>
          <c:showVal val="0"/>
          <c:showCatName val="0"/>
          <c:showSerName val="0"/>
          <c:showPercent val="0"/>
          <c:showBubbleSize val="0"/>
        </c:dLbls>
        <c:axId val="-1708641200"/>
        <c:axId val="-1708638880"/>
      </c:radarChart>
      <c:catAx>
        <c:axId val="-1708641200"/>
        <c:scaling>
          <c:orientation val="minMax"/>
        </c:scaling>
        <c:delete val="0"/>
        <c:axPos val="b"/>
        <c:majorGridlines/>
        <c:numFmt formatCode="General" sourceLinked="0"/>
        <c:majorTickMark val="out"/>
        <c:minorTickMark val="none"/>
        <c:tickLblPos val="nextTo"/>
        <c:txPr>
          <a:bodyPr/>
          <a:lstStyle/>
          <a:p>
            <a:pPr>
              <a:defRPr b="1"/>
            </a:pPr>
            <a:endParaRPr lang="fi-FI"/>
          </a:p>
        </c:txPr>
        <c:crossAx val="-1708638880"/>
        <c:crosses val="autoZero"/>
        <c:auto val="1"/>
        <c:lblAlgn val="ctr"/>
        <c:lblOffset val="100"/>
        <c:noMultiLvlLbl val="0"/>
      </c:catAx>
      <c:valAx>
        <c:axId val="-1708638880"/>
        <c:scaling>
          <c:orientation val="minMax"/>
        </c:scaling>
        <c:delete val="0"/>
        <c:axPos val="l"/>
        <c:majorGridlines/>
        <c:numFmt formatCode="0.00" sourceLinked="1"/>
        <c:majorTickMark val="cross"/>
        <c:minorTickMark val="none"/>
        <c:tickLblPos val="nextTo"/>
        <c:txPr>
          <a:bodyPr/>
          <a:lstStyle/>
          <a:p>
            <a:pPr>
              <a:defRPr sz="1100" b="0">
                <a:latin typeface="+mj-lt"/>
              </a:defRPr>
            </a:pPr>
            <a:endParaRPr lang="fi-FI"/>
          </a:p>
        </c:txPr>
        <c:crossAx val="-1708641200"/>
        <c:crosses val="autoZero"/>
        <c:crossBetween val="between"/>
        <c:majorUnit val="1"/>
      </c:valAx>
    </c:plotArea>
    <c:legend>
      <c:legendPos val="r"/>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Scorecard!$V$53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Scorecard!$V$54:$V$68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4-92BD-004F-9A33-A59F8BD6CF3C}"/>
            </c:ext>
          </c:extLst>
        </c:ser>
        <c:ser>
          <c:idx val="34"/>
          <c:order val="1"/>
          <c:tx>
            <c:strRef>
              <c:f>Scorecard!$W$53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Scorecard!$W$54:$W$68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5-92BD-004F-9A33-A59F8BD6CF3C}"/>
            </c:ext>
          </c:extLst>
        </c:ser>
        <c:ser>
          <c:idx val="35"/>
          <c:order val="2"/>
          <c:tx>
            <c:strRef>
              <c:f>Scorecard!$X$53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Scorecard!$X$54:$X$68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6-92BD-004F-9A33-A59F8BD6CF3C}"/>
            </c:ext>
          </c:extLst>
        </c:ser>
        <c:ser>
          <c:idx val="36"/>
          <c:order val="3"/>
          <c:tx>
            <c:strRef>
              <c:f>Scorecard!$Y$53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Scorecard!$Y$54:$Y$68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7-92BD-004F-9A33-A59F8BD6CF3C}"/>
            </c:ext>
          </c:extLst>
        </c:ser>
        <c:ser>
          <c:idx val="37"/>
          <c:order val="4"/>
          <c:tx>
            <c:strRef>
              <c:f>Scorecard!$Z$53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Scorecard!$U$54:$U$68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Scorecard!$Z$54:$Z$68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8-92BD-004F-9A33-A59F8BD6CF3C}"/>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Chart'!$B$18:$J$18</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E901-5149-8859-3366AD68058F}"/>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Chart'!$B$19:$J$19</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F129-1149-98F4-AD91611A04F0}"/>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723367011639"/>
          <c:w val="0.92060886742575798"/>
          <c:h val="0.64780272087952595"/>
        </c:manualLayout>
      </c:layout>
      <c:areaChart>
        <c:grouping val="standard"/>
        <c:varyColors val="0"/>
        <c:ser>
          <c:idx val="0"/>
          <c:order val="0"/>
          <c:spPr>
            <a:solidFill>
              <a:srgbClr val="D4D513"/>
            </a:solidFill>
            <a:ln w="25400">
              <a:noFill/>
            </a:ln>
          </c:spPr>
          <c:val>
            <c:numRef>
              <c:f>'Roadmap Chart'!$B$20:$J$20</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4D04-F744-9C91-540A1BF8AE82}"/>
            </c:ext>
          </c:extLst>
        </c:ser>
        <c:dLbls>
          <c:showLegendKey val="0"/>
          <c:showVal val="0"/>
          <c:showCatName val="0"/>
          <c:showSerName val="0"/>
          <c:showPercent val="0"/>
          <c:showBubbleSize val="0"/>
        </c:dLbls>
        <c:axId val="-1734342896"/>
        <c:axId val="-1734340576"/>
      </c:areaChart>
      <c:catAx>
        <c:axId val="-173434289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340576"/>
        <c:crosses val="autoZero"/>
        <c:auto val="1"/>
        <c:lblAlgn val="ctr"/>
        <c:lblOffset val="100"/>
        <c:tickLblSkip val="9"/>
        <c:tickMarkSkip val="9"/>
        <c:noMultiLvlLbl val="0"/>
      </c:catAx>
      <c:valAx>
        <c:axId val="-1734340576"/>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34289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4"/>
          <c:order val="0"/>
          <c:tx>
            <c:strRef>
              <c:f>Scorecard!$V$33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Scorecard!$V$34:$V$48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6-8723-3D41-BC05-A3F8A7C269E2}"/>
            </c:ext>
          </c:extLst>
        </c:ser>
        <c:ser>
          <c:idx val="5"/>
          <c:order val="1"/>
          <c:tx>
            <c:strRef>
              <c:f>Scorecard!$W$33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Scorecard!$W$34:$W$48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8-8723-3D41-BC05-A3F8A7C269E2}"/>
            </c:ext>
          </c:extLst>
        </c:ser>
        <c:ser>
          <c:idx val="0"/>
          <c:order val="2"/>
          <c:tx>
            <c:strRef>
              <c:f>Scorecard!$X$33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Scorecard!$X$34:$X$48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A-8723-3D41-BC05-A3F8A7C269E2}"/>
            </c:ext>
          </c:extLst>
        </c:ser>
        <c:ser>
          <c:idx val="6"/>
          <c:order val="3"/>
          <c:tx>
            <c:strRef>
              <c:f>Scorecard!$Y$33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Scorecard!$Y$34:$Y$48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C-8723-3D41-BC05-A3F8A7C269E2}"/>
            </c:ext>
          </c:extLst>
        </c:ser>
        <c:ser>
          <c:idx val="7"/>
          <c:order val="4"/>
          <c:tx>
            <c:strRef>
              <c:f>Scorecard!$Z$33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Scorecard!$U$34:$U$48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Scorecard!$Z$34:$Z$48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4E-8723-3D41-BC05-A3F8A7C269E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IV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Scorecard!$V$93</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Scorecard!$V$94:$V$108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D-CDF9-E44B-A18C-459D8F1A3863}"/>
            </c:ext>
          </c:extLst>
        </c:ser>
        <c:ser>
          <c:idx val="34"/>
          <c:order val="1"/>
          <c:tx>
            <c:strRef>
              <c:f>Scorecard!$W$93</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Scorecard!$W$94:$W$108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AF-CDF9-E44B-A18C-459D8F1A3863}"/>
            </c:ext>
          </c:extLst>
        </c:ser>
        <c:ser>
          <c:idx val="35"/>
          <c:order val="2"/>
          <c:tx>
            <c:strRef>
              <c:f>Scorecard!$X$93</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Scorecard!$X$94:$X$108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1-CDF9-E44B-A18C-459D8F1A3863}"/>
            </c:ext>
          </c:extLst>
        </c:ser>
        <c:ser>
          <c:idx val="36"/>
          <c:order val="3"/>
          <c:tx>
            <c:strRef>
              <c:f>Scorecard!$Y$93</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Scorecard!$Y$94:$Y$108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3-CDF9-E44B-A18C-459D8F1A3863}"/>
            </c:ext>
          </c:extLst>
        </c:ser>
        <c:ser>
          <c:idx val="37"/>
          <c:order val="4"/>
          <c:tx>
            <c:strRef>
              <c:f>Scorecard!$Z$93</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Scorecard!$U$94:$U$108</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Scorecard!$Z$94:$Z$108</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0B5-CDF9-E44B-A18C-459D8F1A3863}"/>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Phase III Score</a:t>
            </a:r>
          </a:p>
        </c:rich>
      </c:tx>
      <c:layout>
        <c:manualLayout>
          <c:xMode val="edge"/>
          <c:yMode val="edge"/>
          <c:x val="0.76723734622399797"/>
          <c:y val="0.91054322690624079"/>
        </c:manualLayout>
      </c:layout>
      <c:overlay val="1"/>
      <c:spPr>
        <a:noFill/>
        <a:ln>
          <a:noFill/>
        </a:ln>
        <a:effectLst/>
      </c:spPr>
    </c:title>
    <c:autoTitleDeleted val="0"/>
    <c:plotArea>
      <c:layout/>
      <c:radarChart>
        <c:radarStyle val="filled"/>
        <c:varyColors val="0"/>
        <c:ser>
          <c:idx val="33"/>
          <c:order val="0"/>
          <c:tx>
            <c:strRef>
              <c:f>Scorecard!$V$72</c:f>
              <c:strCache>
                <c:ptCount val="1"/>
                <c:pt idx="0">
                  <c:v>Governance</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Scorecard!$V$73:$V$87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CF-3005-7443-9F78-ED4B41D4A512}"/>
            </c:ext>
          </c:extLst>
        </c:ser>
        <c:ser>
          <c:idx val="34"/>
          <c:order val="1"/>
          <c:tx>
            <c:strRef>
              <c:f>Scorecard!$W$72</c:f>
              <c:strCache>
                <c:ptCount val="1"/>
                <c:pt idx="0">
                  <c:v>Design</c:v>
                </c:pt>
              </c:strCache>
            </c:strRef>
          </c:tx>
          <c:spPr>
            <a:solidFill>
              <a:srgbClr val="B75727"/>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Scorecard!$W$73:$W$87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1-3005-7443-9F78-ED4B41D4A512}"/>
            </c:ext>
          </c:extLst>
        </c:ser>
        <c:ser>
          <c:idx val="35"/>
          <c:order val="2"/>
          <c:tx>
            <c:strRef>
              <c:f>Scorecard!$X$72</c:f>
              <c:strCache>
                <c:ptCount val="1"/>
                <c:pt idx="0">
                  <c:v>Implementation</c:v>
                </c:pt>
              </c:strCache>
            </c:strRef>
          </c:tx>
          <c:spPr>
            <a:solidFill>
              <a:srgbClr val="BDBF17"/>
            </a:solidFill>
            <a:ln w="25400">
              <a:noFill/>
            </a:ln>
            <a:effectLst>
              <a:outerShdw blurRad="40000" dist="23000" dir="5400000" rotWithShape="0">
                <a:srgbClr val="BDBF17">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Scorecard!$X$73:$X$87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3-3005-7443-9F78-ED4B41D4A512}"/>
            </c:ext>
          </c:extLst>
        </c:ser>
        <c:ser>
          <c:idx val="36"/>
          <c:order val="3"/>
          <c:tx>
            <c:strRef>
              <c:f>Scorecard!$Y$72</c:f>
              <c:strCache>
                <c:ptCount val="1"/>
                <c:pt idx="0">
                  <c:v>Verification</c:v>
                </c:pt>
              </c:strCache>
            </c:strRef>
          </c:tx>
          <c:spPr>
            <a:solidFill>
              <a:srgbClr val="37793E"/>
            </a:soli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Scorecard!$Y$73:$Y$87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5-3005-7443-9F78-ED4B41D4A512}"/>
            </c:ext>
          </c:extLst>
        </c:ser>
        <c:ser>
          <c:idx val="37"/>
          <c:order val="4"/>
          <c:tx>
            <c:strRef>
              <c:f>Scorecard!$Z$72</c:f>
              <c:strCache>
                <c:ptCount val="1"/>
                <c:pt idx="0">
                  <c:v>Operations</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cat>
            <c:strRef>
              <c:f>Scorecard!$U$73:$U$87</c:f>
              <c:strCache>
                <c:ptCount val="15"/>
                <c:pt idx="0">
                  <c:v>Strategy &amp; Metrics</c:v>
                </c:pt>
                <c:pt idx="1">
                  <c:v>Policy &amp; Compliance</c:v>
                </c:pt>
                <c:pt idx="2">
                  <c:v>Education &amp; Guidance</c:v>
                </c:pt>
                <c:pt idx="3">
                  <c:v>Threat Assessment</c:v>
                </c:pt>
                <c:pt idx="4">
                  <c:v>Security Requirements</c:v>
                </c:pt>
                <c:pt idx="5">
                  <c:v>Secure Architecture</c:v>
                </c:pt>
                <c:pt idx="6">
                  <c:v>Secure Build</c:v>
                </c:pt>
                <c:pt idx="7">
                  <c:v>Secure Deployment</c:v>
                </c:pt>
                <c:pt idx="8">
                  <c:v>Defect Management</c:v>
                </c:pt>
                <c:pt idx="9">
                  <c:v>Architecture Assessment</c:v>
                </c:pt>
                <c:pt idx="10">
                  <c:v>Requirements Driven Testing</c:v>
                </c:pt>
                <c:pt idx="11">
                  <c:v>Security Testing</c:v>
                </c:pt>
                <c:pt idx="12">
                  <c:v>Incident Management</c:v>
                </c:pt>
                <c:pt idx="13">
                  <c:v>Environment Management</c:v>
                </c:pt>
                <c:pt idx="14">
                  <c:v>Operational Management</c:v>
                </c:pt>
              </c:strCache>
            </c:strRef>
          </c:cat>
          <c:val>
            <c:numRef>
              <c:f>Scorecard!$Z$73:$Z$87</c:f>
              <c:numCache>
                <c:formatCode>0.00</c:formatCode>
                <c:ptCount val="15"/>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numCache>
            </c:numRef>
          </c:val>
          <c:extLst>
            <c:ext xmlns:c16="http://schemas.microsoft.com/office/drawing/2014/chart" uri="{C3380CC4-5D6E-409C-BE32-E72D297353CC}">
              <c16:uniqueId val="{000001D7-3005-7443-9F78-ED4B41D4A512}"/>
            </c:ext>
          </c:extLst>
        </c:ser>
        <c:dLbls>
          <c:showLegendKey val="0"/>
          <c:showVal val="0"/>
          <c:showCatName val="0"/>
          <c:showSerName val="0"/>
          <c:showPercent val="0"/>
          <c:showBubbleSize val="0"/>
        </c:dLbls>
        <c:axId val="-1853951552"/>
        <c:axId val="-1733289472"/>
      </c:radarChart>
      <c:catAx>
        <c:axId val="-185395155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733289472"/>
        <c:crosses val="autoZero"/>
        <c:auto val="1"/>
        <c:lblAlgn val="ctr"/>
        <c:lblOffset val="100"/>
        <c:noMultiLvlLbl val="0"/>
      </c:catAx>
      <c:valAx>
        <c:axId val="-1733289472"/>
        <c:scaling>
          <c:orientation val="minMax"/>
          <c:max val="3"/>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i-FI"/>
          </a:p>
        </c:txPr>
        <c:crossAx val="-1853951552"/>
        <c:crosses val="autoZero"/>
        <c:crossBetween val="between"/>
      </c:valAx>
      <c:spPr>
        <a:noFill/>
        <a:ln>
          <a:noFill/>
        </a:ln>
        <a:effectLst/>
      </c:spPr>
    </c:plotArea>
    <c:plotVisOnly val="1"/>
    <c:dispBlanksAs val="gap"/>
    <c:showDLblsOverMax val="0"/>
  </c:chart>
  <c:txPr>
    <a:bodyPr/>
    <a:lstStyle/>
    <a:p>
      <a:pPr>
        <a:defRPr/>
      </a:pPr>
      <a:endParaRPr lang="fi-FI"/>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6178055086399501E-2"/>
          <c:y val="7.9787234042553203E-3"/>
          <c:w val="0.94939079780008895"/>
          <c:h val="0.98457446808510596"/>
        </c:manualLayout>
      </c:layout>
      <c:areaChart>
        <c:grouping val="stacked"/>
        <c:varyColors val="0"/>
        <c:ser>
          <c:idx val="0"/>
          <c:order val="0"/>
          <c:spPr>
            <a:blipFill dpi="0" rotWithShape="0">
              <a:blip xmlns:r="http://schemas.openxmlformats.org/officeDocument/2006/relationships" r:embed="rId1"/>
              <a:srcRect/>
              <a:stretch>
                <a:fillRect/>
              </a:stretch>
            </a:blipFill>
            <a:ln w="25400">
              <a:noFill/>
            </a:ln>
          </c:spPr>
          <c:pictureOptions>
            <c:pictureFormat val="stretch"/>
          </c:pictureOptions>
          <c:val>
            <c:numRef>
              <c:f>'Roadmap Chart'!$Y$4:$AA$4</c:f>
              <c:numCache>
                <c:formatCode>General</c:formatCode>
                <c:ptCount val="3"/>
                <c:pt idx="0">
                  <c:v>1</c:v>
                </c:pt>
                <c:pt idx="1">
                  <c:v>1</c:v>
                </c:pt>
                <c:pt idx="2">
                  <c:v>1</c:v>
                </c:pt>
              </c:numCache>
            </c:numRef>
          </c:val>
          <c:extLst>
            <c:ext xmlns:c16="http://schemas.microsoft.com/office/drawing/2014/chart" uri="{C3380CC4-5D6E-409C-BE32-E72D297353CC}">
              <c16:uniqueId val="{00000000-F85B-4E97-B4D9-8FFB484729A0}"/>
            </c:ext>
          </c:extLst>
        </c:ser>
        <c:dLbls>
          <c:showLegendKey val="0"/>
          <c:showVal val="0"/>
          <c:showCatName val="0"/>
          <c:showSerName val="0"/>
          <c:showPercent val="0"/>
          <c:showBubbleSize val="0"/>
        </c:dLbls>
        <c:axId val="-1708389504"/>
        <c:axId val="-1708387728"/>
      </c:areaChart>
      <c:catAx>
        <c:axId val="-1708389504"/>
        <c:scaling>
          <c:orientation val="minMax"/>
        </c:scaling>
        <c:delete val="0"/>
        <c:axPos val="b"/>
        <c:majorTickMark val="none"/>
        <c:minorTickMark val="none"/>
        <c:tickLblPos val="none"/>
        <c:spPr>
          <a:ln w="9525">
            <a:noFill/>
          </a:ln>
        </c:spPr>
        <c:crossAx val="-1708387728"/>
        <c:crosses val="autoZero"/>
        <c:auto val="1"/>
        <c:lblAlgn val="ctr"/>
        <c:lblOffset val="100"/>
        <c:tickMarkSkip val="1"/>
        <c:noMultiLvlLbl val="0"/>
      </c:catAx>
      <c:valAx>
        <c:axId val="-1708387728"/>
        <c:scaling>
          <c:orientation val="minMax"/>
          <c:max val="1"/>
        </c:scaling>
        <c:delete val="0"/>
        <c:axPos val="l"/>
        <c:majorGridlines>
          <c:spPr>
            <a:ln w="3175">
              <a:solidFill>
                <a:srgbClr val="000000"/>
              </a:solidFill>
              <a:prstDash val="solid"/>
            </a:ln>
          </c:spPr>
        </c:majorGridlines>
        <c:numFmt formatCode="General" sourceLinked="1"/>
        <c:majorTickMark val="none"/>
        <c:minorTickMark val="none"/>
        <c:tickLblPos val="none"/>
        <c:spPr>
          <a:ln w="9525">
            <a:noFill/>
          </a:ln>
        </c:spPr>
        <c:crossAx val="-1708389504"/>
        <c:crosses val="autoZero"/>
        <c:crossBetween val="midCat"/>
      </c:valAx>
      <c:spPr>
        <a:solidFill>
          <a:srgbClr val="C0C0C0"/>
        </a:solidFill>
        <a:ln w="12700">
          <a:solidFill>
            <a:srgbClr val="808080"/>
          </a:solidFill>
          <a:prstDash val="solid"/>
        </a:ln>
      </c:spPr>
    </c:plotArea>
    <c:plotVisOnly val="1"/>
    <c:dispBlanksAs val="zero"/>
    <c:showDLblsOverMax val="0"/>
  </c:chart>
  <c:spPr>
    <a:noFill/>
    <a:ln w="9525">
      <a:noFill/>
    </a:ln>
  </c:spPr>
  <c:txPr>
    <a:bodyPr/>
    <a:lstStyle/>
    <a:p>
      <a:pPr>
        <a:defRPr sz="925"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453555370854797E-2"/>
          <c:y val="0.16025741347038699"/>
          <c:w val="0.92047529424983898"/>
          <c:h val="0.64102965388154698"/>
        </c:manualLayout>
      </c:layout>
      <c:areaChart>
        <c:grouping val="standard"/>
        <c:varyColors val="0"/>
        <c:ser>
          <c:idx val="0"/>
          <c:order val="0"/>
          <c:spPr>
            <a:solidFill>
              <a:srgbClr val="3290C4"/>
            </a:solidFill>
            <a:ln w="25400">
              <a:noFill/>
            </a:ln>
          </c:spPr>
          <c:val>
            <c:numRef>
              <c:f>'Roadmap Chart'!$B$12:$J$12</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742C-418E-8375-EABEB5E457F3}"/>
            </c:ext>
          </c:extLst>
        </c:ser>
        <c:dLbls>
          <c:showLegendKey val="0"/>
          <c:showVal val="0"/>
          <c:showCatName val="0"/>
          <c:showSerName val="0"/>
          <c:showPercent val="0"/>
          <c:showBubbleSize val="0"/>
        </c:dLbls>
        <c:axId val="-1708366768"/>
        <c:axId val="-1708364448"/>
      </c:areaChart>
      <c:catAx>
        <c:axId val="-1708366768"/>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08364448"/>
        <c:crosses val="autoZero"/>
        <c:auto val="1"/>
        <c:lblAlgn val="ctr"/>
        <c:lblOffset val="100"/>
        <c:tickLblSkip val="9"/>
        <c:tickMarkSkip val="9"/>
        <c:noMultiLvlLbl val="0"/>
      </c:catAx>
      <c:valAx>
        <c:axId val="-1708364448"/>
        <c:scaling>
          <c:orientation val="minMax"/>
          <c:max val="3"/>
          <c:min val="0"/>
        </c:scaling>
        <c:delete val="0"/>
        <c:axPos val="l"/>
        <c:majorGridlines>
          <c:spPr>
            <a:ln w="3175">
              <a:solidFill>
                <a:srgbClr val="C0C0C0"/>
              </a:solidFill>
              <a:prstDash val="sysDash"/>
            </a:ln>
          </c:spPr>
        </c:majorGridlines>
        <c:numFmt formatCode="0.00" sourceLinked="1"/>
        <c:majorTickMark val="out"/>
        <c:minorTickMark val="in"/>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08366768"/>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paperSize="9"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364908055410102E-2"/>
          <c:y val="0.158227848101266"/>
          <c:w val="0.92060886742575798"/>
          <c:h val="0.645569620253165"/>
        </c:manualLayout>
      </c:layout>
      <c:areaChart>
        <c:grouping val="standard"/>
        <c:varyColors val="0"/>
        <c:ser>
          <c:idx val="0"/>
          <c:order val="0"/>
          <c:spPr>
            <a:solidFill>
              <a:srgbClr val="3290C4"/>
            </a:solidFill>
            <a:ln w="25400">
              <a:noFill/>
            </a:ln>
          </c:spPr>
          <c:val>
            <c:numRef>
              <c:f>'Roadmap Chart'!$B$13:$J$13</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814C-47EA-BF90-9795F2F51CB3}"/>
            </c:ext>
          </c:extLst>
        </c:ser>
        <c:dLbls>
          <c:showLegendKey val="0"/>
          <c:showVal val="0"/>
          <c:showCatName val="0"/>
          <c:showSerName val="0"/>
          <c:showPercent val="0"/>
          <c:showBubbleSize val="0"/>
        </c:dLbls>
        <c:axId val="-1734119856"/>
        <c:axId val="-1734117808"/>
      </c:areaChart>
      <c:catAx>
        <c:axId val="-1734119856"/>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34117808"/>
        <c:crosses val="autoZero"/>
        <c:auto val="1"/>
        <c:lblAlgn val="ctr"/>
        <c:lblOffset val="100"/>
        <c:tickLblSkip val="9"/>
        <c:tickMarkSkip val="9"/>
        <c:noMultiLvlLbl val="0"/>
      </c:catAx>
      <c:valAx>
        <c:axId val="-173411780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969696"/>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34119856"/>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5.2276559865092699E-2"/>
          <c:y val="0.15723367011639"/>
          <c:w val="0.92074198988195599"/>
          <c:h val="0.64780272087952595"/>
        </c:manualLayout>
      </c:layout>
      <c:areaChart>
        <c:grouping val="standard"/>
        <c:varyColors val="0"/>
        <c:ser>
          <c:idx val="0"/>
          <c:order val="0"/>
          <c:spPr>
            <a:solidFill>
              <a:srgbClr val="3290C4"/>
            </a:solidFill>
            <a:ln w="25400">
              <a:noFill/>
            </a:ln>
          </c:spPr>
          <c:val>
            <c:numRef>
              <c:f>'Roadmap Chart'!$B$14:$J$14</c:f>
              <c:numCache>
                <c:formatCode>0.00</c:formatCode>
                <c:ptCount val="9"/>
                <c:pt idx="0">
                  <c:v>0</c:v>
                </c:pt>
                <c:pt idx="1">
                  <c:v>0</c:v>
                </c:pt>
                <c:pt idx="2" formatCode="General">
                  <c:v>0</c:v>
                </c:pt>
                <c:pt idx="3">
                  <c:v>0</c:v>
                </c:pt>
                <c:pt idx="4" formatCode="General">
                  <c:v>0</c:v>
                </c:pt>
                <c:pt idx="5">
                  <c:v>0</c:v>
                </c:pt>
                <c:pt idx="6" formatCode="General">
                  <c:v>0</c:v>
                </c:pt>
                <c:pt idx="7">
                  <c:v>0</c:v>
                </c:pt>
                <c:pt idx="8" formatCode="General">
                  <c:v>0</c:v>
                </c:pt>
              </c:numCache>
            </c:numRef>
          </c:val>
          <c:extLst>
            <c:ext xmlns:c16="http://schemas.microsoft.com/office/drawing/2014/chart" uri="{C3380CC4-5D6E-409C-BE32-E72D297353CC}">
              <c16:uniqueId val="{00000000-3AEA-4E00-9A98-FE42043B66F0}"/>
            </c:ext>
          </c:extLst>
        </c:ser>
        <c:dLbls>
          <c:showLegendKey val="0"/>
          <c:showVal val="0"/>
          <c:showCatName val="0"/>
          <c:showSerName val="0"/>
          <c:showPercent val="0"/>
          <c:showBubbleSize val="0"/>
        </c:dLbls>
        <c:axId val="-1757534112"/>
        <c:axId val="-1757531248"/>
      </c:areaChart>
      <c:catAx>
        <c:axId val="-1757534112"/>
        <c:scaling>
          <c:orientation val="minMax"/>
        </c:scaling>
        <c:delete val="0"/>
        <c:axPos val="b"/>
        <c:numFmt formatCode="General" sourceLinked="1"/>
        <c:majorTickMark val="out"/>
        <c:minorTickMark val="none"/>
        <c:tickLblPos val="nextTo"/>
        <c:spPr>
          <a:ln w="3175">
            <a:solidFill>
              <a:srgbClr val="969696"/>
            </a:solidFill>
            <a:prstDash val="solid"/>
          </a:ln>
        </c:spPr>
        <c:txPr>
          <a:bodyPr rot="0" vert="horz"/>
          <a:lstStyle/>
          <a:p>
            <a:pPr>
              <a:defRPr sz="350" b="0" i="0" u="none" strike="noStrike" baseline="0">
                <a:solidFill>
                  <a:srgbClr val="FFFFFF"/>
                </a:solidFill>
                <a:latin typeface="Arial"/>
                <a:ea typeface="Arial"/>
                <a:cs typeface="Arial"/>
              </a:defRPr>
            </a:pPr>
            <a:endParaRPr lang="fi-FI"/>
          </a:p>
        </c:txPr>
        <c:crossAx val="-1757531248"/>
        <c:crosses val="autoZero"/>
        <c:auto val="1"/>
        <c:lblAlgn val="ctr"/>
        <c:lblOffset val="100"/>
        <c:tickLblSkip val="9"/>
        <c:tickMarkSkip val="9"/>
        <c:noMultiLvlLbl val="0"/>
      </c:catAx>
      <c:valAx>
        <c:axId val="-1757531248"/>
        <c:scaling>
          <c:orientation val="minMax"/>
          <c:max val="3"/>
        </c:scaling>
        <c:delete val="0"/>
        <c:axPos val="l"/>
        <c:majorGridlines>
          <c:spPr>
            <a:ln w="3175">
              <a:solidFill>
                <a:srgbClr val="C0C0C0"/>
              </a:solidFill>
              <a:prstDash val="sysDash"/>
            </a:ln>
          </c:spPr>
        </c:majorGridlines>
        <c:numFmt formatCode="0.00" sourceLinked="1"/>
        <c:majorTickMark val="out"/>
        <c:minorTickMark val="none"/>
        <c:tickLblPos val="nextTo"/>
        <c:spPr>
          <a:ln w="3175">
            <a:solidFill>
              <a:srgbClr val="C0C0C0"/>
            </a:solidFill>
            <a:prstDash val="solid"/>
          </a:ln>
        </c:spPr>
        <c:txPr>
          <a:bodyPr rot="0" vert="horz"/>
          <a:lstStyle/>
          <a:p>
            <a:pPr>
              <a:defRPr sz="800" b="0" i="0" u="none" strike="noStrike" baseline="0">
                <a:solidFill>
                  <a:schemeClr val="tx1"/>
                </a:solidFill>
                <a:latin typeface="Arial"/>
                <a:ea typeface="Arial"/>
                <a:cs typeface="Arial"/>
              </a:defRPr>
            </a:pPr>
            <a:endParaRPr lang="fi-FI"/>
          </a:p>
        </c:txPr>
        <c:crossAx val="-1757534112"/>
        <c:crosses val="autoZero"/>
        <c:crossBetween val="midCat"/>
        <c:majorUnit val="1"/>
        <c:minorUnit val="0.5"/>
      </c:valAx>
      <c:spPr>
        <a:noFill/>
        <a:ln w="25400">
          <a:noFill/>
        </a:ln>
      </c:spPr>
    </c:plotArea>
    <c:plotVisOnly val="1"/>
    <c:dispBlanksAs val="zero"/>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fi-FI"/>
    </a:p>
  </c:txPr>
  <c:printSettings>
    <c:headerFooter alignWithMargins="0"/>
    <c:pageMargins b="1" l="0.75" r="0.75" t="1" header="0.5" footer="0.5"/>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5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3.xml"/><Relationship Id="rId13" Type="http://schemas.openxmlformats.org/officeDocument/2006/relationships/chart" Target="../charts/chart18.xml"/><Relationship Id="rId3" Type="http://schemas.openxmlformats.org/officeDocument/2006/relationships/chart" Target="../charts/chart8.xml"/><Relationship Id="rId7" Type="http://schemas.openxmlformats.org/officeDocument/2006/relationships/chart" Target="../charts/chart12.xml"/><Relationship Id="rId12" Type="http://schemas.openxmlformats.org/officeDocument/2006/relationships/chart" Target="../charts/chart17.xml"/><Relationship Id="rId17" Type="http://schemas.openxmlformats.org/officeDocument/2006/relationships/chart" Target="../charts/chart22.xml"/><Relationship Id="rId2" Type="http://schemas.openxmlformats.org/officeDocument/2006/relationships/chart" Target="../charts/chart7.xml"/><Relationship Id="rId16" Type="http://schemas.openxmlformats.org/officeDocument/2006/relationships/chart" Target="../charts/chart21.xml"/><Relationship Id="rId1" Type="http://schemas.openxmlformats.org/officeDocument/2006/relationships/chart" Target="../charts/chart6.xml"/><Relationship Id="rId6" Type="http://schemas.openxmlformats.org/officeDocument/2006/relationships/chart" Target="../charts/chart11.xml"/><Relationship Id="rId11" Type="http://schemas.openxmlformats.org/officeDocument/2006/relationships/chart" Target="../charts/chart16.xml"/><Relationship Id="rId5" Type="http://schemas.openxmlformats.org/officeDocument/2006/relationships/chart" Target="../charts/chart10.xml"/><Relationship Id="rId15" Type="http://schemas.openxmlformats.org/officeDocument/2006/relationships/chart" Target="../charts/chart20.xml"/><Relationship Id="rId10" Type="http://schemas.openxmlformats.org/officeDocument/2006/relationships/chart" Target="../charts/chart15.xml"/><Relationship Id="rId4" Type="http://schemas.openxmlformats.org/officeDocument/2006/relationships/chart" Target="../charts/chart9.xml"/><Relationship Id="rId9" Type="http://schemas.openxmlformats.org/officeDocument/2006/relationships/chart" Target="../charts/chart14.xml"/><Relationship Id="rId1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emf"/><Relationship Id="rId1" Type="http://schemas.openxmlformats.org/officeDocument/2006/relationships/image" Target="../media/image3.emf"/><Relationship Id="rId5" Type="http://schemas.openxmlformats.org/officeDocument/2006/relationships/image" Target="../media/image7.emf"/><Relationship Id="rId4" Type="http://schemas.openxmlformats.org/officeDocument/2006/relationships/image" Target="../media/image6.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23</xdr:row>
      <xdr:rowOff>0</xdr:rowOff>
    </xdr:from>
    <xdr:to>
      <xdr:col>1</xdr:col>
      <xdr:colOff>6657975</xdr:colOff>
      <xdr:row>46</xdr:row>
      <xdr:rowOff>142875</xdr:rowOff>
    </xdr:to>
    <xdr:pic>
      <xdr:nvPicPr>
        <xdr:cNvPr id="2" name="Picture 6">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34000"/>
          <a:ext cx="8181975" cy="45243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1130300</xdr:colOff>
      <xdr:row>12</xdr:row>
      <xdr:rowOff>0</xdr:rowOff>
    </xdr:from>
    <xdr:to>
      <xdr:col>17</xdr:col>
      <xdr:colOff>647700</xdr:colOff>
      <xdr:row>27</xdr:row>
      <xdr:rowOff>292100</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12700</xdr:colOff>
      <xdr:row>52</xdr:row>
      <xdr:rowOff>0</xdr:rowOff>
    </xdr:from>
    <xdr:to>
      <xdr:col>17</xdr:col>
      <xdr:colOff>660400</xdr:colOff>
      <xdr:row>68</xdr:row>
      <xdr:rowOff>0</xdr:rowOff>
    </xdr:to>
    <xdr:graphicFrame macro="">
      <xdr:nvGraphicFramePr>
        <xdr:cNvPr id="4" name="Chart 3">
          <a:extLst>
            <a:ext uri="{FF2B5EF4-FFF2-40B4-BE49-F238E27FC236}">
              <a16:creationId xmlns:a16="http://schemas.microsoft.com/office/drawing/2014/main"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12700</xdr:colOff>
      <xdr:row>32</xdr:row>
      <xdr:rowOff>0</xdr:rowOff>
    </xdr:from>
    <xdr:to>
      <xdr:col>17</xdr:col>
      <xdr:colOff>660400</xdr:colOff>
      <xdr:row>48</xdr:row>
      <xdr:rowOff>0</xdr:rowOff>
    </xdr:to>
    <xdr:graphicFrame macro="">
      <xdr:nvGraphicFramePr>
        <xdr:cNvPr id="3" name="Chart 4">
          <a:extLst>
            <a:ext uri="{FF2B5EF4-FFF2-40B4-BE49-F238E27FC236}">
              <a16:creationId xmlns:a16="http://schemas.microsoft.com/office/drawing/2014/main" id="{0C4B42F1-0861-7143-8EF0-6943488D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12700</xdr:colOff>
      <xdr:row>92</xdr:row>
      <xdr:rowOff>0</xdr:rowOff>
    </xdr:from>
    <xdr:to>
      <xdr:col>17</xdr:col>
      <xdr:colOff>660400</xdr:colOff>
      <xdr:row>108</xdr:row>
      <xdr:rowOff>0</xdr:rowOff>
    </xdr:to>
    <xdr:graphicFrame macro="">
      <xdr:nvGraphicFramePr>
        <xdr:cNvPr id="6" name="Chart 5">
          <a:extLst>
            <a:ext uri="{FF2B5EF4-FFF2-40B4-BE49-F238E27FC236}">
              <a16:creationId xmlns:a16="http://schemas.microsoft.com/office/drawing/2014/main" id="{A9ADE327-F57F-064A-8E0F-0AF158C9B7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12700</xdr:colOff>
      <xdr:row>71</xdr:row>
      <xdr:rowOff>0</xdr:rowOff>
    </xdr:from>
    <xdr:to>
      <xdr:col>17</xdr:col>
      <xdr:colOff>660400</xdr:colOff>
      <xdr:row>87</xdr:row>
      <xdr:rowOff>0</xdr:rowOff>
    </xdr:to>
    <xdr:graphicFrame macro="">
      <xdr:nvGraphicFramePr>
        <xdr:cNvPr id="8" name="Chart 7">
          <a:extLst>
            <a:ext uri="{FF2B5EF4-FFF2-40B4-BE49-F238E27FC236}">
              <a16:creationId xmlns:a16="http://schemas.microsoft.com/office/drawing/2014/main" id="{55CD72B3-70F6-5647-BFE3-DD178F56B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13</xdr:col>
      <xdr:colOff>152400</xdr:colOff>
      <xdr:row>11</xdr:row>
      <xdr:rowOff>9525</xdr:rowOff>
    </xdr:from>
    <xdr:to>
      <xdr:col>22</xdr:col>
      <xdr:colOff>133350</xdr:colOff>
      <xdr:row>107</xdr:row>
      <xdr:rowOff>171450</xdr:rowOff>
    </xdr:to>
    <xdr:graphicFrame macro="">
      <xdr:nvGraphicFramePr>
        <xdr:cNvPr id="2" name="Chart 6">
          <a:extLst>
            <a:ext uri="{FF2B5EF4-FFF2-40B4-BE49-F238E27FC236}">
              <a16:creationId xmlns:a16="http://schemas.microsoft.com/office/drawing/2014/main" id="{00000000-0008-0000-04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19050</xdr:colOff>
      <xdr:row>129</xdr:row>
      <xdr:rowOff>162330</xdr:rowOff>
    </xdr:from>
    <xdr:to>
      <xdr:col>23</xdr:col>
      <xdr:colOff>0</xdr:colOff>
      <xdr:row>131</xdr:row>
      <xdr:rowOff>162329</xdr:rowOff>
    </xdr:to>
    <xdr:sp macro="" textlink="">
      <xdr:nvSpPr>
        <xdr:cNvPr id="3" name="Rectangle 20">
          <a:extLst>
            <a:ext uri="{FF2B5EF4-FFF2-40B4-BE49-F238E27FC236}">
              <a16:creationId xmlns:a16="http://schemas.microsoft.com/office/drawing/2014/main" id="{00000000-0008-0000-0400-000003000000}"/>
            </a:ext>
          </a:extLst>
        </xdr:cNvPr>
        <xdr:cNvSpPr>
          <a:spLocks noChangeArrowheads="1"/>
        </xdr:cNvSpPr>
      </xdr:nvSpPr>
      <xdr:spPr bwMode="auto">
        <a:xfrm>
          <a:off x="9100027" y="17951879"/>
          <a:ext cx="7171251" cy="324661"/>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22</xdr:col>
      <xdr:colOff>9525</xdr:colOff>
      <xdr:row>7</xdr:row>
      <xdr:rowOff>25400</xdr:rowOff>
    </xdr:from>
    <xdr:to>
      <xdr:col>23</xdr:col>
      <xdr:colOff>0</xdr:colOff>
      <xdr:row>108</xdr:row>
      <xdr:rowOff>3175</xdr:rowOff>
    </xdr:to>
    <xdr:sp macro="" textlink="">
      <xdr:nvSpPr>
        <xdr:cNvPr id="4" name="Rectangle 19">
          <a:extLst>
            <a:ext uri="{FF2B5EF4-FFF2-40B4-BE49-F238E27FC236}">
              <a16:creationId xmlns:a16="http://schemas.microsoft.com/office/drawing/2014/main" id="{00000000-0008-0000-0400-000004000000}"/>
            </a:ext>
          </a:extLst>
        </xdr:cNvPr>
        <xdr:cNvSpPr>
          <a:spLocks noChangeArrowheads="1"/>
        </xdr:cNvSpPr>
      </xdr:nvSpPr>
      <xdr:spPr bwMode="auto">
        <a:xfrm>
          <a:off x="15653076" y="2102503"/>
          <a:ext cx="667017" cy="16487775"/>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278569</xdr:colOff>
      <xdr:row>10</xdr:row>
      <xdr:rowOff>161925</xdr:rowOff>
    </xdr:from>
    <xdr:to>
      <xdr:col>22</xdr:col>
      <xdr:colOff>154299</xdr:colOff>
      <xdr:row>18</xdr:row>
      <xdr:rowOff>114300</xdr:rowOff>
    </xdr:to>
    <xdr:graphicFrame macro="">
      <xdr:nvGraphicFramePr>
        <xdr:cNvPr id="5" name="Chart 1">
          <a:extLst>
            <a:ext uri="{FF2B5EF4-FFF2-40B4-BE49-F238E27FC236}">
              <a16:creationId xmlns:a16="http://schemas.microsoft.com/office/drawing/2014/main" id="{00000000-0008-0000-04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275394</xdr:colOff>
      <xdr:row>20</xdr:row>
      <xdr:rowOff>139700</xdr:rowOff>
    </xdr:from>
    <xdr:to>
      <xdr:col>22</xdr:col>
      <xdr:colOff>154299</xdr:colOff>
      <xdr:row>28</xdr:row>
      <xdr:rowOff>101600</xdr:rowOff>
    </xdr:to>
    <xdr:graphicFrame macro="">
      <xdr:nvGraphicFramePr>
        <xdr:cNvPr id="6" name="Chart 7">
          <a:extLst>
            <a:ext uri="{FF2B5EF4-FFF2-40B4-BE49-F238E27FC236}">
              <a16:creationId xmlns:a16="http://schemas.microsoft.com/office/drawing/2014/main" id="{00000000-0008-0000-04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284090</xdr:colOff>
      <xdr:row>27</xdr:row>
      <xdr:rowOff>90561</xdr:rowOff>
    </xdr:from>
    <xdr:to>
      <xdr:col>22</xdr:col>
      <xdr:colOff>154300</xdr:colOff>
      <xdr:row>35</xdr:row>
      <xdr:rowOff>71511</xdr:rowOff>
    </xdr:to>
    <xdr:graphicFrame macro="">
      <xdr:nvGraphicFramePr>
        <xdr:cNvPr id="7" name="Chart 8">
          <a:extLst>
            <a:ext uri="{FF2B5EF4-FFF2-40B4-BE49-F238E27FC236}">
              <a16:creationId xmlns:a16="http://schemas.microsoft.com/office/drawing/2014/main" id="{00000000-0008-0000-04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272990</xdr:colOff>
      <xdr:row>34</xdr:row>
      <xdr:rowOff>152400</xdr:rowOff>
    </xdr:from>
    <xdr:to>
      <xdr:col>22</xdr:col>
      <xdr:colOff>166169</xdr:colOff>
      <xdr:row>42</xdr:row>
      <xdr:rowOff>133350</xdr:rowOff>
    </xdr:to>
    <xdr:graphicFrame macro="">
      <xdr:nvGraphicFramePr>
        <xdr:cNvPr id="8" name="Chart 9">
          <a:extLst>
            <a:ext uri="{FF2B5EF4-FFF2-40B4-BE49-F238E27FC236}">
              <a16:creationId xmlns:a16="http://schemas.microsoft.com/office/drawing/2014/main" id="{00000000-0008-0000-04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270646</xdr:colOff>
      <xdr:row>41</xdr:row>
      <xdr:rowOff>152400</xdr:rowOff>
    </xdr:from>
    <xdr:to>
      <xdr:col>22</xdr:col>
      <xdr:colOff>166169</xdr:colOff>
      <xdr:row>49</xdr:row>
      <xdr:rowOff>133350</xdr:rowOff>
    </xdr:to>
    <xdr:graphicFrame macro="">
      <xdr:nvGraphicFramePr>
        <xdr:cNvPr id="9" name="Chart 10">
          <a:extLst>
            <a:ext uri="{FF2B5EF4-FFF2-40B4-BE49-F238E27FC236}">
              <a16:creationId xmlns:a16="http://schemas.microsoft.com/office/drawing/2014/main" id="{00000000-0008-0000-04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272991</xdr:colOff>
      <xdr:row>49</xdr:row>
      <xdr:rowOff>152400</xdr:rowOff>
    </xdr:from>
    <xdr:to>
      <xdr:col>22</xdr:col>
      <xdr:colOff>154300</xdr:colOff>
      <xdr:row>57</xdr:row>
      <xdr:rowOff>142875</xdr:rowOff>
    </xdr:to>
    <xdr:graphicFrame macro="">
      <xdr:nvGraphicFramePr>
        <xdr:cNvPr id="10" name="Chart 11">
          <a:extLst>
            <a:ext uri="{FF2B5EF4-FFF2-40B4-BE49-F238E27FC236}">
              <a16:creationId xmlns:a16="http://schemas.microsoft.com/office/drawing/2014/main" id="{00000000-0008-0000-04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267368</xdr:colOff>
      <xdr:row>81</xdr:row>
      <xdr:rowOff>142875</xdr:rowOff>
    </xdr:from>
    <xdr:to>
      <xdr:col>22</xdr:col>
      <xdr:colOff>162331</xdr:colOff>
      <xdr:row>89</xdr:row>
      <xdr:rowOff>142875</xdr:rowOff>
    </xdr:to>
    <xdr:graphicFrame macro="">
      <xdr:nvGraphicFramePr>
        <xdr:cNvPr id="11" name="Chart 12">
          <a:extLst>
            <a:ext uri="{FF2B5EF4-FFF2-40B4-BE49-F238E27FC236}">
              <a16:creationId xmlns:a16="http://schemas.microsoft.com/office/drawing/2014/main" id="{00000000-0008-0000-04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267367</xdr:colOff>
      <xdr:row>89</xdr:row>
      <xdr:rowOff>152400</xdr:rowOff>
    </xdr:from>
    <xdr:to>
      <xdr:col>22</xdr:col>
      <xdr:colOff>162330</xdr:colOff>
      <xdr:row>97</xdr:row>
      <xdr:rowOff>161925</xdr:rowOff>
    </xdr:to>
    <xdr:graphicFrame macro="">
      <xdr:nvGraphicFramePr>
        <xdr:cNvPr id="12" name="Chart 13">
          <a:extLst>
            <a:ext uri="{FF2B5EF4-FFF2-40B4-BE49-F238E27FC236}">
              <a16:creationId xmlns:a16="http://schemas.microsoft.com/office/drawing/2014/main" id="{00000000-0008-0000-04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267368</xdr:colOff>
      <xdr:row>97</xdr:row>
      <xdr:rowOff>152400</xdr:rowOff>
    </xdr:from>
    <xdr:to>
      <xdr:col>22</xdr:col>
      <xdr:colOff>162332</xdr:colOff>
      <xdr:row>105</xdr:row>
      <xdr:rowOff>161925</xdr:rowOff>
    </xdr:to>
    <xdr:graphicFrame macro="">
      <xdr:nvGraphicFramePr>
        <xdr:cNvPr id="13" name="Chart 14">
          <a:extLst>
            <a:ext uri="{FF2B5EF4-FFF2-40B4-BE49-F238E27FC236}">
              <a16:creationId xmlns:a16="http://schemas.microsoft.com/office/drawing/2014/main" id="{00000000-0008-0000-04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267368</xdr:colOff>
      <xdr:row>105</xdr:row>
      <xdr:rowOff>152400</xdr:rowOff>
    </xdr:from>
    <xdr:to>
      <xdr:col>22</xdr:col>
      <xdr:colOff>162331</xdr:colOff>
      <xdr:row>113</xdr:row>
      <xdr:rowOff>158750</xdr:rowOff>
    </xdr:to>
    <xdr:graphicFrame macro="">
      <xdr:nvGraphicFramePr>
        <xdr:cNvPr id="14" name="Chart 15">
          <a:extLst>
            <a:ext uri="{FF2B5EF4-FFF2-40B4-BE49-F238E27FC236}">
              <a16:creationId xmlns:a16="http://schemas.microsoft.com/office/drawing/2014/main" id="{00000000-0008-0000-04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267368</xdr:colOff>
      <xdr:row>113</xdr:row>
      <xdr:rowOff>142875</xdr:rowOff>
    </xdr:from>
    <xdr:to>
      <xdr:col>22</xdr:col>
      <xdr:colOff>152782</xdr:colOff>
      <xdr:row>121</xdr:row>
      <xdr:rowOff>158750</xdr:rowOff>
    </xdr:to>
    <xdr:graphicFrame macro="">
      <xdr:nvGraphicFramePr>
        <xdr:cNvPr id="15" name="Chart 16">
          <a:extLst>
            <a:ext uri="{FF2B5EF4-FFF2-40B4-BE49-F238E27FC236}">
              <a16:creationId xmlns:a16="http://schemas.microsoft.com/office/drawing/2014/main" id="{00000000-0008-0000-04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267367</xdr:colOff>
      <xdr:row>121</xdr:row>
      <xdr:rowOff>152400</xdr:rowOff>
    </xdr:from>
    <xdr:to>
      <xdr:col>22</xdr:col>
      <xdr:colOff>162330</xdr:colOff>
      <xdr:row>130</xdr:row>
      <xdr:rowOff>5944</xdr:rowOff>
    </xdr:to>
    <xdr:graphicFrame macro="">
      <xdr:nvGraphicFramePr>
        <xdr:cNvPr id="16" name="Chart 17">
          <a:extLst>
            <a:ext uri="{FF2B5EF4-FFF2-40B4-BE49-F238E27FC236}">
              <a16:creationId xmlns:a16="http://schemas.microsoft.com/office/drawing/2014/main" id="{00000000-0008-0000-04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657225</xdr:colOff>
      <xdr:row>28</xdr:row>
      <xdr:rowOff>158750</xdr:rowOff>
    </xdr:from>
    <xdr:to>
      <xdr:col>35</xdr:col>
      <xdr:colOff>317500</xdr:colOff>
      <xdr:row>64</xdr:row>
      <xdr:rowOff>50800</xdr:rowOff>
    </xdr:to>
    <xdr:graphicFrame macro="">
      <xdr:nvGraphicFramePr>
        <xdr:cNvPr id="17" name="Chart 16">
          <a:extLst>
            <a:ext uri="{FF2B5EF4-FFF2-40B4-BE49-F238E27FC236}">
              <a16:creationId xmlns:a16="http://schemas.microsoft.com/office/drawing/2014/main" id="{00000000-0008-0000-04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12</xdr:col>
      <xdr:colOff>285750</xdr:colOff>
      <xdr:row>56</xdr:row>
      <xdr:rowOff>158750</xdr:rowOff>
    </xdr:from>
    <xdr:to>
      <xdr:col>22</xdr:col>
      <xdr:colOff>167059</xdr:colOff>
      <xdr:row>64</xdr:row>
      <xdr:rowOff>149224</xdr:rowOff>
    </xdr:to>
    <xdr:graphicFrame macro="">
      <xdr:nvGraphicFramePr>
        <xdr:cNvPr id="20" name="Chart 11">
          <a:extLst>
            <a:ext uri="{FF2B5EF4-FFF2-40B4-BE49-F238E27FC236}">
              <a16:creationId xmlns:a16="http://schemas.microsoft.com/office/drawing/2014/main" id="{5C449CFD-34CA-5645-BD3C-C727FAE49B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10583</xdr:colOff>
      <xdr:row>64</xdr:row>
      <xdr:rowOff>63500</xdr:rowOff>
    </xdr:from>
    <xdr:to>
      <xdr:col>22</xdr:col>
      <xdr:colOff>188225</xdr:colOff>
      <xdr:row>72</xdr:row>
      <xdr:rowOff>53975</xdr:rowOff>
    </xdr:to>
    <xdr:graphicFrame macro="">
      <xdr:nvGraphicFramePr>
        <xdr:cNvPr id="21" name="Chart 11">
          <a:extLst>
            <a:ext uri="{FF2B5EF4-FFF2-40B4-BE49-F238E27FC236}">
              <a16:creationId xmlns:a16="http://schemas.microsoft.com/office/drawing/2014/main" id="{44BA9962-782E-7B4D-A08D-7F5094C71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10583</xdr:colOff>
      <xdr:row>71</xdr:row>
      <xdr:rowOff>10583</xdr:rowOff>
    </xdr:from>
    <xdr:to>
      <xdr:col>22</xdr:col>
      <xdr:colOff>188225</xdr:colOff>
      <xdr:row>79</xdr:row>
      <xdr:rowOff>1057</xdr:rowOff>
    </xdr:to>
    <xdr:graphicFrame macro="">
      <xdr:nvGraphicFramePr>
        <xdr:cNvPr id="22" name="Chart 11">
          <a:extLst>
            <a:ext uri="{FF2B5EF4-FFF2-40B4-BE49-F238E27FC236}">
              <a16:creationId xmlns:a16="http://schemas.microsoft.com/office/drawing/2014/main" id="{F73878F9-3B59-3A41-B15F-2537D346C5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2</xdr:col>
      <xdr:colOff>428625</xdr:colOff>
      <xdr:row>14</xdr:row>
      <xdr:rowOff>123825</xdr:rowOff>
    </xdr:to>
    <xdr:pic>
      <xdr:nvPicPr>
        <xdr:cNvPr id="2" name="Picture 1">
          <a:extLst>
            <a:ext uri="{FF2B5EF4-FFF2-40B4-BE49-F238E27FC236}">
              <a16:creationId xmlns:a16="http://schemas.microsoft.com/office/drawing/2014/main" id="{00000000-0008-0000-06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143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16</xdr:row>
      <xdr:rowOff>0</xdr:rowOff>
    </xdr:from>
    <xdr:to>
      <xdr:col>2</xdr:col>
      <xdr:colOff>428625</xdr:colOff>
      <xdr:row>28</xdr:row>
      <xdr:rowOff>123825</xdr:rowOff>
    </xdr:to>
    <xdr:pic>
      <xdr:nvPicPr>
        <xdr:cNvPr id="3" name="Picture 2">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7813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30</xdr:row>
      <xdr:rowOff>0</xdr:rowOff>
    </xdr:from>
    <xdr:to>
      <xdr:col>2</xdr:col>
      <xdr:colOff>428625</xdr:colOff>
      <xdr:row>42</xdr:row>
      <xdr:rowOff>123825</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50482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44</xdr:row>
      <xdr:rowOff>0</xdr:rowOff>
    </xdr:from>
    <xdr:to>
      <xdr:col>2</xdr:col>
      <xdr:colOff>428625</xdr:colOff>
      <xdr:row>56</xdr:row>
      <xdr:rowOff>123825</xdr:rowOff>
    </xdr:to>
    <xdr:pic>
      <xdr:nvPicPr>
        <xdr:cNvPr id="5" name="Picture 4">
          <a:extLst>
            <a:ext uri="{FF2B5EF4-FFF2-40B4-BE49-F238E27FC236}">
              <a16:creationId xmlns:a16="http://schemas.microsoft.com/office/drawing/2014/main" id="{00000000-0008-0000-0600-000005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731520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0</xdr:colOff>
      <xdr:row>58</xdr:row>
      <xdr:rowOff>0</xdr:rowOff>
    </xdr:from>
    <xdr:to>
      <xdr:col>2</xdr:col>
      <xdr:colOff>428625</xdr:colOff>
      <xdr:row>70</xdr:row>
      <xdr:rowOff>123825</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0" y="9582150"/>
          <a:ext cx="12392025" cy="2066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22"/>
  <sheetViews>
    <sheetView workbookViewId="0"/>
  </sheetViews>
  <sheetFormatPr defaultColWidth="8.85546875" defaultRowHeight="15" x14ac:dyDescent="0.3"/>
  <cols>
    <col min="1" max="1" width="22.85546875" style="61" bestFit="1" customWidth="1"/>
    <col min="2" max="2" width="100.42578125" style="61" customWidth="1"/>
    <col min="3" max="16384" width="8.85546875" style="61"/>
  </cols>
  <sheetData>
    <row r="1" spans="1:2" s="59" customFormat="1" ht="27.75" x14ac:dyDescent="0.45">
      <c r="A1" s="58" t="s">
        <v>104</v>
      </c>
      <c r="B1" s="58"/>
    </row>
    <row r="2" spans="1:2" x14ac:dyDescent="0.3">
      <c r="A2" s="60"/>
      <c r="B2" s="60"/>
    </row>
    <row r="3" spans="1:2" x14ac:dyDescent="0.3">
      <c r="A3" s="60" t="s">
        <v>7</v>
      </c>
      <c r="B3" s="60">
        <v>1.5</v>
      </c>
    </row>
    <row r="4" spans="1:2" x14ac:dyDescent="0.3">
      <c r="A4" s="60"/>
      <c r="B4" s="60"/>
    </row>
    <row r="5" spans="1:2" ht="62.25" customHeight="1" x14ac:dyDescent="0.3">
      <c r="A5" s="60" t="s">
        <v>8</v>
      </c>
      <c r="B5" s="62" t="s">
        <v>55</v>
      </c>
    </row>
    <row r="6" spans="1:2" x14ac:dyDescent="0.3">
      <c r="A6" s="60" t="s">
        <v>105</v>
      </c>
      <c r="B6" s="60" t="s">
        <v>112</v>
      </c>
    </row>
    <row r="7" spans="1:2" x14ac:dyDescent="0.3">
      <c r="A7" s="60" t="s">
        <v>54</v>
      </c>
      <c r="B7" s="60" t="s">
        <v>106</v>
      </c>
    </row>
    <row r="8" spans="1:2" x14ac:dyDescent="0.3">
      <c r="A8" s="60" t="s">
        <v>9</v>
      </c>
      <c r="B8" s="60" t="s">
        <v>56</v>
      </c>
    </row>
    <row r="9" spans="1:2" x14ac:dyDescent="0.3">
      <c r="A9" s="60"/>
      <c r="B9" s="60"/>
    </row>
    <row r="10" spans="1:2" x14ac:dyDescent="0.3">
      <c r="A10" s="60" t="s">
        <v>105</v>
      </c>
      <c r="B10" s="60" t="s">
        <v>113</v>
      </c>
    </row>
    <row r="11" spans="1:2" x14ac:dyDescent="0.3">
      <c r="A11" s="60" t="s">
        <v>107</v>
      </c>
      <c r="B11" s="60" t="s">
        <v>109</v>
      </c>
    </row>
    <row r="12" spans="1:2" x14ac:dyDescent="0.3">
      <c r="A12" s="60" t="s">
        <v>9</v>
      </c>
      <c r="B12" s="60"/>
    </row>
    <row r="13" spans="1:2" x14ac:dyDescent="0.3">
      <c r="A13" s="60"/>
      <c r="B13" s="60"/>
    </row>
    <row r="14" spans="1:2" x14ac:dyDescent="0.3">
      <c r="A14" s="60" t="s">
        <v>105</v>
      </c>
      <c r="B14" s="60" t="s">
        <v>110</v>
      </c>
    </row>
    <row r="15" spans="1:2" x14ac:dyDescent="0.3">
      <c r="A15" s="60" t="s">
        <v>31</v>
      </c>
      <c r="B15" s="60" t="s">
        <v>111</v>
      </c>
    </row>
    <row r="16" spans="1:2" x14ac:dyDescent="0.3">
      <c r="A16" s="60"/>
      <c r="B16" s="60"/>
    </row>
    <row r="17" spans="1:3" x14ac:dyDescent="0.3">
      <c r="A17" s="60" t="s">
        <v>10</v>
      </c>
      <c r="B17" s="60" t="s">
        <v>11</v>
      </c>
    </row>
    <row r="18" spans="1:3" ht="45" x14ac:dyDescent="0.3">
      <c r="A18" s="60"/>
      <c r="B18" s="62" t="s">
        <v>12</v>
      </c>
    </row>
    <row r="19" spans="1:3" x14ac:dyDescent="0.3">
      <c r="A19" s="60"/>
      <c r="B19" s="60"/>
    </row>
    <row r="20" spans="1:3" ht="30" x14ac:dyDescent="0.3">
      <c r="A20" s="63" t="s">
        <v>57</v>
      </c>
      <c r="B20" s="64" t="s">
        <v>58</v>
      </c>
      <c r="C20" s="65"/>
    </row>
    <row r="21" spans="1:3" x14ac:dyDescent="0.3">
      <c r="A21" s="63"/>
      <c r="B21" s="63" t="s">
        <v>59</v>
      </c>
      <c r="C21" s="65"/>
    </row>
    <row r="22" spans="1:3" x14ac:dyDescent="0.3">
      <c r="A22" s="63"/>
      <c r="B22" s="136" t="s">
        <v>108</v>
      </c>
      <c r="C22" s="65"/>
    </row>
  </sheetData>
  <sheetProtection sheet="1" objects="1" scenarios="1"/>
  <customSheetViews>
    <customSheetView guid="{9846C184-355C-EA4B-8C35-9561D1AEE31C}" fitToPage="1">
      <selection activeCell="B3" sqref="B3"/>
      <pageMargins left="0.74803149606299213" right="0.74803149606299213" top="0.39370078740157483" bottom="0.39370078740157483" header="0.51181102362204722" footer="0.51181102362204722"/>
      <pageSetup paperSize="9" scale="71" orientation="portrait" r:id="rId1"/>
      <headerFooter alignWithMargins="0"/>
    </customSheetView>
  </customSheetViews>
  <pageMargins left="0.74803149606299213" right="0.74803149606299213" top="0.39370078740157483" bottom="0.39370078740157483" header="0.51181102362204722" footer="0.51181102362204722"/>
  <pageSetup paperSize="9" scale="71" orientation="portrait" r:id="rId2"/>
  <headerFooter alignWithMargins="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Z230"/>
  <sheetViews>
    <sheetView tabSelected="1" topLeftCell="B37" zoomScaleNormal="100" workbookViewId="0">
      <selection activeCell="F50" sqref="F50"/>
    </sheetView>
  </sheetViews>
  <sheetFormatPr defaultColWidth="8.85546875" defaultRowHeight="15" x14ac:dyDescent="0.25"/>
  <cols>
    <col min="1" max="1" width="10.28515625" style="23" hidden="1" customWidth="1"/>
    <col min="2" max="2" width="13.42578125" customWidth="1"/>
    <col min="3" max="3" width="7.28515625" style="146" customWidth="1"/>
    <col min="4" max="4" width="107.85546875" style="143" customWidth="1"/>
    <col min="5" max="5" width="5.140625" style="167" hidden="1" customWidth="1"/>
    <col min="6" max="6" width="33.28515625" style="27" customWidth="1"/>
    <col min="7" max="7" width="8.7109375" style="23" hidden="1" customWidth="1"/>
    <col min="8" max="8" width="8.7109375" style="124" hidden="1" customWidth="1"/>
    <col min="9" max="9" width="33.28515625" customWidth="1"/>
    <col min="10" max="10" width="15" style="12" customWidth="1"/>
    <col min="11" max="11" width="15" bestFit="1" customWidth="1"/>
    <col min="12" max="12" width="26" customWidth="1"/>
    <col min="13" max="13" width="24.42578125" customWidth="1"/>
    <col min="14" max="14" width="26.7109375" customWidth="1"/>
    <col min="15" max="15" width="25.7109375" customWidth="1"/>
    <col min="16" max="16" width="28.7109375" customWidth="1"/>
    <col min="17" max="26" width="15" bestFit="1" customWidth="1"/>
  </cols>
  <sheetData>
    <row r="1" spans="1:26" ht="18" x14ac:dyDescent="0.25">
      <c r="A1"/>
      <c r="B1" s="376" t="str">
        <f>CONCATENATE("SAMM Assessment Interview: ",D11," For ",D10)</f>
        <v xml:space="preserve">SAMM Assessment Interview:  For </v>
      </c>
      <c r="C1" s="376"/>
      <c r="D1" s="376"/>
      <c r="E1" s="376"/>
      <c r="F1" s="376"/>
      <c r="G1" s="376"/>
      <c r="H1" s="376"/>
      <c r="I1" s="376"/>
      <c r="J1" s="10"/>
      <c r="K1" s="1"/>
      <c r="L1" s="129"/>
      <c r="M1" s="1"/>
      <c r="N1" s="1"/>
      <c r="O1" s="1"/>
      <c r="P1" s="1"/>
      <c r="Q1" s="1"/>
      <c r="R1" s="1"/>
      <c r="S1" s="1"/>
      <c r="T1" s="1"/>
      <c r="U1" s="1"/>
      <c r="V1" s="1"/>
      <c r="W1" s="1"/>
      <c r="X1" s="1"/>
      <c r="Y1" s="1"/>
      <c r="Z1" s="1"/>
    </row>
    <row r="2" spans="1:26" ht="15.75" thickBot="1" x14ac:dyDescent="0.3">
      <c r="A2"/>
      <c r="B2" s="1"/>
      <c r="C2" s="145"/>
      <c r="D2" s="156"/>
      <c r="E2" s="20"/>
      <c r="F2" s="24"/>
      <c r="G2" s="20"/>
      <c r="H2" s="113"/>
      <c r="I2" s="9"/>
      <c r="J2" s="10"/>
      <c r="K2" s="1"/>
      <c r="L2" s="129"/>
      <c r="M2" s="1"/>
      <c r="N2" s="1"/>
      <c r="O2" s="1"/>
      <c r="P2" s="1"/>
      <c r="Q2" s="1"/>
      <c r="R2" s="1"/>
      <c r="S2" s="1"/>
      <c r="T2" s="1"/>
      <c r="U2" s="1"/>
      <c r="V2" s="1"/>
      <c r="W2" s="1"/>
      <c r="X2" s="1"/>
      <c r="Y2" s="1"/>
      <c r="Z2" s="1"/>
    </row>
    <row r="3" spans="1:26" x14ac:dyDescent="0.25">
      <c r="A3"/>
      <c r="B3" s="377" t="s">
        <v>13</v>
      </c>
      <c r="C3" s="378"/>
      <c r="D3" s="378"/>
      <c r="E3" s="378"/>
      <c r="F3" s="378"/>
      <c r="G3" s="378"/>
      <c r="H3" s="378"/>
      <c r="I3" s="379"/>
      <c r="J3" s="10"/>
      <c r="K3" s="1"/>
      <c r="L3" s="129"/>
      <c r="M3" s="1"/>
      <c r="N3" s="1"/>
      <c r="O3" s="1"/>
      <c r="P3" s="1"/>
      <c r="Q3" s="1"/>
      <c r="R3" s="1"/>
      <c r="S3" s="1"/>
      <c r="T3" s="1"/>
      <c r="U3" s="1"/>
      <c r="V3" s="1"/>
      <c r="W3" s="1"/>
      <c r="X3" s="1"/>
      <c r="Y3" s="1"/>
      <c r="Z3" s="1"/>
    </row>
    <row r="4" spans="1:26" x14ac:dyDescent="0.25">
      <c r="A4"/>
      <c r="B4" s="380" t="s">
        <v>14</v>
      </c>
      <c r="C4" s="381"/>
      <c r="D4" s="381"/>
      <c r="E4" s="381"/>
      <c r="F4" s="381"/>
      <c r="G4" s="381"/>
      <c r="H4" s="381"/>
      <c r="I4" s="382"/>
      <c r="J4" s="10"/>
      <c r="K4" s="1"/>
      <c r="L4" s="129"/>
      <c r="M4" s="1"/>
      <c r="N4" s="1"/>
      <c r="O4" s="1"/>
      <c r="P4" s="1"/>
      <c r="Q4" s="1"/>
      <c r="R4" s="1"/>
      <c r="S4" s="1"/>
      <c r="T4" s="1"/>
      <c r="U4" s="1"/>
      <c r="V4" s="1"/>
      <c r="W4" s="1"/>
      <c r="X4" s="1"/>
      <c r="Y4" s="1"/>
      <c r="Z4" s="1"/>
    </row>
    <row r="5" spans="1:26" x14ac:dyDescent="0.25">
      <c r="A5"/>
      <c r="B5" s="383" t="s">
        <v>101</v>
      </c>
      <c r="C5" s="384"/>
      <c r="D5" s="384"/>
      <c r="E5" s="384"/>
      <c r="F5" s="384"/>
      <c r="G5" s="384"/>
      <c r="H5" s="384"/>
      <c r="I5" s="385"/>
      <c r="J5" s="10"/>
      <c r="K5" s="1"/>
      <c r="L5" s="129"/>
      <c r="M5" s="1"/>
      <c r="N5" s="1"/>
      <c r="O5" s="1"/>
      <c r="P5" s="1"/>
      <c r="Q5" s="1"/>
      <c r="R5" s="1"/>
      <c r="S5" s="1"/>
      <c r="T5" s="1"/>
      <c r="U5" s="1"/>
      <c r="V5" s="1"/>
      <c r="W5" s="1"/>
      <c r="X5" s="1"/>
      <c r="Y5" s="1"/>
      <c r="Z5" s="1"/>
    </row>
    <row r="6" spans="1:26" x14ac:dyDescent="0.25">
      <c r="A6"/>
      <c r="B6" s="383" t="s">
        <v>15</v>
      </c>
      <c r="C6" s="384"/>
      <c r="D6" s="384"/>
      <c r="E6" s="384"/>
      <c r="F6" s="384"/>
      <c r="G6" s="384"/>
      <c r="H6" s="384"/>
      <c r="I6" s="385"/>
      <c r="J6" s="10"/>
      <c r="K6" s="1"/>
      <c r="L6" s="129"/>
      <c r="M6" s="1"/>
      <c r="N6" s="1"/>
      <c r="O6" s="1"/>
      <c r="P6" s="1"/>
      <c r="Q6" s="1"/>
      <c r="R6" s="1"/>
      <c r="S6" s="1"/>
      <c r="T6" s="1"/>
      <c r="U6" s="1"/>
      <c r="V6" s="1"/>
      <c r="W6" s="1"/>
      <c r="X6" s="1"/>
      <c r="Y6" s="1"/>
      <c r="Z6" s="1"/>
    </row>
    <row r="7" spans="1:26" x14ac:dyDescent="0.25">
      <c r="A7"/>
      <c r="B7" s="383" t="s">
        <v>102</v>
      </c>
      <c r="C7" s="384"/>
      <c r="D7" s="384"/>
      <c r="E7" s="384"/>
      <c r="F7" s="384"/>
      <c r="G7" s="384"/>
      <c r="H7" s="384"/>
      <c r="I7" s="385"/>
      <c r="J7" s="10"/>
      <c r="K7" s="1"/>
      <c r="L7" s="129"/>
      <c r="M7" s="1"/>
      <c r="N7" s="1"/>
      <c r="O7" s="1"/>
      <c r="P7" s="1"/>
      <c r="Q7" s="1"/>
      <c r="R7" s="1"/>
      <c r="S7" s="1"/>
      <c r="T7" s="1"/>
      <c r="U7" s="1"/>
      <c r="V7" s="1"/>
      <c r="W7" s="1"/>
      <c r="X7" s="1"/>
      <c r="Y7" s="1"/>
      <c r="Z7" s="1"/>
    </row>
    <row r="8" spans="1:26" ht="15.75" thickBot="1" x14ac:dyDescent="0.3">
      <c r="A8"/>
      <c r="B8" s="391" t="s">
        <v>16</v>
      </c>
      <c r="C8" s="392"/>
      <c r="D8" s="392"/>
      <c r="E8" s="392"/>
      <c r="F8" s="392"/>
      <c r="G8" s="392"/>
      <c r="H8" s="392"/>
      <c r="I8" s="393"/>
      <c r="J8" s="10"/>
      <c r="K8" s="1"/>
      <c r="L8" s="129"/>
      <c r="M8" s="1"/>
      <c r="N8" s="1"/>
      <c r="O8" s="1"/>
      <c r="P8" s="1"/>
      <c r="Q8" s="1"/>
      <c r="R8" s="1"/>
      <c r="S8" s="1"/>
      <c r="T8" s="1"/>
      <c r="U8" s="1"/>
      <c r="V8" s="1"/>
      <c r="W8" s="1"/>
      <c r="X8" s="1"/>
      <c r="Y8" s="1"/>
      <c r="Z8" s="1"/>
    </row>
    <row r="9" spans="1:26" ht="15.75" thickBot="1" x14ac:dyDescent="0.3">
      <c r="A9"/>
      <c r="B9" s="1"/>
      <c r="C9" s="145"/>
      <c r="D9" s="156"/>
      <c r="E9" s="20"/>
      <c r="F9" s="24"/>
      <c r="G9" s="20"/>
      <c r="H9" s="113"/>
      <c r="I9" s="9"/>
      <c r="J9" s="10"/>
      <c r="K9" s="1"/>
      <c r="L9" s="129"/>
      <c r="M9" s="1"/>
      <c r="N9" s="1"/>
      <c r="O9" s="1"/>
      <c r="P9" s="1"/>
      <c r="Q9" s="1"/>
      <c r="R9" s="1"/>
      <c r="S9" s="1"/>
      <c r="T9" s="1"/>
      <c r="U9" s="1"/>
      <c r="V9" s="1"/>
      <c r="W9" s="1"/>
      <c r="X9" s="1"/>
      <c r="Y9" s="1"/>
      <c r="Z9" s="1"/>
    </row>
    <row r="10" spans="1:26" x14ac:dyDescent="0.25">
      <c r="A10"/>
      <c r="B10" s="394" t="s">
        <v>17</v>
      </c>
      <c r="C10" s="395"/>
      <c r="D10" s="14"/>
      <c r="E10" s="20"/>
      <c r="F10" s="24"/>
      <c r="G10" s="20"/>
      <c r="H10" s="113"/>
      <c r="I10" s="9"/>
      <c r="J10" s="10"/>
      <c r="K10" s="1"/>
      <c r="L10" s="129"/>
      <c r="M10" s="1"/>
      <c r="N10" s="1"/>
      <c r="O10" s="1"/>
      <c r="P10" s="1"/>
      <c r="Q10" s="1"/>
      <c r="R10" s="1"/>
      <c r="S10" s="1"/>
      <c r="T10" s="1"/>
      <c r="U10" s="1"/>
      <c r="V10" s="1"/>
      <c r="W10" s="1"/>
      <c r="X10" s="1"/>
      <c r="Y10" s="1"/>
      <c r="Z10" s="1"/>
    </row>
    <row r="11" spans="1:26" x14ac:dyDescent="0.25">
      <c r="A11"/>
      <c r="B11" s="386" t="s">
        <v>501</v>
      </c>
      <c r="C11" s="387"/>
      <c r="D11" s="15"/>
      <c r="E11" s="20"/>
      <c r="F11" s="24"/>
      <c r="G11" s="20"/>
      <c r="H11" s="113"/>
      <c r="I11" s="9"/>
      <c r="J11" s="10"/>
      <c r="K11" s="1"/>
      <c r="L11" s="129"/>
      <c r="M11" s="1"/>
      <c r="N11" s="1"/>
      <c r="O11" s="1"/>
      <c r="P11" s="1"/>
      <c r="Q11" s="1"/>
      <c r="R11" s="1"/>
      <c r="S11" s="1"/>
      <c r="T11" s="1"/>
      <c r="U11" s="1"/>
      <c r="V11" s="1"/>
      <c r="W11" s="1"/>
      <c r="X11" s="1"/>
      <c r="Y11" s="1"/>
      <c r="Z11" s="1"/>
    </row>
    <row r="12" spans="1:26" x14ac:dyDescent="0.25">
      <c r="A12"/>
      <c r="B12" s="386" t="s">
        <v>18</v>
      </c>
      <c r="C12" s="387"/>
      <c r="D12" s="16"/>
      <c r="E12" s="163"/>
      <c r="F12" s="24"/>
      <c r="G12" s="20"/>
      <c r="H12" s="113"/>
      <c r="I12" s="9"/>
      <c r="J12" s="10"/>
      <c r="K12" s="1"/>
      <c r="L12" s="129"/>
      <c r="M12" s="1"/>
      <c r="N12" s="1"/>
      <c r="O12" s="1"/>
      <c r="P12" s="1"/>
      <c r="Q12" s="1"/>
      <c r="R12" s="1"/>
      <c r="S12" s="1"/>
      <c r="T12" s="1"/>
      <c r="U12" s="1"/>
      <c r="V12" s="1"/>
      <c r="W12" s="1"/>
      <c r="X12" s="1"/>
      <c r="Y12" s="1"/>
      <c r="Z12" s="1"/>
    </row>
    <row r="13" spans="1:26" x14ac:dyDescent="0.25">
      <c r="A13"/>
      <c r="B13" s="386" t="s">
        <v>502</v>
      </c>
      <c r="C13" s="388"/>
      <c r="D13" s="15"/>
      <c r="E13" s="20"/>
      <c r="F13" s="24"/>
      <c r="G13" s="20"/>
      <c r="H13" s="113"/>
      <c r="I13" s="9"/>
      <c r="J13" s="10"/>
      <c r="K13" s="1"/>
      <c r="L13" s="129"/>
      <c r="M13" s="1"/>
      <c r="N13" s="1"/>
      <c r="O13" s="1"/>
      <c r="P13" s="1"/>
      <c r="Q13" s="1"/>
      <c r="R13" s="1"/>
      <c r="S13" s="1"/>
      <c r="T13" s="1"/>
      <c r="U13" s="1"/>
      <c r="V13" s="1"/>
      <c r="W13" s="1"/>
      <c r="X13" s="1"/>
      <c r="Y13" s="1"/>
      <c r="Z13" s="1"/>
    </row>
    <row r="14" spans="1:26" ht="24" thickBot="1" x14ac:dyDescent="0.4">
      <c r="A14" s="192"/>
      <c r="B14" s="389" t="s">
        <v>9</v>
      </c>
      <c r="C14" s="390"/>
      <c r="D14" s="17"/>
      <c r="E14" s="20"/>
      <c r="F14" s="24"/>
      <c r="G14" s="20"/>
      <c r="H14" s="113"/>
      <c r="I14" s="9"/>
      <c r="J14" s="10"/>
      <c r="K14" s="1"/>
      <c r="L14" s="129"/>
      <c r="M14" s="1"/>
      <c r="N14" s="1"/>
      <c r="O14" s="1"/>
      <c r="P14" s="1"/>
      <c r="Q14" s="1"/>
      <c r="R14" s="1"/>
      <c r="S14" s="1"/>
      <c r="T14" s="1"/>
      <c r="U14" s="1"/>
      <c r="V14" s="1"/>
      <c r="W14" s="1"/>
      <c r="X14" s="1"/>
      <c r="Y14" s="1"/>
      <c r="Z14" s="1"/>
    </row>
    <row r="15" spans="1:26" x14ac:dyDescent="0.25">
      <c r="A15"/>
      <c r="B15" s="1"/>
      <c r="C15" s="145"/>
      <c r="D15" s="156"/>
      <c r="E15" s="20"/>
      <c r="F15" s="24"/>
      <c r="G15" s="20"/>
      <c r="H15" s="113"/>
      <c r="I15" s="9"/>
      <c r="J15" s="10"/>
      <c r="K15" s="1"/>
      <c r="L15" s="129"/>
      <c r="M15" s="1"/>
      <c r="N15" s="1"/>
      <c r="O15" s="1"/>
      <c r="P15" s="1"/>
      <c r="Q15" s="1"/>
      <c r="R15" s="1"/>
      <c r="S15" s="1"/>
      <c r="T15" s="1"/>
      <c r="U15" s="1"/>
      <c r="V15" s="1"/>
      <c r="W15" s="1"/>
      <c r="X15" s="1"/>
      <c r="Y15" s="1"/>
      <c r="Z15" s="1"/>
    </row>
    <row r="16" spans="1:26" ht="12.75" x14ac:dyDescent="0.2">
      <c r="A16"/>
      <c r="B16" s="396" t="s">
        <v>19</v>
      </c>
      <c r="C16" s="396"/>
      <c r="D16" s="396"/>
      <c r="E16" s="396"/>
      <c r="F16" s="396"/>
      <c r="G16" s="396"/>
      <c r="H16" s="396"/>
      <c r="I16" s="396"/>
      <c r="J16" s="396"/>
      <c r="K16" s="1"/>
      <c r="Q16" s="1"/>
      <c r="R16" s="1"/>
      <c r="S16" s="1"/>
      <c r="T16" s="1"/>
      <c r="U16" s="1"/>
      <c r="V16" s="1"/>
      <c r="W16" s="1"/>
      <c r="X16" s="1"/>
      <c r="Y16" s="1"/>
      <c r="Z16" s="1"/>
    </row>
    <row r="17" spans="1:26" ht="12.75" x14ac:dyDescent="0.2">
      <c r="B17" s="206" t="s">
        <v>503</v>
      </c>
      <c r="C17" s="204" t="s">
        <v>504</v>
      </c>
      <c r="D17" s="203" t="s">
        <v>20</v>
      </c>
      <c r="E17" s="148"/>
      <c r="F17" s="67" t="s">
        <v>34</v>
      </c>
      <c r="G17" s="67"/>
      <c r="H17" s="114"/>
      <c r="I17" s="68" t="s">
        <v>21</v>
      </c>
      <c r="J17" s="68" t="s">
        <v>32</v>
      </c>
      <c r="K17" s="1"/>
      <c r="Q17" s="1"/>
      <c r="R17" s="1"/>
      <c r="S17" s="1"/>
      <c r="T17" s="1"/>
      <c r="U17" s="1"/>
      <c r="V17" s="1"/>
      <c r="W17" s="1"/>
      <c r="X17" s="1"/>
      <c r="Y17" s="1"/>
      <c r="Z17" s="1"/>
    </row>
    <row r="18" spans="1:26" ht="12.75" x14ac:dyDescent="0.2">
      <c r="A18" s="162" t="s">
        <v>189</v>
      </c>
      <c r="B18" s="359" t="str">
        <f>VLOOKUP(A18,'imp-questions'!A:H,4,FALSE)</f>
        <v>Create and Promote</v>
      </c>
      <c r="C18" s="207">
        <f>VLOOKUP(A18,'imp-questions'!A:H,5,FALSE)</f>
        <v>1</v>
      </c>
      <c r="D18" s="202" t="str">
        <f>VLOOKUP(A18,'imp-questions'!A:H,6,FALSE)</f>
        <v>Has the organization defined a set of risks by which applications could be prioritized?</v>
      </c>
      <c r="E18" s="164" t="str">
        <f>CHAR(65+VLOOKUP(A18,'imp-questions'!A:H,8,FALSE))</f>
        <v>N</v>
      </c>
      <c r="F18" s="5"/>
      <c r="G18" s="172">
        <f>IFERROR(VLOOKUP(F18,AnsNTBL,2,FALSE),0)</f>
        <v>0</v>
      </c>
      <c r="H18" s="102">
        <f>IFERROR(AVERAGE(G18,G25),0)</f>
        <v>0</v>
      </c>
      <c r="I18" s="324"/>
      <c r="J18" s="363">
        <f>SUM(H18,H20,H22)</f>
        <v>0</v>
      </c>
      <c r="K18" s="1"/>
      <c r="L18" s="131"/>
      <c r="M18" s="131"/>
      <c r="N18" s="131"/>
      <c r="O18" s="131"/>
      <c r="P18" s="131"/>
      <c r="Q18" s="1"/>
      <c r="R18" s="1"/>
      <c r="S18" s="1"/>
      <c r="T18" s="1"/>
      <c r="U18" s="1"/>
      <c r="V18" s="1"/>
      <c r="W18" s="1"/>
      <c r="X18" s="1"/>
      <c r="Y18" s="1"/>
      <c r="Z18" s="1"/>
    </row>
    <row r="19" spans="1:26" ht="63.75" x14ac:dyDescent="0.2">
      <c r="B19" s="360"/>
      <c r="C19" s="144"/>
      <c r="D19" s="183" t="str">
        <f>VLOOKUP(A18,'imp-questions'!A:H,7,FALSE)</f>
        <v xml:space="preserve">You have captured the risk appetite of your organization's executive leadership
Risks have been vetted and approved by the organization's leadership
You have identified the principal business and technical threats to your organization's assets and data
Risks have been documented and are accessible to relevant stakeholders
</v>
      </c>
      <c r="E19" s="169"/>
      <c r="F19" s="168"/>
      <c r="G19" s="170"/>
      <c r="H19" s="171"/>
      <c r="I19" s="354"/>
      <c r="J19" s="364"/>
      <c r="K19" s="1"/>
      <c r="L19" s="131"/>
      <c r="M19" s="131"/>
      <c r="N19" s="131"/>
      <c r="O19" s="131"/>
      <c r="P19" s="131"/>
      <c r="Q19" s="1"/>
      <c r="R19" s="1"/>
      <c r="S19" s="1"/>
      <c r="T19" s="1"/>
      <c r="U19" s="1"/>
      <c r="V19" s="1"/>
      <c r="W19" s="1"/>
      <c r="X19" s="1"/>
      <c r="Y19" s="1"/>
      <c r="Z19" s="1"/>
    </row>
    <row r="20" spans="1:26" x14ac:dyDescent="0.25">
      <c r="A20" s="162" t="s">
        <v>192</v>
      </c>
      <c r="B20" s="360"/>
      <c r="C20" s="207">
        <f>VLOOKUP(A20,'imp-questions'!A:H,5,FALSE)</f>
        <v>2</v>
      </c>
      <c r="D20" s="202" t="str">
        <f>VLOOKUP(A20,'imp-questions'!A:H,6,FALSE)</f>
        <v>Do you have a strategic plan for application security that is used to make decisions?</v>
      </c>
      <c r="E20" s="166" t="str">
        <f>CHAR(65+VLOOKUP(A20,'imp-questions'!A:H,8,FALSE))</f>
        <v>O</v>
      </c>
      <c r="F20" s="19"/>
      <c r="G20" s="18">
        <f>IFERROR(VLOOKUP(F20,AnsOTBL,2,FALSE),0)</f>
        <v>0</v>
      </c>
      <c r="H20" s="103">
        <f>IFERROR(AVERAGE(G20,G27),0)</f>
        <v>0</v>
      </c>
      <c r="I20" s="324"/>
      <c r="J20" s="11"/>
      <c r="K20" s="205"/>
      <c r="L20" s="131"/>
      <c r="M20" s="131"/>
      <c r="N20" s="131"/>
      <c r="O20" s="131"/>
      <c r="P20" s="131"/>
      <c r="Q20" s="205"/>
      <c r="R20" s="205"/>
      <c r="S20" s="205"/>
      <c r="T20" s="205"/>
      <c r="U20" s="205"/>
      <c r="V20" s="205"/>
      <c r="W20" s="205"/>
      <c r="X20" s="205"/>
      <c r="Y20" s="205"/>
      <c r="Z20" s="205"/>
    </row>
    <row r="21" spans="1:26" ht="76.5" x14ac:dyDescent="0.25">
      <c r="B21" s="360"/>
      <c r="C21" s="173"/>
      <c r="D21" s="183" t="str">
        <f>VLOOKUP(A20,'imp-questions'!A:H,7,FALSE)</f>
        <v xml:space="preserve">The plan reflects the organization's business priorities and risk appetite
The plan includes measurable milestones and a budget
Elements of the plan are consistent with the organization‚Äôs business drivers and risks
The plan lays out a roadmap for achieving strategic and tactical initiatives
You have obtained buy-in from organizational stakeholders, including development teams
</v>
      </c>
      <c r="E21" s="169"/>
      <c r="F21" s="174"/>
      <c r="G21" s="170"/>
      <c r="H21" s="175"/>
      <c r="I21" s="327"/>
      <c r="J21" s="11"/>
      <c r="K21" s="205"/>
      <c r="L21" s="131"/>
      <c r="M21" s="131"/>
      <c r="N21" s="131"/>
      <c r="O21" s="131"/>
      <c r="P21" s="131"/>
      <c r="Q21" s="205"/>
      <c r="R21" s="205"/>
      <c r="S21" s="205"/>
      <c r="T21" s="205"/>
      <c r="U21" s="205"/>
      <c r="V21" s="205"/>
      <c r="W21" s="205"/>
      <c r="X21" s="205"/>
      <c r="Y21" s="205"/>
      <c r="Z21" s="205"/>
    </row>
    <row r="22" spans="1:26" x14ac:dyDescent="0.25">
      <c r="A22" s="162" t="s">
        <v>195</v>
      </c>
      <c r="B22" s="360"/>
      <c r="C22" s="207">
        <f>VLOOKUP(A22,'imp-questions'!A:H,5,FALSE)</f>
        <v>3</v>
      </c>
      <c r="D22" s="202" t="str">
        <f>VLOOKUP(A22,'imp-questions'!A:H,6,FALSE)</f>
        <v>Do you regularly review and update the Strategic Plan for Application Security?</v>
      </c>
      <c r="E22" s="166" t="str">
        <f>CHAR(65+VLOOKUP(A22,'imp-questions'!A:H,8,FALSE))</f>
        <v>P</v>
      </c>
      <c r="F22" s="19"/>
      <c r="G22" s="18">
        <f>IFERROR(VLOOKUP(F22,AnsPTBL,2,FALSE),0)</f>
        <v>0</v>
      </c>
      <c r="H22" s="103">
        <f>IFERROR(AVERAGE(G22,G29),0)</f>
        <v>0</v>
      </c>
      <c r="I22" s="324"/>
      <c r="J22" s="11"/>
      <c r="K22" s="1"/>
      <c r="L22" s="131"/>
      <c r="M22" s="131"/>
      <c r="N22" s="131"/>
      <c r="O22" s="131"/>
      <c r="P22" s="131"/>
      <c r="Q22" s="1"/>
      <c r="R22" s="1"/>
      <c r="S22" s="1"/>
      <c r="T22" s="1"/>
      <c r="U22" s="1"/>
      <c r="V22" s="1"/>
      <c r="W22" s="1"/>
      <c r="X22" s="1"/>
      <c r="Y22" s="1"/>
      <c r="Z22" s="1"/>
    </row>
    <row r="23" spans="1:26" ht="76.5" x14ac:dyDescent="0.25">
      <c r="B23" s="361"/>
      <c r="C23" s="173"/>
      <c r="D23" s="183" t="str">
        <f>VLOOKUP(A22,'imp-questions'!A:H,7,FALSE)</f>
        <v xml:space="preserve">You review and update the plan, in response to significant changes in the business environment, the organization, or its risk appetite
Plan update steps include reviewing the plan with all the stakeholders and updating the business drivers and strategies
You adjust the plan and roadmap, based on lessons learned from completed roadmap activities
You publish progress information on roadmap activities, available to all stakeholders, including development teams
</v>
      </c>
      <c r="E23" s="169"/>
      <c r="F23" s="174"/>
      <c r="G23" s="170"/>
      <c r="H23" s="175"/>
      <c r="I23" s="327"/>
      <c r="J23" s="11"/>
      <c r="K23" s="1"/>
      <c r="L23" s="131"/>
      <c r="M23" s="131"/>
      <c r="N23" s="131"/>
      <c r="O23" s="131"/>
      <c r="P23" s="131"/>
      <c r="Q23" s="1"/>
      <c r="R23" s="1"/>
      <c r="S23" s="1"/>
      <c r="T23" s="1"/>
      <c r="U23" s="1"/>
      <c r="V23" s="1"/>
      <c r="W23" s="1"/>
      <c r="X23" s="1"/>
      <c r="Y23" s="1"/>
      <c r="Z23" s="1"/>
    </row>
    <row r="24" spans="1:26" x14ac:dyDescent="0.25">
      <c r="B24" s="340"/>
      <c r="C24" s="341"/>
      <c r="D24" s="341"/>
      <c r="E24" s="341"/>
      <c r="F24" s="341"/>
      <c r="G24" s="341"/>
      <c r="H24" s="341"/>
      <c r="I24" s="342"/>
      <c r="J24" s="11"/>
      <c r="K24" s="1"/>
      <c r="L24" s="131"/>
      <c r="M24" s="131"/>
      <c r="N24" s="131"/>
      <c r="O24" s="131"/>
      <c r="P24" s="131"/>
      <c r="Q24" s="1"/>
      <c r="R24" s="1"/>
      <c r="S24" s="1"/>
      <c r="T24" s="1"/>
      <c r="U24" s="1"/>
      <c r="V24" s="1"/>
      <c r="W24" s="1"/>
      <c r="X24" s="1"/>
      <c r="Y24" s="1"/>
      <c r="Z24" s="1"/>
    </row>
    <row r="25" spans="1:26" ht="25.5" x14ac:dyDescent="0.25">
      <c r="A25" s="162" t="s">
        <v>198</v>
      </c>
      <c r="B25" s="359" t="str">
        <f>VLOOKUP(A25,'imp-questions'!A:H,4,FALSE)</f>
        <v>Measure and Improve</v>
      </c>
      <c r="C25" s="207">
        <f>VLOOKUP(A25,'imp-questions'!A:H,5,FALSE)</f>
        <v>1</v>
      </c>
      <c r="D25" s="202" t="str">
        <f>VLOOKUP(A25,'imp-questions'!A:H,6,FALSE)</f>
        <v>Are you using a set of metrics to measure the effectiveness and efficiency of the application security program across applications?</v>
      </c>
      <c r="E25" s="164" t="str">
        <f>CHAR(65+VLOOKUP(A25,'imp-questions'!A:H,8,FALSE))</f>
        <v>Q</v>
      </c>
      <c r="F25" s="5"/>
      <c r="G25" s="18">
        <f>IFERROR(VLOOKUP(F25,AnsQTBL,2,FALSE),0)</f>
        <v>0</v>
      </c>
      <c r="H25" s="102"/>
      <c r="I25" s="324"/>
      <c r="J25" s="11"/>
      <c r="K25" s="1"/>
      <c r="L25" s="131"/>
      <c r="M25" s="131"/>
      <c r="N25" s="131"/>
      <c r="O25" s="131"/>
      <c r="P25" s="131"/>
      <c r="Q25" s="1"/>
      <c r="R25" s="1"/>
      <c r="S25" s="1"/>
      <c r="T25" s="1"/>
      <c r="U25" s="1"/>
      <c r="V25" s="1"/>
      <c r="W25" s="1"/>
      <c r="X25" s="1"/>
      <c r="Y25" s="1"/>
      <c r="Z25" s="1"/>
    </row>
    <row r="26" spans="1:26" ht="89.25" x14ac:dyDescent="0.25">
      <c r="B26" s="360"/>
      <c r="C26" s="144"/>
      <c r="D26" s="191" t="str">
        <f>VLOOKUP(A25,'imp-questions'!A:H,7,FALSE)</f>
        <v xml:space="preserve">Each metric is documented and includes a description of the sources, measurement coverage, and an understanding on how the metric can be used to describe or explain application security trends
Metrics include measures of Efforts, Results, and the Environment measurement categories
Majority of the metrics are frequently measured, easy or inexpensive to gather, and are expressed as a cardinal number or a percentage
Metrics are published and are accessible by application security and development teams
</v>
      </c>
      <c r="E26" s="165"/>
      <c r="F26" s="174"/>
      <c r="G26" s="170"/>
      <c r="H26" s="175"/>
      <c r="I26" s="354"/>
      <c r="J26" s="11"/>
      <c r="K26" s="1"/>
      <c r="L26" s="131"/>
      <c r="M26" s="131"/>
      <c r="N26" s="131"/>
      <c r="O26" s="131"/>
      <c r="P26" s="131"/>
      <c r="Q26" s="1"/>
      <c r="R26" s="1"/>
      <c r="S26" s="1"/>
      <c r="T26" s="1"/>
      <c r="U26" s="1"/>
      <c r="V26" s="1"/>
      <c r="W26" s="1"/>
      <c r="X26" s="1"/>
      <c r="Y26" s="1"/>
      <c r="Z26" s="1"/>
    </row>
    <row r="27" spans="1:26" x14ac:dyDescent="0.25">
      <c r="A27" s="162" t="s">
        <v>202</v>
      </c>
      <c r="B27" s="360"/>
      <c r="C27" s="207">
        <f>VLOOKUP(A27,'imp-questions'!A:H,5,FALSE)</f>
        <v>2</v>
      </c>
      <c r="D27" s="202" t="str">
        <f>VLOOKUP(A27,'imp-questions'!A:H,6,FALSE)</f>
        <v>Did you define Key Perfomance Indicators (KPI) from available application security metrics?</v>
      </c>
      <c r="E27" s="164" t="str">
        <f>CHAR(65+VLOOKUP(A27,'imp-questions'!A:H,8,FALSE))</f>
        <v>B</v>
      </c>
      <c r="F27" s="19"/>
      <c r="G27" s="18">
        <f>IFERROR(VLOOKUP(F27,AnsBTBL,2,FALSE),0)</f>
        <v>0</v>
      </c>
      <c r="H27" s="103"/>
      <c r="I27" s="324"/>
      <c r="J27" s="11"/>
      <c r="K27" s="205"/>
      <c r="L27" s="131"/>
      <c r="M27" s="131"/>
      <c r="N27" s="131"/>
      <c r="O27" s="131"/>
      <c r="P27" s="131"/>
      <c r="Q27" s="205"/>
      <c r="R27" s="205"/>
      <c r="S27" s="205"/>
      <c r="T27" s="205"/>
      <c r="U27" s="205"/>
      <c r="V27" s="205"/>
      <c r="W27" s="205"/>
      <c r="X27" s="205"/>
      <c r="Y27" s="205"/>
      <c r="Z27" s="205"/>
    </row>
    <row r="28" spans="1:26" ht="76.5" x14ac:dyDescent="0.25">
      <c r="B28" s="360"/>
      <c r="C28" s="173"/>
      <c r="D28" s="183" t="str">
        <f>VLOOKUP(A27,'imp-questions'!A:H,7,FALSE)</f>
        <v xml:space="preserve">KPIs are defined after enough information has been gathered to establish realistic objectives
KPIs have been developed with the buy-in from the leadership and teams responsible for application security
KPIs are documented and available to the application teams, and include actionable tresholds requiring immediate attention in the event KPIs reach levels considered unacceptable
Success of the application security program is clearly visible based on defined KPIs
</v>
      </c>
      <c r="E28" s="169"/>
      <c r="F28" s="174"/>
      <c r="G28" s="170"/>
      <c r="H28" s="175"/>
      <c r="I28" s="354"/>
      <c r="J28" s="11"/>
      <c r="K28" s="205"/>
      <c r="L28" s="131"/>
      <c r="M28" s="131"/>
      <c r="N28" s="131"/>
      <c r="O28" s="131"/>
      <c r="P28" s="131"/>
      <c r="Q28" s="205"/>
      <c r="R28" s="205"/>
      <c r="S28" s="205"/>
      <c r="T28" s="205"/>
      <c r="U28" s="205"/>
      <c r="V28" s="205"/>
      <c r="W28" s="205"/>
      <c r="X28" s="205"/>
      <c r="Y28" s="205"/>
      <c r="Z28" s="205"/>
    </row>
    <row r="29" spans="1:26" x14ac:dyDescent="0.25">
      <c r="A29" s="162" t="s">
        <v>205</v>
      </c>
      <c r="B29" s="360"/>
      <c r="C29" s="207">
        <f>VLOOKUP(A29,'imp-questions'!A:H,5,FALSE)</f>
        <v>3</v>
      </c>
      <c r="D29" s="202" t="str">
        <f>VLOOKUP(A29,'imp-questions'!A:H,6,FALSE)</f>
        <v>Do you influence the Application Security strategy and roadmap based on application security metrics and KPIs?</v>
      </c>
      <c r="E29" s="164" t="str">
        <f>CHAR(65+VLOOKUP(A29,'imp-questions'!A:H,8,FALSE))</f>
        <v>E</v>
      </c>
      <c r="F29" s="19"/>
      <c r="G29" s="18">
        <f>IFERROR(VLOOKUP(F29,AnsETBL,2,FALSE),0)</f>
        <v>0</v>
      </c>
      <c r="H29" s="103"/>
      <c r="I29" s="324"/>
      <c r="J29" s="11"/>
      <c r="K29" s="1"/>
      <c r="L29" s="131"/>
      <c r="M29" s="131"/>
      <c r="N29" s="131"/>
      <c r="O29" s="131"/>
      <c r="P29" s="131"/>
      <c r="Q29" s="1"/>
      <c r="R29" s="1"/>
      <c r="S29" s="1"/>
      <c r="T29" s="1"/>
      <c r="U29" s="1"/>
      <c r="V29" s="1"/>
      <c r="W29" s="1"/>
      <c r="X29" s="1"/>
      <c r="Y29" s="1"/>
      <c r="Z29" s="1"/>
    </row>
    <row r="30" spans="1:26" ht="38.25" x14ac:dyDescent="0.25">
      <c r="B30" s="361"/>
      <c r="C30" s="173"/>
      <c r="D30" s="183" t="str">
        <f>VLOOKUP(A29,'imp-questions'!A:H,7,FALSE)</f>
        <v xml:space="preserve">KPIs are reviewed regularly (at least yearly) for their efficiency and effectiveness
Majority of the changes to the application security strategy are triggered by KPIs and application security metrics
</v>
      </c>
      <c r="E30" s="169"/>
      <c r="F30" s="174"/>
      <c r="G30" s="170"/>
      <c r="H30" s="175"/>
      <c r="I30" s="354"/>
      <c r="J30" s="11"/>
      <c r="K30" s="1"/>
      <c r="L30" s="131"/>
      <c r="M30" s="131"/>
      <c r="N30" s="131"/>
      <c r="O30" s="131"/>
      <c r="P30" s="131"/>
      <c r="Q30" s="1"/>
      <c r="R30" s="1"/>
      <c r="S30" s="1"/>
      <c r="T30" s="1"/>
      <c r="U30" s="1"/>
      <c r="V30" s="1"/>
      <c r="W30" s="1"/>
      <c r="X30" s="1"/>
      <c r="Y30" s="1"/>
      <c r="Z30" s="1"/>
    </row>
    <row r="31" spans="1:26" ht="12.75" x14ac:dyDescent="0.2">
      <c r="B31" s="350" t="s">
        <v>22</v>
      </c>
      <c r="C31" s="351"/>
      <c r="D31" s="352"/>
      <c r="E31" s="153"/>
      <c r="F31" s="69" t="s">
        <v>34</v>
      </c>
      <c r="G31" s="69"/>
      <c r="H31" s="117"/>
      <c r="I31" s="68" t="s">
        <v>21</v>
      </c>
      <c r="J31" s="68" t="s">
        <v>32</v>
      </c>
      <c r="K31" s="1"/>
      <c r="L31" s="131"/>
      <c r="M31" s="131"/>
      <c r="N31" s="131"/>
      <c r="O31" s="131"/>
      <c r="P31" s="131"/>
      <c r="Q31" s="1"/>
      <c r="R31" s="1"/>
      <c r="S31" s="1"/>
      <c r="T31" s="1"/>
      <c r="U31" s="1"/>
      <c r="V31" s="1"/>
      <c r="W31" s="1"/>
      <c r="X31" s="1"/>
      <c r="Y31" s="1"/>
      <c r="Z31" s="1"/>
    </row>
    <row r="32" spans="1:26" ht="12.75" x14ac:dyDescent="0.2">
      <c r="A32" s="162" t="s">
        <v>491</v>
      </c>
      <c r="B32" s="359" t="str">
        <f>VLOOKUP(A32,'imp-questions'!A:H,4,FALSE)</f>
        <v>Policy and Standards</v>
      </c>
      <c r="C32" s="207">
        <f>VLOOKUP(A32,'imp-questions'!A:H,5,FALSE)</f>
        <v>1</v>
      </c>
      <c r="D32" s="202" t="str">
        <f>VLOOKUP(A32,'imp-questions'!A:H,6,FALSE)</f>
        <v>Have you developed a common set of policies and standards that are applied throughout your organization?</v>
      </c>
      <c r="E32" s="164" t="str">
        <f>CHAR(65+VLOOKUP(A32,'imp-questions'!A:H,8,FALSE))</f>
        <v>A</v>
      </c>
      <c r="F32" s="5"/>
      <c r="G32" s="18">
        <f>IFERROR(VLOOKUP(F32,AnsATBL,2,FALSE),0)</f>
        <v>0</v>
      </c>
      <c r="H32" s="102">
        <f>IFERROR(AVERAGE(G32,G39),0)</f>
        <v>0</v>
      </c>
      <c r="I32" s="324"/>
      <c r="J32" s="363">
        <f>SUM(H32,H34,H36)</f>
        <v>0</v>
      </c>
      <c r="K32" s="205"/>
      <c r="L32" s="131"/>
      <c r="M32" s="131"/>
      <c r="N32" s="131"/>
      <c r="O32" s="131"/>
      <c r="P32" s="131"/>
      <c r="Q32" s="205"/>
      <c r="R32" s="205"/>
      <c r="S32" s="205"/>
      <c r="T32" s="205"/>
      <c r="U32" s="205"/>
      <c r="V32" s="205"/>
      <c r="W32" s="205"/>
      <c r="X32" s="205"/>
      <c r="Y32" s="205"/>
      <c r="Z32" s="205"/>
    </row>
    <row r="33" spans="1:26" ht="25.5" x14ac:dyDescent="0.2">
      <c r="B33" s="360"/>
      <c r="C33" s="144"/>
      <c r="D33" s="191" t="str">
        <f>VLOOKUP(A32,'imp-questions'!A:H,7,FALSE)</f>
        <v>You have adapted existing standards appropriate for the organization’s industry, to account for domain-specific considerations
Your standards are aligned with your policies, and incorporate technology-specific implementation guidance</v>
      </c>
      <c r="E33" s="165"/>
      <c r="F33" s="174"/>
      <c r="G33" s="170"/>
      <c r="H33" s="171"/>
      <c r="I33" s="354"/>
      <c r="J33" s="364"/>
      <c r="K33" s="205"/>
      <c r="L33" s="131"/>
      <c r="M33" s="131"/>
      <c r="N33" s="131"/>
      <c r="O33" s="131"/>
      <c r="P33" s="131"/>
      <c r="Q33" s="205"/>
      <c r="R33" s="205"/>
      <c r="S33" s="205"/>
      <c r="T33" s="205"/>
      <c r="U33" s="205"/>
      <c r="V33" s="205"/>
      <c r="W33" s="205"/>
      <c r="X33" s="205"/>
      <c r="Y33" s="205"/>
      <c r="Z33" s="205"/>
    </row>
    <row r="34" spans="1:26" x14ac:dyDescent="0.25">
      <c r="A34" s="162" t="s">
        <v>492</v>
      </c>
      <c r="B34" s="360"/>
      <c r="C34" s="207">
        <f>VLOOKUP(A34,'imp-questions'!A:H,5,FALSE)</f>
        <v>2</v>
      </c>
      <c r="D34" s="202" t="str">
        <f>VLOOKUP(A34,'imp-questions'!A:H,6,FALSE)</f>
        <v>Do you have clearly documented, repeatable evaluation methods to test for adherence to policies and standards?</v>
      </c>
      <c r="E34" s="164" t="str">
        <f>CHAR(65+VLOOKUP(A34,'imp-questions'!A:H,8,FALSE))</f>
        <v>S</v>
      </c>
      <c r="F34" s="5"/>
      <c r="G34" s="18">
        <f>IFERROR(VLOOKUP(F34,AnsSTBL,2,FALSE),0)</f>
        <v>0</v>
      </c>
      <c r="H34" s="103">
        <f>IFERROR(AVERAGE(G34,G41),0)</f>
        <v>0</v>
      </c>
      <c r="I34" s="324"/>
      <c r="J34" s="11"/>
      <c r="K34" s="205"/>
      <c r="L34" s="131"/>
      <c r="M34" s="131"/>
      <c r="N34" s="131"/>
      <c r="O34" s="131"/>
      <c r="P34" s="131"/>
      <c r="Q34" s="205"/>
      <c r="R34" s="205"/>
      <c r="S34" s="205"/>
      <c r="T34" s="205"/>
      <c r="U34" s="205"/>
      <c r="V34" s="205"/>
      <c r="W34" s="205"/>
      <c r="X34" s="205"/>
      <c r="Y34" s="205"/>
      <c r="Z34" s="205"/>
    </row>
    <row r="35" spans="1:26" ht="38.25" x14ac:dyDescent="0.25">
      <c r="B35" s="360"/>
      <c r="C35" s="144"/>
      <c r="D35" s="191" t="str">
        <f>VLOOKUP(A34,'imp-questions'!A:H,7,FALSE)</f>
        <v>You have created verification checklists and test scripts (where applicable), aligned with the policy's requirements, and the implementation guidance in the associated standard(s)
You have created versions adapted to each development methodology/technology in use within the organization</v>
      </c>
      <c r="E35" s="165"/>
      <c r="F35" s="174"/>
      <c r="G35" s="170"/>
      <c r="H35" s="175"/>
      <c r="I35" s="327"/>
      <c r="J35" s="11"/>
      <c r="K35" s="205"/>
      <c r="L35" s="131"/>
      <c r="M35" s="131"/>
      <c r="N35" s="131"/>
      <c r="O35" s="131"/>
      <c r="P35" s="131"/>
      <c r="Q35" s="205"/>
      <c r="R35" s="205"/>
      <c r="S35" s="205"/>
      <c r="T35" s="205"/>
      <c r="U35" s="205"/>
      <c r="V35" s="205"/>
      <c r="W35" s="205"/>
      <c r="X35" s="205"/>
      <c r="Y35" s="205"/>
      <c r="Z35" s="205"/>
    </row>
    <row r="36" spans="1:26" ht="25.5" x14ac:dyDescent="0.25">
      <c r="A36" s="162" t="s">
        <v>493</v>
      </c>
      <c r="B36" s="360"/>
      <c r="C36" s="207">
        <f>VLOOKUP(A36,'imp-questions'!A:H,5,FALSE)</f>
        <v>3</v>
      </c>
      <c r="D36" s="202" t="str">
        <f>VLOOKUP(A36,'imp-questions'!A:H,6,FALSE)</f>
        <v>Do you regularly report on policy and standard compliance, and use that information to guide compliance improvement efforts?</v>
      </c>
      <c r="E36" s="164" t="str">
        <f>CHAR(65+VLOOKUP(A36,'imp-questions'!A:H,8,FALSE))</f>
        <v>P</v>
      </c>
      <c r="F36" s="5"/>
      <c r="G36" s="18">
        <f>IFERROR(VLOOKUP(F36,AnsPTBL,2,FALSE),0)</f>
        <v>0</v>
      </c>
      <c r="H36" s="103">
        <f>IFERROR(AVERAGE(G36,G43),0)</f>
        <v>0</v>
      </c>
      <c r="I36" s="324"/>
      <c r="J36" s="11"/>
      <c r="K36" s="205"/>
      <c r="L36" s="131"/>
      <c r="M36" s="131"/>
      <c r="N36" s="131"/>
      <c r="O36" s="131"/>
      <c r="P36" s="131"/>
      <c r="Q36" s="205"/>
      <c r="R36" s="205"/>
      <c r="S36" s="205"/>
      <c r="T36" s="205"/>
      <c r="U36" s="205"/>
      <c r="V36" s="205"/>
      <c r="W36" s="205"/>
      <c r="X36" s="205"/>
      <c r="Y36" s="205"/>
      <c r="Z36" s="205"/>
    </row>
    <row r="37" spans="1:26" ht="38.25" x14ac:dyDescent="0.25">
      <c r="B37" s="361"/>
      <c r="C37" s="144"/>
      <c r="D37" s="191" t="str">
        <f>VLOOKUP(A36,'imp-questions'!A:H,7,FALSE)</f>
        <v>You have procedures (automated, if possible) in place, to regularly generate compliance reports
You have ensured compliance reports are delivered to all relevant stakeholders
Stakeholders use the reported compliance status information to identify areas for improvement</v>
      </c>
      <c r="E37" s="165"/>
      <c r="F37" s="174"/>
      <c r="G37" s="170"/>
      <c r="H37" s="175"/>
      <c r="I37" s="327"/>
      <c r="J37" s="11"/>
      <c r="K37" s="205"/>
      <c r="L37" s="131"/>
      <c r="M37" s="131"/>
      <c r="N37" s="131"/>
      <c r="O37" s="131"/>
      <c r="P37" s="131"/>
      <c r="Q37" s="205"/>
      <c r="R37" s="205"/>
      <c r="S37" s="205"/>
      <c r="T37" s="205"/>
      <c r="U37" s="205"/>
      <c r="V37" s="205"/>
      <c r="W37" s="205"/>
      <c r="X37" s="205"/>
      <c r="Y37" s="205"/>
      <c r="Z37" s="205"/>
    </row>
    <row r="38" spans="1:26" x14ac:dyDescent="0.25">
      <c r="B38" s="356"/>
      <c r="C38" s="357"/>
      <c r="D38" s="357"/>
      <c r="E38" s="357"/>
      <c r="F38" s="357"/>
      <c r="G38" s="357"/>
      <c r="H38" s="357"/>
      <c r="I38" s="358"/>
      <c r="J38" s="10"/>
      <c r="K38" s="1"/>
      <c r="L38" s="131"/>
      <c r="M38" s="131"/>
      <c r="N38" s="131"/>
      <c r="O38" s="131"/>
      <c r="P38" s="131"/>
      <c r="Q38" s="1"/>
      <c r="R38" s="1"/>
      <c r="S38" s="1"/>
      <c r="T38" s="1"/>
      <c r="U38" s="1"/>
      <c r="V38" s="1"/>
      <c r="W38" s="1"/>
      <c r="X38" s="1"/>
      <c r="Y38" s="1"/>
      <c r="Z38" s="1"/>
    </row>
    <row r="39" spans="1:26" x14ac:dyDescent="0.25">
      <c r="A39" s="162" t="s">
        <v>494</v>
      </c>
      <c r="B39" s="359" t="str">
        <f>VLOOKUP(A39,'imp-questions'!A:H,4,FALSE)</f>
        <v>Compliance Management</v>
      </c>
      <c r="C39" s="207">
        <f>VLOOKUP(A39,'imp-questions'!A:H,5,FALSE)</f>
        <v>1</v>
      </c>
      <c r="D39" s="202" t="str">
        <f>VLOOKUP(A39,'imp-questions'!A:H,6,FALSE)</f>
        <v>Do you have a complete picture of your external compliance obligations?</v>
      </c>
      <c r="E39" s="164" t="str">
        <f>CHAR(65+VLOOKUP(A39,'imp-questions'!A:H,8,FALSE))</f>
        <v>A</v>
      </c>
      <c r="F39" s="197"/>
      <c r="G39" s="18">
        <f>IFERROR(VLOOKUP(F39,AnsATBL,2,FALSE),0)</f>
        <v>0</v>
      </c>
      <c r="H39" s="195"/>
      <c r="I39" s="355"/>
      <c r="J39" s="11"/>
      <c r="K39" s="1"/>
      <c r="L39" s="131"/>
      <c r="M39" s="131"/>
      <c r="N39" s="131"/>
      <c r="O39" s="131"/>
      <c r="P39" s="131"/>
      <c r="Q39" s="1"/>
      <c r="R39" s="1"/>
      <c r="S39" s="1"/>
      <c r="T39" s="1"/>
      <c r="U39" s="1"/>
      <c r="V39" s="1"/>
      <c r="W39" s="1"/>
      <c r="X39" s="1"/>
      <c r="Y39" s="1"/>
      <c r="Z39" s="1"/>
    </row>
    <row r="40" spans="1:26" ht="25.5" x14ac:dyDescent="0.25">
      <c r="B40" s="360"/>
      <c r="C40" s="144"/>
      <c r="D40" s="191" t="str">
        <f>VLOOKUP(A39,'imp-questions'!A:H,7,FALSE)</f>
        <v>You have identified all sources of external compliance obligations
You have captured and reconciled compliance obligations from all sources</v>
      </c>
      <c r="E40" s="169"/>
      <c r="F40" s="26"/>
      <c r="G40" s="22"/>
      <c r="H40" s="115"/>
      <c r="I40" s="323"/>
      <c r="J40" s="11"/>
      <c r="K40" s="1"/>
      <c r="L40" s="131"/>
      <c r="M40" s="131"/>
      <c r="N40" s="131"/>
      <c r="O40" s="131"/>
      <c r="P40" s="131"/>
      <c r="Q40" s="1"/>
      <c r="R40" s="1"/>
      <c r="S40" s="1"/>
      <c r="T40" s="1"/>
      <c r="U40" s="1"/>
      <c r="V40" s="1"/>
      <c r="W40" s="1"/>
      <c r="X40" s="1"/>
      <c r="Y40" s="1"/>
      <c r="Z40" s="1"/>
    </row>
    <row r="41" spans="1:26" ht="25.5" x14ac:dyDescent="0.25">
      <c r="A41" s="162" t="s">
        <v>495</v>
      </c>
      <c r="B41" s="360"/>
      <c r="C41" s="207">
        <f>VLOOKUP(A41,'imp-questions'!A:H,5,FALSE)</f>
        <v>2</v>
      </c>
      <c r="D41" s="202" t="str">
        <f>VLOOKUP(A41,'imp-questions'!A:H,6,FALSE)</f>
        <v>Do you have a standard set of security requirements, and verification procedures, addressing the organization's external compliance obligations?</v>
      </c>
      <c r="E41" s="164" t="str">
        <f>CHAR(65+VLOOKUP(A41,'imp-questions'!A:H,8,FALSE))</f>
        <v>A</v>
      </c>
      <c r="F41" s="197"/>
      <c r="G41" s="18">
        <f>IFERROR(VLOOKUP(F41,AnsATBL,2,FALSE),0)</f>
        <v>0</v>
      </c>
      <c r="H41" s="195"/>
      <c r="I41" s="324"/>
      <c r="J41" s="11"/>
      <c r="K41" s="205"/>
      <c r="L41" s="131"/>
      <c r="M41" s="131"/>
      <c r="N41" s="131"/>
      <c r="O41" s="131"/>
      <c r="P41" s="131"/>
      <c r="Q41" s="205"/>
      <c r="R41" s="205"/>
      <c r="S41" s="205"/>
      <c r="T41" s="205"/>
      <c r="U41" s="205"/>
      <c r="V41" s="205"/>
      <c r="W41" s="205"/>
      <c r="X41" s="205"/>
      <c r="Y41" s="205"/>
      <c r="Z41" s="205"/>
    </row>
    <row r="42" spans="1:26" ht="38.25" x14ac:dyDescent="0.25">
      <c r="B42" s="360"/>
      <c r="C42" s="144"/>
      <c r="D42" s="191" t="str">
        <f>VLOOKUP(A41,'imp-questions'!A:H,7,FALSE)</f>
        <v>You have mapped each external compliance obligation to a well-defined set of application requirements
You have defined verification procedures, including automated tests (when possible), to verify compliance with compliance-related requirements</v>
      </c>
      <c r="E42" s="169"/>
      <c r="F42" s="26"/>
      <c r="G42" s="22"/>
      <c r="H42" s="115"/>
      <c r="I42" s="323"/>
      <c r="J42" s="11"/>
      <c r="K42" s="205"/>
      <c r="L42" s="131"/>
      <c r="M42" s="131"/>
      <c r="N42" s="131"/>
      <c r="O42" s="131"/>
      <c r="P42" s="131"/>
      <c r="Q42" s="205"/>
      <c r="R42" s="205"/>
      <c r="S42" s="205"/>
      <c r="T42" s="205"/>
      <c r="U42" s="205"/>
      <c r="V42" s="205"/>
      <c r="W42" s="205"/>
      <c r="X42" s="205"/>
      <c r="Y42" s="205"/>
      <c r="Z42" s="205"/>
    </row>
    <row r="43" spans="1:26" ht="25.5" x14ac:dyDescent="0.25">
      <c r="A43" s="162" t="s">
        <v>496</v>
      </c>
      <c r="B43" s="360"/>
      <c r="C43" s="207">
        <f>VLOOKUP(A43,'imp-questions'!A:H,5,FALSE)</f>
        <v>3</v>
      </c>
      <c r="D43" s="202" t="str">
        <f>VLOOKUP(A43,'imp-questions'!A:H,6,FALSE)</f>
        <v>Do you regularly report on adherence to external compliance obligations, and use that information to guide efforts to close compliance gaps?</v>
      </c>
      <c r="E43" s="164" t="str">
        <f>CHAR(65+VLOOKUP(A43,'imp-questions'!A:H,8,FALSE))</f>
        <v>A</v>
      </c>
      <c r="F43" s="197"/>
      <c r="G43" s="18">
        <f>IFERROR(VLOOKUP(F43,AnsATBL,2,FALSE),0)</f>
        <v>0</v>
      </c>
      <c r="H43" s="195"/>
      <c r="I43" s="324"/>
      <c r="J43" s="11"/>
      <c r="K43" s="1"/>
      <c r="L43" s="131"/>
      <c r="M43" s="131"/>
      <c r="N43" s="131"/>
      <c r="O43" s="131"/>
      <c r="P43" s="131"/>
      <c r="Q43" s="1"/>
      <c r="R43" s="1"/>
      <c r="S43" s="1"/>
      <c r="T43" s="1"/>
      <c r="U43" s="1"/>
      <c r="V43" s="1"/>
      <c r="W43" s="1"/>
      <c r="X43" s="1"/>
      <c r="Y43" s="1"/>
      <c r="Z43" s="1"/>
    </row>
    <row r="44" spans="1:26" ht="51" x14ac:dyDescent="0.25">
      <c r="B44" s="361"/>
      <c r="C44" s="144"/>
      <c r="D44" s="183" t="str">
        <f>VLOOKUP(A43,'imp-questions'!A:H,7,FALSE)</f>
        <v xml:space="preserve">You have established, well-defined compliance metrics
You measure and report on applications' compliance metrics following a regular cadence
Stakeholders use the reported compliance status information to identify compliance gaps, and prioritize gap remediation efforts </v>
      </c>
      <c r="E44" s="169"/>
      <c r="F44" s="26"/>
      <c r="G44" s="22"/>
      <c r="H44" s="115"/>
      <c r="I44" s="323"/>
      <c r="J44" s="11"/>
      <c r="K44" s="1"/>
      <c r="L44" s="131"/>
      <c r="M44" s="131"/>
      <c r="N44" s="131"/>
      <c r="O44" s="131"/>
      <c r="P44" s="131"/>
      <c r="Q44" s="1"/>
      <c r="R44" s="1"/>
      <c r="S44" s="1"/>
      <c r="T44" s="1"/>
      <c r="U44" s="1"/>
      <c r="V44" s="1"/>
      <c r="W44" s="1"/>
      <c r="X44" s="1"/>
      <c r="Y44" s="1"/>
      <c r="Z44" s="1"/>
    </row>
    <row r="45" spans="1:26" ht="12.75" x14ac:dyDescent="0.2">
      <c r="B45" s="350" t="s">
        <v>23</v>
      </c>
      <c r="C45" s="351"/>
      <c r="D45" s="352"/>
      <c r="E45" s="153"/>
      <c r="F45" s="69" t="s">
        <v>34</v>
      </c>
      <c r="G45" s="69"/>
      <c r="H45" s="117"/>
      <c r="I45" s="68" t="s">
        <v>21</v>
      </c>
      <c r="J45" s="68" t="s">
        <v>32</v>
      </c>
      <c r="K45" s="1"/>
      <c r="L45" s="131"/>
      <c r="M45" s="131"/>
      <c r="N45" s="131"/>
      <c r="O45" s="131"/>
      <c r="P45" s="131"/>
      <c r="Q45" s="1"/>
      <c r="R45" s="1"/>
      <c r="S45" s="1"/>
      <c r="T45" s="1"/>
      <c r="U45" s="1"/>
      <c r="V45" s="1"/>
      <c r="W45" s="1"/>
      <c r="X45" s="1"/>
      <c r="Y45" s="1"/>
      <c r="Z45" s="1"/>
    </row>
    <row r="46" spans="1:26" ht="12.75" x14ac:dyDescent="0.2">
      <c r="A46" s="159" t="s">
        <v>208</v>
      </c>
      <c r="B46" s="359" t="str">
        <f>VLOOKUP(A46,'imp-questions'!A:H,4,FALSE)</f>
        <v>Training and Awareness</v>
      </c>
      <c r="C46" s="207">
        <f>VLOOKUP(A46,'imp-questions'!A:H,5,FALSE)</f>
        <v>1</v>
      </c>
      <c r="D46" s="202" t="str">
        <f>VLOOKUP(A46,'imp-questions'!A:H,6,FALSE)</f>
        <v>Do you require employees involved with application development to take SDLC training?</v>
      </c>
      <c r="E46" s="164" t="str">
        <f>CHAR(65+VLOOKUP(A46,'imp-questions'!A:H,8,FALSE))</f>
        <v>B</v>
      </c>
      <c r="F46" s="5"/>
      <c r="G46" s="18">
        <f>IFERROR(VLOOKUP(F46,AnsBTBL,2,FALSE),0)</f>
        <v>0</v>
      </c>
      <c r="H46" s="212">
        <f>IFERROR(AVERAGE(G46,G53),0)</f>
        <v>0</v>
      </c>
      <c r="I46" s="331"/>
      <c r="J46" s="410">
        <f>SUM(H46,H48,H50)</f>
        <v>0</v>
      </c>
      <c r="K46" s="1"/>
      <c r="L46" s="131"/>
      <c r="M46" s="131"/>
      <c r="N46" s="131"/>
      <c r="O46" s="131"/>
      <c r="P46" s="131"/>
      <c r="Q46" s="1"/>
      <c r="R46" s="1"/>
      <c r="S46" s="1"/>
      <c r="T46" s="1"/>
      <c r="U46" s="1"/>
      <c r="V46" s="1"/>
      <c r="W46" s="1"/>
      <c r="X46" s="1"/>
      <c r="Y46" s="1"/>
      <c r="Z46" s="1"/>
    </row>
    <row r="47" spans="1:26" ht="102" x14ac:dyDescent="0.2">
      <c r="B47" s="360"/>
      <c r="C47" s="144"/>
      <c r="D47" s="191" t="str">
        <f>VLOOKUP(A46,'imp-questions'!A:H,7,FALSE)</f>
        <v xml:space="preserve">Training is repeatable, consistent, and available to anyone involved with software development lifecycle.
Training includes the latest OWASP Top 10 if appropriate.
Training includes multiple concepts such as Least Privilege, Defense-in-Depth, Fail Secure (Safe), Complete Mediation, Session Management, Open Design, and Psychological Acceptability.
Training requires a sign-off or an acknowledgement from each attendee.
The training been updated in the last 12 months.
Employees are required to go through the training during the onboarding process.
</v>
      </c>
      <c r="E47" s="169"/>
      <c r="F47" s="174"/>
      <c r="G47" s="170"/>
      <c r="H47" s="213"/>
      <c r="I47" s="332"/>
      <c r="J47" s="411"/>
      <c r="K47" s="1"/>
      <c r="L47" s="131"/>
      <c r="M47" s="131"/>
      <c r="N47" s="131"/>
      <c r="O47" s="131"/>
      <c r="P47" s="131"/>
      <c r="Q47" s="1"/>
      <c r="R47" s="1"/>
      <c r="S47" s="1"/>
      <c r="T47" s="1"/>
      <c r="U47" s="1"/>
      <c r="V47" s="1"/>
      <c r="W47" s="1"/>
      <c r="X47" s="1"/>
      <c r="Y47" s="1"/>
      <c r="Z47" s="1"/>
    </row>
    <row r="48" spans="1:26" x14ac:dyDescent="0.25">
      <c r="A48" s="159" t="s">
        <v>212</v>
      </c>
      <c r="B48" s="360"/>
      <c r="C48" s="207">
        <f>VLOOKUP(A48,'imp-questions'!A:H,5,FALSE)</f>
        <v>2</v>
      </c>
      <c r="D48" s="202" t="str">
        <f>VLOOKUP(A48,'imp-questions'!A:H,6,FALSE)</f>
        <v>Has the training been customized for individual roles, such as developers, testers, or security champions?</v>
      </c>
      <c r="E48" s="166" t="str">
        <f>CHAR(65+VLOOKUP(A48,'imp-questions'!A:H,8,FALSE))</f>
        <v>C</v>
      </c>
      <c r="F48" s="19"/>
      <c r="G48" s="18">
        <f>IFERROR(VLOOKUP(F48,AnsCTBL,2,FALSE),0)</f>
        <v>0</v>
      </c>
      <c r="H48" s="214">
        <f>IFERROR(AVERAGE(G48,G55),0)</f>
        <v>0</v>
      </c>
      <c r="I48" s="325"/>
      <c r="J48" s="215"/>
      <c r="K48" s="205"/>
      <c r="L48" s="131"/>
      <c r="M48" s="131"/>
      <c r="N48" s="131"/>
      <c r="O48" s="131"/>
      <c r="P48" s="131"/>
      <c r="Q48" s="205"/>
      <c r="R48" s="205"/>
      <c r="S48" s="205"/>
      <c r="T48" s="205"/>
      <c r="U48" s="205"/>
      <c r="V48" s="205"/>
      <c r="W48" s="205"/>
      <c r="X48" s="205"/>
      <c r="Y48" s="205"/>
      <c r="Z48" s="205"/>
    </row>
    <row r="49" spans="1:26" ht="76.5" x14ac:dyDescent="0.25">
      <c r="B49" s="360"/>
      <c r="C49" s="144"/>
      <c r="D49" s="191" t="str">
        <f>VLOOKUP(A48,'imp-questions'!A:H,7,FALSE)</f>
        <v xml:space="preserve">Training includes all topics covered within maturity level 1, and adds more specific tools, techniques, and demonstrations
Training is mandatory for all employees and contractors.
The training includes input from in-house SMEs and trainees.
Training includes demonstrations of tools and techniques developed in-house.
Feedback collected post training is used to enhance and make future training more relevant.
</v>
      </c>
      <c r="E49" s="169"/>
      <c r="F49" s="174"/>
      <c r="G49" s="170"/>
      <c r="H49" s="216"/>
      <c r="I49" s="326"/>
      <c r="J49" s="215"/>
      <c r="K49" s="205"/>
      <c r="L49" s="131"/>
      <c r="M49" s="131"/>
      <c r="N49" s="131"/>
      <c r="O49" s="131"/>
      <c r="P49" s="131"/>
      <c r="Q49" s="205"/>
      <c r="R49" s="205"/>
      <c r="S49" s="205"/>
      <c r="T49" s="205"/>
      <c r="U49" s="205"/>
      <c r="V49" s="205"/>
      <c r="W49" s="205"/>
      <c r="X49" s="205"/>
      <c r="Y49" s="205"/>
      <c r="Z49" s="205"/>
    </row>
    <row r="50" spans="1:26" ht="25.5" x14ac:dyDescent="0.25">
      <c r="A50" s="159" t="s">
        <v>215</v>
      </c>
      <c r="B50" s="360"/>
      <c r="C50" s="207">
        <f>VLOOKUP(A50,'imp-questions'!A:H,5,FALSE)</f>
        <v>3</v>
      </c>
      <c r="D50" s="202" t="str">
        <f>VLOOKUP(A50,'imp-questions'!A:H,6,FALSE)</f>
        <v>Have you implemented a Learning Management System or equivalent to track employee training / certification processes?</v>
      </c>
      <c r="E50" s="166" t="str">
        <f>CHAR(65+VLOOKUP(A50,'imp-questions'!A:H,8,FALSE))</f>
        <v>D</v>
      </c>
      <c r="F50" s="19"/>
      <c r="G50" s="18">
        <f>IFERROR(VLOOKUP(F50,AnsDTBL,2,FALSE),0)</f>
        <v>0</v>
      </c>
      <c r="H50" s="214">
        <f>IFERROR(AVERAGE(G50,G57),0)</f>
        <v>0</v>
      </c>
      <c r="I50" s="353"/>
      <c r="J50" s="215"/>
      <c r="K50" s="1"/>
      <c r="L50" s="131"/>
      <c r="M50" s="131"/>
      <c r="N50" s="131"/>
      <c r="O50" s="131"/>
      <c r="P50" s="131"/>
      <c r="Q50" s="1"/>
      <c r="R50" s="1"/>
      <c r="S50" s="1"/>
      <c r="T50" s="1"/>
      <c r="U50" s="1"/>
      <c r="V50" s="1"/>
      <c r="W50" s="1"/>
      <c r="X50" s="1"/>
      <c r="Y50" s="1"/>
      <c r="Z50" s="1"/>
    </row>
    <row r="51" spans="1:26" ht="63.75" x14ac:dyDescent="0.25">
      <c r="B51" s="361"/>
      <c r="C51" s="173"/>
      <c r="D51" s="183" t="str">
        <f>VLOOKUP(A50,'imp-questions'!A:H,7,FALSE)</f>
        <v xml:space="preserve">A Learning Management System (LMS) is used to track training and any certifications
Training is based on internal standards, policies, and procedures instead of general "best-practices"
Training is mandatory, and the certification program or attendance record is used to determine access to development systems and resources.
</v>
      </c>
      <c r="E51" s="169"/>
      <c r="F51" s="174"/>
      <c r="G51" s="170"/>
      <c r="H51" s="216"/>
      <c r="I51" s="326"/>
      <c r="J51" s="215"/>
      <c r="K51" s="1"/>
      <c r="L51" s="131"/>
      <c r="M51" s="131"/>
      <c r="N51" s="131"/>
      <c r="O51" s="131"/>
      <c r="P51" s="131"/>
      <c r="Q51" s="1"/>
      <c r="R51" s="1"/>
      <c r="S51" s="1"/>
      <c r="T51" s="1"/>
      <c r="U51" s="1"/>
      <c r="V51" s="1"/>
      <c r="W51" s="1"/>
      <c r="X51" s="1"/>
      <c r="Y51" s="1"/>
      <c r="Z51" s="1"/>
    </row>
    <row r="52" spans="1:26" x14ac:dyDescent="0.25">
      <c r="B52" s="340"/>
      <c r="C52" s="341"/>
      <c r="D52" s="341"/>
      <c r="E52" s="341"/>
      <c r="F52" s="341"/>
      <c r="G52" s="341"/>
      <c r="H52" s="341"/>
      <c r="I52" s="342"/>
      <c r="J52" s="11"/>
      <c r="K52" s="1"/>
      <c r="L52" s="131"/>
      <c r="M52" s="131"/>
      <c r="N52" s="131"/>
      <c r="O52" s="131"/>
      <c r="P52" s="131"/>
      <c r="Q52" s="1"/>
      <c r="R52" s="1"/>
      <c r="S52" s="1"/>
      <c r="T52" s="1"/>
      <c r="U52" s="1"/>
      <c r="V52" s="1"/>
      <c r="W52" s="1"/>
      <c r="X52" s="1"/>
      <c r="Y52" s="1"/>
      <c r="Z52" s="1"/>
    </row>
    <row r="53" spans="1:26" x14ac:dyDescent="0.25">
      <c r="A53" s="159" t="s">
        <v>217</v>
      </c>
      <c r="B53" s="359" t="str">
        <f>VLOOKUP(A53,'imp-questions'!A:H,4,FALSE)</f>
        <v>Organization and Culture</v>
      </c>
      <c r="C53" s="207">
        <f>VLOOKUP(A53,'imp-questions'!A:H,5,FALSE)</f>
        <v>1</v>
      </c>
      <c r="D53" s="202" t="str">
        <f>VLOOKUP(A53,'imp-questions'!A:H,6,FALSE)</f>
        <v>Have you identified a "Security Champion" for each development team?</v>
      </c>
      <c r="E53" s="164" t="str">
        <f>CHAR(65+VLOOKUP(A53,'imp-questions'!A:H,8,FALSE))</f>
        <v>E</v>
      </c>
      <c r="F53" s="5"/>
      <c r="G53" s="18">
        <f>IFERROR(VLOOKUP(F53,AnsETBL,2,FALSE),0)</f>
        <v>0</v>
      </c>
      <c r="H53" s="103"/>
      <c r="I53" s="324"/>
      <c r="J53" s="11"/>
      <c r="K53" s="1"/>
      <c r="L53" s="131"/>
      <c r="M53" s="131"/>
      <c r="N53" s="131"/>
      <c r="O53" s="131"/>
      <c r="P53" s="131"/>
      <c r="Q53" s="1"/>
      <c r="R53" s="1"/>
      <c r="S53" s="1"/>
      <c r="T53" s="1"/>
      <c r="U53" s="1"/>
      <c r="V53" s="1"/>
      <c r="W53" s="1"/>
      <c r="X53" s="1"/>
      <c r="Y53" s="1"/>
      <c r="Z53" s="1"/>
    </row>
    <row r="54" spans="1:26" ht="76.5" x14ac:dyDescent="0.25">
      <c r="B54" s="360"/>
      <c r="C54" s="144"/>
      <c r="D54" s="191" t="str">
        <f>VLOOKUP(A53,'imp-questions'!A:H,7,FALSE)</f>
        <v xml:space="preserve">Each development team has a Security Champion assigned to them
Security Champions receive appropriate training to ensure effectiveness
Application Security and Development teams receive periodic briefings from Security Champions on the overall status of security initiatives and fixes
Results of external testing are reviewed by the Security Champion prior to adding to the application backlog
</v>
      </c>
      <c r="E54" s="165"/>
      <c r="F54" s="174"/>
      <c r="G54" s="170"/>
      <c r="H54" s="175"/>
      <c r="I54" s="354"/>
      <c r="J54" s="11"/>
      <c r="K54" s="1"/>
      <c r="L54" s="131"/>
      <c r="M54" s="131"/>
      <c r="N54" s="131"/>
      <c r="O54" s="131"/>
      <c r="P54" s="131"/>
      <c r="Q54" s="1"/>
      <c r="R54" s="1"/>
      <c r="S54" s="1"/>
      <c r="T54" s="1"/>
      <c r="U54" s="1"/>
      <c r="V54" s="1"/>
      <c r="W54" s="1"/>
      <c r="X54" s="1"/>
      <c r="Y54" s="1"/>
      <c r="Z54" s="1"/>
    </row>
    <row r="55" spans="1:26" x14ac:dyDescent="0.25">
      <c r="A55" s="159" t="s">
        <v>220</v>
      </c>
      <c r="B55" s="360"/>
      <c r="C55" s="207">
        <f>VLOOKUP(A55,'imp-questions'!A:H,5,FALSE)</f>
        <v>2</v>
      </c>
      <c r="D55" s="202" t="str">
        <f>VLOOKUP(A55,'imp-questions'!A:H,6,FALSE)</f>
        <v>Does the organization have a Secure Software Center of Excellence (SSCE)?</v>
      </c>
      <c r="E55" s="164" t="str">
        <f>CHAR(65+VLOOKUP(A55,'imp-questions'!A:H,8,FALSE))</f>
        <v>F</v>
      </c>
      <c r="F55" s="19"/>
      <c r="G55" s="18">
        <f>IFERROR(VLOOKUP(F55,AnsFTBL,2,FALSE),0)</f>
        <v>0</v>
      </c>
      <c r="H55" s="103"/>
      <c r="I55" s="324"/>
      <c r="J55" s="11"/>
      <c r="K55" s="205"/>
      <c r="L55" s="131"/>
      <c r="M55" s="131"/>
      <c r="N55" s="131"/>
      <c r="O55" s="131"/>
      <c r="P55" s="131"/>
      <c r="Q55" s="205"/>
      <c r="R55" s="205"/>
      <c r="S55" s="205"/>
      <c r="T55" s="205"/>
      <c r="U55" s="205"/>
      <c r="V55" s="205"/>
      <c r="W55" s="205"/>
      <c r="X55" s="205"/>
      <c r="Y55" s="205"/>
      <c r="Z55" s="205"/>
    </row>
    <row r="56" spans="1:26" ht="63.75" x14ac:dyDescent="0.25">
      <c r="B56" s="360"/>
      <c r="C56" s="144"/>
      <c r="D56" s="191" t="str">
        <f>VLOOKUP(A55,'imp-questions'!A:H,7,FALSE)</f>
        <v xml:space="preserve">The SSCE has a formal charter defining its role in the organization.
Development teams review all significant architectural changes with SSCE
The SSCE publishes SDLC standards and guidelines related to Application Security
Identified "Product Champions" are responsible for promotion of use and specific security tools.
</v>
      </c>
      <c r="E56" s="169"/>
      <c r="F56" s="174"/>
      <c r="G56" s="170"/>
      <c r="H56" s="175"/>
      <c r="I56" s="327"/>
      <c r="J56" s="11"/>
      <c r="K56" s="205"/>
      <c r="L56" s="131"/>
      <c r="M56" s="131"/>
      <c r="N56" s="131"/>
      <c r="O56" s="131"/>
      <c r="P56" s="131"/>
      <c r="Q56" s="205"/>
      <c r="R56" s="205"/>
      <c r="S56" s="205"/>
      <c r="T56" s="205"/>
      <c r="U56" s="205"/>
      <c r="V56" s="205"/>
      <c r="W56" s="205"/>
      <c r="X56" s="205"/>
      <c r="Y56" s="205"/>
      <c r="Z56" s="205"/>
    </row>
    <row r="57" spans="1:26" ht="25.5" x14ac:dyDescent="0.25">
      <c r="A57" s="159" t="s">
        <v>222</v>
      </c>
      <c r="B57" s="360"/>
      <c r="C57" s="207">
        <f>VLOOKUP(A57,'imp-questions'!A:H,5,FALSE)</f>
        <v>3</v>
      </c>
      <c r="D57" s="202" t="str">
        <f>VLOOKUP(A57,'imp-questions'!A:H,6,FALSE)</f>
        <v>Is there a centralized portal where developers and application security professionals from different teams and business units are able to communicate and share information?</v>
      </c>
      <c r="E57" s="164" t="str">
        <f>CHAR(65+VLOOKUP(A57,'imp-questions'!A:H,8,FALSE))</f>
        <v>F</v>
      </c>
      <c r="F57" s="19"/>
      <c r="G57" s="18">
        <f>IFERROR(VLOOKUP(F57,AnsFTBL,2,FALSE),0)</f>
        <v>0</v>
      </c>
      <c r="H57" s="103"/>
      <c r="I57" s="324"/>
      <c r="J57" s="11"/>
      <c r="K57" s="1"/>
      <c r="L57" s="131"/>
      <c r="M57" s="131"/>
      <c r="N57" s="131"/>
      <c r="O57" s="131"/>
      <c r="P57" s="131"/>
      <c r="Q57" s="1"/>
      <c r="R57" s="1"/>
      <c r="S57" s="1"/>
      <c r="T57" s="1"/>
      <c r="U57" s="1"/>
      <c r="V57" s="1"/>
      <c r="W57" s="1"/>
      <c r="X57" s="1"/>
      <c r="Y57" s="1"/>
      <c r="Z57" s="1"/>
    </row>
    <row r="58" spans="1:26" ht="102" x14ac:dyDescent="0.25">
      <c r="B58" s="361"/>
      <c r="C58" s="173"/>
      <c r="D58" s="183" t="str">
        <f>VLOOKUP(A57,'imp-questions'!A:H,7,FALSE)</f>
        <v xml:space="preserve">Organization promotes use of a single portal across different teams and business units
The portal is used for timely information such as notification of security incidents, tool updates, architectural standard changes, and other related announcements
The portal is widely recognized by developers and architects as a centralized repository of the organization-specific application security information
All content should be considered persistent and searchable
The portal provides access to application-specific security metrics
</v>
      </c>
      <c r="E58" s="169"/>
      <c r="F58" s="174"/>
      <c r="G58" s="170"/>
      <c r="H58" s="175"/>
      <c r="I58" s="327"/>
      <c r="J58" s="11"/>
      <c r="K58" s="1"/>
      <c r="L58" s="131"/>
      <c r="M58" s="131"/>
      <c r="N58" s="131"/>
      <c r="O58" s="131"/>
      <c r="P58" s="131"/>
      <c r="Q58" s="1"/>
      <c r="R58" s="1"/>
      <c r="S58" s="1"/>
      <c r="T58" s="1"/>
      <c r="U58" s="1"/>
      <c r="V58" s="1"/>
      <c r="W58" s="1"/>
      <c r="X58" s="1"/>
      <c r="Y58" s="1"/>
      <c r="Z58" s="1"/>
    </row>
    <row r="59" spans="1:26" ht="12.75" x14ac:dyDescent="0.2">
      <c r="B59" s="362" t="s">
        <v>226</v>
      </c>
      <c r="C59" s="362"/>
      <c r="D59" s="362"/>
      <c r="E59" s="362"/>
      <c r="F59" s="362"/>
      <c r="G59" s="362"/>
      <c r="H59" s="362"/>
      <c r="I59" s="362"/>
      <c r="J59" s="362"/>
      <c r="K59" s="1"/>
      <c r="L59" s="131"/>
      <c r="M59" s="131"/>
      <c r="N59" s="131"/>
      <c r="O59" s="131"/>
      <c r="P59" s="131"/>
      <c r="Q59" s="1"/>
      <c r="R59" s="1"/>
      <c r="S59" s="1"/>
      <c r="T59" s="1"/>
      <c r="U59" s="1"/>
      <c r="V59" s="1"/>
      <c r="W59" s="1"/>
      <c r="X59" s="1"/>
      <c r="Y59" s="1"/>
      <c r="Z59" s="1"/>
    </row>
    <row r="60" spans="1:26" ht="12.75" x14ac:dyDescent="0.2">
      <c r="B60" s="418" t="s">
        <v>24</v>
      </c>
      <c r="C60" s="419"/>
      <c r="D60" s="420"/>
      <c r="E60" s="152"/>
      <c r="F60" s="72" t="s">
        <v>34</v>
      </c>
      <c r="G60" s="72"/>
      <c r="H60" s="118"/>
      <c r="I60" s="73" t="s">
        <v>21</v>
      </c>
      <c r="J60" s="73" t="s">
        <v>32</v>
      </c>
      <c r="K60" s="1"/>
      <c r="L60" s="131"/>
      <c r="M60" s="131"/>
      <c r="N60" s="131"/>
      <c r="O60" s="131"/>
      <c r="P60" s="131"/>
      <c r="Q60" s="1"/>
      <c r="R60" s="1"/>
      <c r="S60" s="1"/>
      <c r="T60" s="1"/>
      <c r="U60" s="1"/>
      <c r="V60" s="1"/>
      <c r="W60" s="1"/>
      <c r="X60" s="1"/>
      <c r="Y60" s="1"/>
      <c r="Z60" s="1"/>
    </row>
    <row r="61" spans="1:26" ht="12.75" x14ac:dyDescent="0.2">
      <c r="A61" s="159" t="s">
        <v>225</v>
      </c>
      <c r="B61" s="365" t="str">
        <f>VLOOKUP(A61,'imp-questions'!A:H,4,FALSE)</f>
        <v>Application Risk Profile</v>
      </c>
      <c r="C61" s="208">
        <f>VLOOKUP(A61,'imp-questions'!A:H,5,FALSE)</f>
        <v>1</v>
      </c>
      <c r="D61" s="202" t="str">
        <f>VLOOKUP(A61,'imp-questions'!A:H,6,FALSE)</f>
        <v>Are you classifying applications according to business risk based on a simple, but predefined set of questions?</v>
      </c>
      <c r="E61" s="164" t="str">
        <f>CHAR(65+VLOOKUP(A61,'imp-questions'!A:H,8,FALSE))</f>
        <v>B</v>
      </c>
      <c r="F61" s="5"/>
      <c r="G61" s="18">
        <f>IFERROR(VLOOKUP(F61,AnsBTBL,2,FALSE),0)</f>
        <v>0</v>
      </c>
      <c r="H61" s="212">
        <f>IFERROR(AVERAGE(G61,G68),0)</f>
        <v>0</v>
      </c>
      <c r="I61" s="331"/>
      <c r="J61" s="344">
        <f>SUM(H61,H63,H65)</f>
        <v>0</v>
      </c>
      <c r="K61" s="1"/>
      <c r="L61" s="131"/>
      <c r="M61" s="131"/>
      <c r="N61" s="131"/>
      <c r="O61" s="131"/>
      <c r="P61" s="131"/>
      <c r="Q61" s="1"/>
      <c r="R61" s="1"/>
      <c r="S61" s="1"/>
      <c r="T61" s="1"/>
      <c r="U61" s="1"/>
      <c r="V61" s="1"/>
      <c r="W61" s="1"/>
      <c r="X61" s="1"/>
      <c r="Y61" s="1"/>
      <c r="Z61" s="1"/>
    </row>
    <row r="62" spans="1:26" ht="63.75" x14ac:dyDescent="0.2">
      <c r="B62" s="366"/>
      <c r="C62" s="144"/>
      <c r="D62" s="191" t="str">
        <f>VLOOKUP(A61,'imp-questions'!A:H,7,FALSE)</f>
        <v xml:space="preserve">A risk classification should exist and be agreed upon
The application team should understand the risk classification
The risk classification covers critical aspects of business risks the organization is facing
The organization has an inventory for the applications in scope
</v>
      </c>
      <c r="E62" s="169"/>
      <c r="F62" s="25"/>
      <c r="G62" s="170"/>
      <c r="H62" s="213"/>
      <c r="I62" s="332"/>
      <c r="J62" s="345"/>
      <c r="K62" s="1"/>
      <c r="L62" s="131"/>
      <c r="M62" s="131"/>
      <c r="N62" s="131"/>
      <c r="O62" s="131"/>
      <c r="P62" s="131"/>
      <c r="Q62" s="1"/>
      <c r="R62" s="1"/>
      <c r="S62" s="1"/>
      <c r="T62" s="1"/>
      <c r="U62" s="1"/>
      <c r="V62" s="1"/>
      <c r="W62" s="1"/>
      <c r="X62" s="1"/>
      <c r="Y62" s="1"/>
      <c r="Z62" s="1"/>
    </row>
    <row r="63" spans="1:26" x14ac:dyDescent="0.25">
      <c r="A63" s="159" t="s">
        <v>230</v>
      </c>
      <c r="B63" s="366"/>
      <c r="C63" s="208">
        <f>VLOOKUP(A63,'imp-questions'!A:H,5,FALSE)</f>
        <v>2</v>
      </c>
      <c r="D63" s="202" t="str">
        <f>VLOOKUP(A63,'imp-questions'!A:H,6,FALSE)</f>
        <v>Are you using centralized and quantified application risk profiles to evaluate business risk?</v>
      </c>
      <c r="E63" s="164" t="str">
        <f>CHAR(65+VLOOKUP(A63,'imp-questions'!A:H,8,FALSE))</f>
        <v>A</v>
      </c>
      <c r="F63" s="193"/>
      <c r="G63" s="18">
        <f>IFERROR(VLOOKUP(F63,AnsATBL,2,FALSE),0)</f>
        <v>0</v>
      </c>
      <c r="H63" s="212">
        <f>IFERROR(AVERAGE(G63,G70),0)</f>
        <v>0</v>
      </c>
      <c r="I63" s="325"/>
      <c r="J63" s="215"/>
      <c r="K63" s="205"/>
      <c r="L63" s="131"/>
      <c r="M63" s="131"/>
      <c r="N63" s="131"/>
      <c r="O63" s="131"/>
      <c r="P63" s="131"/>
      <c r="Q63" s="205"/>
      <c r="R63" s="205"/>
      <c r="S63" s="205"/>
      <c r="T63" s="205"/>
      <c r="U63" s="205"/>
      <c r="V63" s="205"/>
      <c r="W63" s="205"/>
      <c r="X63" s="205"/>
      <c r="Y63" s="205"/>
      <c r="Z63" s="205"/>
    </row>
    <row r="64" spans="1:26" ht="63.75" x14ac:dyDescent="0.25">
      <c r="A64"/>
      <c r="B64" s="366"/>
      <c r="C64" s="144"/>
      <c r="D64" s="191" t="str">
        <f>VLOOKUP(A63,'imp-questions'!A:H,7,FALSE)</f>
        <v xml:space="preserve">The application risk profile is in line with the organisational risk standard
The application risk profile must cover impact to security and privacy
The quality of the risk profile is validated using manual and/or automated means
The application risk profiles are stored in a central inventory
</v>
      </c>
      <c r="E64" s="169"/>
      <c r="F64" s="26"/>
      <c r="G64" s="22"/>
      <c r="H64" s="216"/>
      <c r="I64" s="326"/>
      <c r="J64" s="215"/>
      <c r="K64" s="205"/>
      <c r="L64" s="131"/>
      <c r="M64" s="131"/>
      <c r="N64" s="131"/>
      <c r="O64" s="131"/>
      <c r="P64" s="131"/>
      <c r="Q64" s="205"/>
      <c r="R64" s="205"/>
      <c r="S64" s="205"/>
      <c r="T64" s="205"/>
      <c r="U64" s="205"/>
      <c r="V64" s="205"/>
      <c r="W64" s="205"/>
      <c r="X64" s="205"/>
      <c r="Y64" s="205"/>
      <c r="Z64" s="205"/>
    </row>
    <row r="65" spans="1:26" x14ac:dyDescent="0.25">
      <c r="A65" s="159" t="s">
        <v>233</v>
      </c>
      <c r="B65" s="366"/>
      <c r="C65" s="208">
        <f>VLOOKUP(A65,'imp-questions'!A:H,5,FALSE)</f>
        <v>3</v>
      </c>
      <c r="D65" s="202" t="str">
        <f>VLOOKUP(A65,'imp-questions'!A:H,6,FALSE)</f>
        <v>Do you regularly review and update the risk profiles for your applications?</v>
      </c>
      <c r="E65" s="164" t="str">
        <f>CHAR(65+VLOOKUP(A65,'imp-questions'!A:H,8,FALSE))</f>
        <v>R</v>
      </c>
      <c r="F65" s="193"/>
      <c r="G65" s="194">
        <f>IFERROR(VLOOKUP(F65,AnsRTBL,2,FALSE),0)</f>
        <v>0</v>
      </c>
      <c r="H65" s="212">
        <f>IFERROR(AVERAGE(G65,G72),0)</f>
        <v>0</v>
      </c>
      <c r="I65" s="353"/>
      <c r="J65" s="215"/>
      <c r="K65" s="1"/>
      <c r="L65" s="131"/>
      <c r="M65" s="131"/>
      <c r="N65" s="131"/>
      <c r="O65" s="131"/>
      <c r="P65" s="131"/>
      <c r="Q65" s="1"/>
      <c r="R65" s="1"/>
      <c r="S65" s="1"/>
      <c r="T65" s="1"/>
      <c r="U65" s="1"/>
      <c r="V65" s="1"/>
      <c r="W65" s="1"/>
      <c r="X65" s="1"/>
      <c r="Y65" s="1"/>
      <c r="Z65" s="1"/>
    </row>
    <row r="66" spans="1:26" ht="38.25" x14ac:dyDescent="0.25">
      <c r="A66"/>
      <c r="B66" s="367"/>
      <c r="C66" s="173"/>
      <c r="D66" s="183" t="str">
        <f>VLOOKUP(A65,'imp-questions'!A:H,7,FALSE)</f>
        <v xml:space="preserve">The organisational risk standard takes into account historical feedback to improve the evaluation method
Significant changes in the application or business context trigger a review of the relevant risk profiles
</v>
      </c>
      <c r="E66" s="169"/>
      <c r="F66" s="26"/>
      <c r="G66" s="22"/>
      <c r="H66" s="216"/>
      <c r="I66" s="326"/>
      <c r="J66" s="215"/>
      <c r="K66" s="1"/>
      <c r="L66" s="131"/>
      <c r="M66" s="131"/>
      <c r="N66" s="131"/>
      <c r="O66" s="131"/>
      <c r="P66" s="131"/>
      <c r="Q66" s="1"/>
      <c r="R66" s="1"/>
      <c r="S66" s="1"/>
      <c r="T66" s="1"/>
      <c r="U66" s="1"/>
      <c r="V66" s="1"/>
      <c r="W66" s="1"/>
      <c r="X66" s="1"/>
      <c r="Y66" s="1"/>
      <c r="Z66" s="1"/>
    </row>
    <row r="67" spans="1:26" x14ac:dyDescent="0.25">
      <c r="A67"/>
      <c r="B67" s="340"/>
      <c r="C67" s="341"/>
      <c r="D67" s="341"/>
      <c r="E67" s="341"/>
      <c r="F67" s="341"/>
      <c r="G67" s="341"/>
      <c r="H67" s="341"/>
      <c r="I67" s="342"/>
      <c r="J67" s="11"/>
      <c r="K67" s="1"/>
      <c r="L67" s="131"/>
      <c r="M67" s="131"/>
      <c r="N67" s="131"/>
      <c r="O67" s="131"/>
      <c r="P67" s="131"/>
      <c r="Q67" s="1"/>
      <c r="R67" s="1"/>
      <c r="S67" s="1"/>
      <c r="T67" s="1"/>
      <c r="U67" s="1"/>
      <c r="V67" s="1"/>
      <c r="W67" s="1"/>
      <c r="X67" s="1"/>
      <c r="Y67" s="1"/>
      <c r="Z67" s="1"/>
    </row>
    <row r="68" spans="1:26" x14ac:dyDescent="0.25">
      <c r="A68" s="159" t="s">
        <v>236</v>
      </c>
      <c r="B68" s="365" t="str">
        <f>VLOOKUP(A68,'imp-questions'!A:H,4,FALSE)</f>
        <v>Threat Modeling</v>
      </c>
      <c r="C68" s="208">
        <f>VLOOKUP(A68,'imp-questions'!A:H,5,FALSE)</f>
        <v>1</v>
      </c>
      <c r="D68" s="202" t="str">
        <f>VLOOKUP(A68,'imp-questions'!A:H,6,FALSE)</f>
        <v>Are you evaluating the technical architecture of your applications for potential threats?</v>
      </c>
      <c r="E68" s="164" t="str">
        <f>CHAR(65+VLOOKUP(A68,'imp-questions'!A:H,8,FALSE))</f>
        <v>B</v>
      </c>
      <c r="F68" s="193"/>
      <c r="G68" s="18">
        <f>IFERROR(VLOOKUP(F68,AnsBTBL,2,FALSE),0)</f>
        <v>0</v>
      </c>
      <c r="H68" s="103"/>
      <c r="I68" s="322"/>
      <c r="J68" s="11"/>
      <c r="K68" s="1"/>
      <c r="L68" s="131"/>
      <c r="M68" s="131"/>
      <c r="N68" s="131"/>
      <c r="O68" s="131"/>
      <c r="P68" s="131"/>
      <c r="Q68" s="1"/>
      <c r="R68" s="1"/>
      <c r="S68" s="1"/>
      <c r="T68" s="1"/>
      <c r="U68" s="1"/>
      <c r="V68" s="1"/>
      <c r="W68" s="1"/>
      <c r="X68" s="1"/>
      <c r="Y68" s="1"/>
      <c r="Z68" s="1"/>
    </row>
    <row r="69" spans="1:26" ht="38.25" x14ac:dyDescent="0.25">
      <c r="B69" s="366"/>
      <c r="C69" s="144"/>
      <c r="D69" s="191" t="str">
        <f>VLOOKUP(A68,'imp-questions'!A:H,7,FALSE)</f>
        <v xml:space="preserve">Application trust boundaries are being reviewed
Threat identification should cover different types of threats
</v>
      </c>
      <c r="E69" s="169"/>
      <c r="F69" s="26"/>
      <c r="G69" s="22"/>
      <c r="H69" s="115"/>
      <c r="I69" s="323"/>
      <c r="J69" s="11"/>
      <c r="K69" s="1"/>
      <c r="L69" s="131"/>
      <c r="M69" s="131"/>
      <c r="N69" s="131"/>
      <c r="O69" s="131"/>
      <c r="P69" s="131"/>
      <c r="Q69" s="1"/>
      <c r="R69" s="1"/>
      <c r="S69" s="1"/>
      <c r="T69" s="1"/>
      <c r="U69" s="1"/>
      <c r="V69" s="1"/>
      <c r="W69" s="1"/>
      <c r="X69" s="1"/>
      <c r="Y69" s="1"/>
      <c r="Z69" s="1"/>
    </row>
    <row r="70" spans="1:26" x14ac:dyDescent="0.25">
      <c r="A70" s="159" t="s">
        <v>240</v>
      </c>
      <c r="B70" s="366"/>
      <c r="C70" s="208">
        <f>VLOOKUP(A70,'imp-questions'!A:H,5,FALSE)</f>
        <v>2</v>
      </c>
      <c r="D70" s="202" t="str">
        <f>VLOOKUP(A70,'imp-questions'!A:H,6,FALSE)</f>
        <v>Are you using a standard methodology to evaluate the threats to your applications?</v>
      </c>
      <c r="E70" s="164" t="str">
        <f>CHAR(65+VLOOKUP(A70,'imp-questions'!A:H,8,FALSE))</f>
        <v>B</v>
      </c>
      <c r="F70" s="197"/>
      <c r="G70" s="18">
        <f>IFERROR(VLOOKUP(F70,AnsBTBL,2,FALSE),0)</f>
        <v>0</v>
      </c>
      <c r="H70" s="103"/>
      <c r="I70" s="322"/>
      <c r="J70" s="11"/>
      <c r="K70" s="205"/>
      <c r="L70" s="131"/>
      <c r="M70" s="131"/>
      <c r="N70" s="131"/>
      <c r="O70" s="131"/>
      <c r="P70" s="131"/>
      <c r="Q70" s="205"/>
      <c r="R70" s="205"/>
      <c r="S70" s="205"/>
      <c r="T70" s="205"/>
      <c r="U70" s="205"/>
      <c r="V70" s="205"/>
      <c r="W70" s="205"/>
      <c r="X70" s="205"/>
      <c r="Y70" s="205"/>
      <c r="Z70" s="205"/>
    </row>
    <row r="71" spans="1:26" ht="63.75" x14ac:dyDescent="0.25">
      <c r="A71"/>
      <c r="B71" s="366"/>
      <c r="C71" s="144"/>
      <c r="D71" s="191" t="str">
        <f>VLOOKUP(A70,'imp-questions'!A:H,7,FALSE)</f>
        <v xml:space="preserve">Threat modeling activities should be carried out/supported by people with good understanding of the concept by experience or training
The methodology stipulates the different inputs that are required to perform an in-depth assessment
Threat model deliverables are standardized and accessible across the organisation
</v>
      </c>
      <c r="E71" s="169"/>
      <c r="F71" s="26"/>
      <c r="G71" s="22"/>
      <c r="H71" s="115"/>
      <c r="I71" s="323"/>
      <c r="J71" s="11"/>
      <c r="K71" s="205"/>
      <c r="L71" s="131"/>
      <c r="M71" s="131"/>
      <c r="N71" s="131"/>
      <c r="O71" s="131"/>
      <c r="P71" s="131"/>
      <c r="Q71" s="205"/>
      <c r="R71" s="205"/>
      <c r="S71" s="205"/>
      <c r="T71" s="205"/>
      <c r="U71" s="205"/>
      <c r="V71" s="205"/>
      <c r="W71" s="205"/>
      <c r="X71" s="205"/>
      <c r="Y71" s="205"/>
      <c r="Z71" s="205"/>
    </row>
    <row r="72" spans="1:26" x14ac:dyDescent="0.25">
      <c r="A72" s="159" t="s">
        <v>243</v>
      </c>
      <c r="B72" s="366"/>
      <c r="C72" s="208">
        <f>VLOOKUP(A72,'imp-questions'!A:H,5,FALSE)</f>
        <v>3</v>
      </c>
      <c r="D72" s="202" t="str">
        <f>VLOOKUP(A72,'imp-questions'!A:H,6,FALSE)</f>
        <v>Do you regularly review and update the threat models for your applications?</v>
      </c>
      <c r="E72" s="164" t="str">
        <f>CHAR(65+VLOOKUP(A72,'imp-questions'!A:H,8,FALSE))</f>
        <v>E</v>
      </c>
      <c r="F72" s="197"/>
      <c r="G72" s="18">
        <f>IFERROR(VLOOKUP(F72,AnsETBL,2,FALSE),0)</f>
        <v>0</v>
      </c>
      <c r="H72" s="103"/>
      <c r="I72" s="322"/>
      <c r="J72" s="11"/>
      <c r="K72" s="1"/>
      <c r="L72" s="131"/>
      <c r="M72" s="131"/>
      <c r="N72" s="131"/>
      <c r="O72" s="131"/>
      <c r="P72" s="131"/>
      <c r="Q72" s="1"/>
      <c r="R72" s="1"/>
      <c r="S72" s="1"/>
      <c r="T72" s="1"/>
      <c r="U72" s="1"/>
      <c r="V72" s="1"/>
      <c r="W72" s="1"/>
      <c r="X72" s="1"/>
      <c r="Y72" s="1"/>
      <c r="Z72" s="1"/>
    </row>
    <row r="73" spans="1:26" ht="38.25" x14ac:dyDescent="0.25">
      <c r="A73"/>
      <c r="B73" s="367"/>
      <c r="C73" s="173"/>
      <c r="D73" s="183" t="str">
        <f>VLOOKUP(A72,'imp-questions'!A:H,7,FALSE)</f>
        <v>The threat model methodology takes into account historical feedback to improve the evaluation method
Changes in the application or business context trigger a review of the relevant threat models
Threat models are independently evaluated for their quality</v>
      </c>
      <c r="E73" s="169"/>
      <c r="F73" s="26"/>
      <c r="G73" s="22"/>
      <c r="H73" s="115"/>
      <c r="I73" s="323"/>
      <c r="J73" s="11"/>
      <c r="K73" s="1"/>
      <c r="L73" s="131"/>
      <c r="M73" s="131"/>
      <c r="N73" s="131"/>
      <c r="O73" s="131"/>
      <c r="P73" s="131"/>
      <c r="Q73" s="1"/>
      <c r="R73" s="1"/>
      <c r="S73" s="1"/>
      <c r="T73" s="1"/>
      <c r="U73" s="1"/>
      <c r="V73" s="1"/>
      <c r="W73" s="1"/>
      <c r="X73" s="1"/>
      <c r="Y73" s="1"/>
      <c r="Z73" s="1"/>
    </row>
    <row r="74" spans="1:26" ht="12.75" x14ac:dyDescent="0.2">
      <c r="A74"/>
      <c r="B74" s="415" t="s">
        <v>25</v>
      </c>
      <c r="C74" s="416"/>
      <c r="D74" s="417"/>
      <c r="E74" s="151"/>
      <c r="F74" s="74" t="s">
        <v>34</v>
      </c>
      <c r="G74" s="74"/>
      <c r="H74" s="119"/>
      <c r="I74" s="73" t="s">
        <v>21</v>
      </c>
      <c r="J74" s="73" t="s">
        <v>32</v>
      </c>
      <c r="K74" s="1"/>
      <c r="L74" s="131"/>
      <c r="M74" s="131"/>
      <c r="N74" s="131"/>
      <c r="O74" s="131"/>
      <c r="P74" s="131"/>
      <c r="Q74" s="1"/>
      <c r="R74" s="1"/>
      <c r="S74" s="1"/>
      <c r="T74" s="1"/>
      <c r="U74" s="1"/>
      <c r="V74" s="1"/>
      <c r="W74" s="1"/>
      <c r="X74" s="1"/>
      <c r="Y74" s="1"/>
      <c r="Z74" s="1"/>
    </row>
    <row r="75" spans="1:26" ht="14.1" customHeight="1" x14ac:dyDescent="0.2">
      <c r="A75" s="159" t="s">
        <v>245</v>
      </c>
      <c r="B75" s="365" t="str">
        <f>VLOOKUP(A75,'imp-questions'!A:H,4,FALSE)</f>
        <v>Software Requirements</v>
      </c>
      <c r="C75" s="208">
        <f>VLOOKUP(A75,'imp-questions'!A:H,5,FALSE)</f>
        <v>1</v>
      </c>
      <c r="D75" s="202" t="str">
        <f>VLOOKUP(A75,'imp-questions'!A:H,6,FALSE)</f>
        <v>Do project teams specify security requirements during development?</v>
      </c>
      <c r="E75" s="164" t="str">
        <f>CHAR(65+VLOOKUP(A75,'imp-questions'!A:H,8,FALSE))</f>
        <v>E</v>
      </c>
      <c r="F75" s="193"/>
      <c r="G75" s="18">
        <f>IFERROR(VLOOKUP(F75,AnsETBL,2,FALSE),0)</f>
        <v>0</v>
      </c>
      <c r="H75" s="212">
        <f>IFERROR(AVERAGE(G75,G82),0)</f>
        <v>0</v>
      </c>
      <c r="I75" s="331"/>
      <c r="J75" s="344">
        <f>SUM(H75,H77,H79)</f>
        <v>0</v>
      </c>
      <c r="K75" s="1"/>
      <c r="L75" s="131"/>
      <c r="M75" s="131"/>
      <c r="N75" s="131"/>
      <c r="O75" s="131"/>
      <c r="P75" s="131"/>
      <c r="Q75" s="1"/>
      <c r="R75" s="1"/>
      <c r="S75" s="1"/>
      <c r="T75" s="1"/>
      <c r="U75" s="1"/>
      <c r="V75" s="1"/>
      <c r="W75" s="1"/>
      <c r="X75" s="1"/>
      <c r="Y75" s="1"/>
      <c r="Z75" s="1"/>
    </row>
    <row r="76" spans="1:26" ht="51" x14ac:dyDescent="0.2">
      <c r="A76"/>
      <c r="B76" s="366"/>
      <c r="C76" s="144"/>
      <c r="D76" s="191" t="str">
        <f>VLOOKUP(A75,'imp-questions'!A:H,7,FALSE)</f>
        <v xml:space="preserve">Security requirements are derived from functional requirements and customer/organization concerns.
Security requirements are specific, measurable, and reasonable.
Security requirements are in line with the organisational baseline.
</v>
      </c>
      <c r="E76" s="169"/>
      <c r="F76" s="26"/>
      <c r="G76" s="22"/>
      <c r="H76" s="213"/>
      <c r="I76" s="332"/>
      <c r="J76" s="345"/>
      <c r="K76" s="1"/>
      <c r="L76" s="131"/>
      <c r="M76" s="131"/>
      <c r="N76" s="131"/>
      <c r="O76" s="131"/>
      <c r="P76" s="131"/>
      <c r="Q76" s="1"/>
      <c r="R76" s="1"/>
      <c r="S76" s="1"/>
      <c r="T76" s="1"/>
      <c r="U76" s="1"/>
      <c r="V76" s="1"/>
      <c r="W76" s="1"/>
      <c r="X76" s="1"/>
      <c r="Y76" s="1"/>
      <c r="Z76" s="1"/>
    </row>
    <row r="77" spans="1:26" x14ac:dyDescent="0.25">
      <c r="A77" s="159" t="s">
        <v>248</v>
      </c>
      <c r="B77" s="366"/>
      <c r="C77" s="208">
        <f>VLOOKUP(A77,'imp-questions'!A:H,5,FALSE)</f>
        <v>2</v>
      </c>
      <c r="D77" s="202" t="str">
        <f>VLOOKUP(A77,'imp-questions'!A:H,6,FALSE)</f>
        <v>Are the artifacts of the security requirements gathering process well defined and structured, with prioritization?</v>
      </c>
      <c r="E77" s="164" t="str">
        <f>CHAR(65+VLOOKUP(A77,'imp-questions'!A:H,8,FALSE))</f>
        <v>B</v>
      </c>
      <c r="F77" s="198"/>
      <c r="G77" s="18">
        <f>IFERROR(VLOOKUP(F77,AnsBTBL,2,FALSE),0)</f>
        <v>0</v>
      </c>
      <c r="H77" s="212">
        <f>IFERROR(AVERAGE(G77,G84),0)</f>
        <v>0</v>
      </c>
      <c r="I77" s="325"/>
      <c r="J77" s="215"/>
      <c r="K77" s="205"/>
      <c r="L77" s="131"/>
      <c r="M77" s="131"/>
      <c r="N77" s="131"/>
      <c r="O77" s="131"/>
      <c r="P77" s="131"/>
      <c r="Q77" s="205"/>
      <c r="R77" s="205"/>
      <c r="S77" s="205"/>
      <c r="T77" s="205"/>
      <c r="U77" s="205"/>
      <c r="V77" s="205"/>
      <c r="W77" s="205"/>
      <c r="X77" s="205"/>
      <c r="Y77" s="205"/>
      <c r="Z77" s="205"/>
    </row>
    <row r="78" spans="1:26" ht="76.5" x14ac:dyDescent="0.25">
      <c r="A78"/>
      <c r="B78" s="366"/>
      <c r="C78" s="144"/>
      <c r="D78" s="191" t="str">
        <f>VLOOKUP(A77,'imp-questions'!A:H,7,FALSE)</f>
        <v xml:space="preserve">Security requirements take into consideration domain specific knowledge when applying policies and guidance to product development.
Domain experts are involved in the requirements definition process.
An agreed upon structured notation exists for security requirements.
Development teams have a security champion dedicated to reviewing security requirements and outcomes.
</v>
      </c>
      <c r="E78" s="169"/>
      <c r="F78" s="26"/>
      <c r="G78" s="22"/>
      <c r="H78" s="216"/>
      <c r="I78" s="326"/>
      <c r="J78" s="215"/>
      <c r="K78" s="205"/>
      <c r="L78" s="131"/>
      <c r="M78" s="131"/>
      <c r="N78" s="131"/>
      <c r="O78" s="131"/>
      <c r="P78" s="131"/>
      <c r="Q78" s="205"/>
      <c r="R78" s="205"/>
      <c r="S78" s="205"/>
      <c r="T78" s="205"/>
      <c r="U78" s="205"/>
      <c r="V78" s="205"/>
      <c r="W78" s="205"/>
      <c r="X78" s="205"/>
      <c r="Y78" s="205"/>
      <c r="Z78" s="205"/>
    </row>
    <row r="79" spans="1:26" x14ac:dyDescent="0.25">
      <c r="A79" s="159" t="s">
        <v>251</v>
      </c>
      <c r="B79" s="366"/>
      <c r="C79" s="208">
        <f>VLOOKUP(A79,'imp-questions'!A:H,5,FALSE)</f>
        <v>3</v>
      </c>
      <c r="D79" s="202" t="str">
        <f>VLOOKUP(A79,'imp-questions'!A:H,6,FALSE)</f>
        <v>Is a standard requirements framework used to streamline the elicitation of security requirements?</v>
      </c>
      <c r="E79" s="164" t="str">
        <f>CHAR(65+VLOOKUP(A79,'imp-questions'!A:H,8,FALSE))</f>
        <v>A</v>
      </c>
      <c r="F79" s="193"/>
      <c r="G79" s="18">
        <f>IFERROR(VLOOKUP(F79,AnsATBL,2,FALSE),0)</f>
        <v>0</v>
      </c>
      <c r="H79" s="212">
        <f>IFERROR(AVERAGE(G79,G86),0)</f>
        <v>0</v>
      </c>
      <c r="I79" s="353"/>
      <c r="J79" s="215"/>
      <c r="K79" s="1"/>
      <c r="L79" s="131"/>
      <c r="M79" s="131"/>
      <c r="N79" s="131"/>
      <c r="O79" s="131"/>
      <c r="P79" s="131"/>
      <c r="Q79" s="1"/>
      <c r="R79" s="1"/>
      <c r="S79" s="1"/>
      <c r="T79" s="1"/>
      <c r="U79" s="1"/>
      <c r="V79" s="1"/>
      <c r="W79" s="1"/>
      <c r="X79" s="1"/>
      <c r="Y79" s="1"/>
      <c r="Z79" s="1"/>
    </row>
    <row r="80" spans="1:26" ht="63.75" x14ac:dyDescent="0.25">
      <c r="A80"/>
      <c r="B80" s="367"/>
      <c r="C80" s="173"/>
      <c r="D80" s="183" t="str">
        <f>VLOOKUP(A79,'imp-questions'!A:H,7,FALSE)</f>
        <v xml:space="preserve">An existing security requirements framework is available for project teams.
The framework is categorized by common requirements as well as standards-based requirements.
The framework gives clear guidance on the quality of requirements and formalizes how to describe them.
The framework is adaptable to specific business requirements.
</v>
      </c>
      <c r="E80" s="169"/>
      <c r="F80" s="26"/>
      <c r="G80" s="22"/>
      <c r="H80" s="216"/>
      <c r="I80" s="326"/>
      <c r="J80" s="215"/>
      <c r="K80" s="1"/>
      <c r="L80" s="131"/>
      <c r="M80" s="131"/>
      <c r="N80" s="131"/>
      <c r="O80" s="131"/>
      <c r="P80" s="131"/>
      <c r="Q80" s="1"/>
      <c r="R80" s="1"/>
      <c r="S80" s="1"/>
      <c r="T80" s="1"/>
      <c r="U80" s="1"/>
      <c r="V80" s="1"/>
      <c r="W80" s="1"/>
      <c r="X80" s="1"/>
      <c r="Y80" s="1"/>
      <c r="Z80" s="1"/>
    </row>
    <row r="81" spans="1:26" x14ac:dyDescent="0.25">
      <c r="A81"/>
      <c r="B81" s="368"/>
      <c r="C81" s="341"/>
      <c r="D81" s="341"/>
      <c r="E81" s="341"/>
      <c r="F81" s="341"/>
      <c r="G81" s="341"/>
      <c r="H81" s="341"/>
      <c r="I81" s="369"/>
      <c r="J81" s="11"/>
      <c r="K81" s="1"/>
      <c r="L81" s="131"/>
      <c r="M81" s="131"/>
      <c r="N81" s="131"/>
      <c r="O81" s="131"/>
      <c r="P81" s="131"/>
      <c r="Q81" s="1"/>
      <c r="R81" s="1"/>
      <c r="S81" s="1"/>
      <c r="T81" s="1"/>
      <c r="U81" s="1"/>
      <c r="V81" s="1"/>
      <c r="W81" s="1"/>
      <c r="X81" s="1"/>
      <c r="Y81" s="1"/>
      <c r="Z81" s="1"/>
    </row>
    <row r="82" spans="1:26" x14ac:dyDescent="0.25">
      <c r="A82" s="159" t="s">
        <v>254</v>
      </c>
      <c r="B82" s="365" t="str">
        <f>VLOOKUP(A82,'imp-questions'!A:H,4,FALSE)</f>
        <v>Supplier Security</v>
      </c>
      <c r="C82" s="208">
        <f>VLOOKUP(A82,'imp-questions'!A:H,5,FALSE)</f>
        <v>1</v>
      </c>
      <c r="D82" s="202" t="str">
        <f>VLOOKUP(A82,'imp-questions'!A:H,6,FALSE)</f>
        <v>Do stakeholders review vendor collaborations for security requirements and methodology?</v>
      </c>
      <c r="E82" s="164" t="str">
        <f>CHAR(65+VLOOKUP(A82,'imp-questions'!A:H,8,FALSE))</f>
        <v>B</v>
      </c>
      <c r="F82" s="193"/>
      <c r="G82" s="18">
        <f>IFERROR(VLOOKUP(F82,AnsBTBL,2,FALSE),0)</f>
        <v>0</v>
      </c>
      <c r="H82" s="103"/>
      <c r="I82" s="324"/>
      <c r="J82" s="11"/>
      <c r="K82" s="1"/>
      <c r="L82" s="131"/>
      <c r="M82" s="131"/>
      <c r="N82" s="131"/>
      <c r="O82" s="131"/>
      <c r="P82" s="131"/>
      <c r="Q82" s="1"/>
      <c r="R82" s="1"/>
      <c r="S82" s="1"/>
      <c r="T82" s="1"/>
      <c r="U82" s="1"/>
      <c r="V82" s="1"/>
      <c r="W82" s="1"/>
      <c r="X82" s="1"/>
      <c r="Y82" s="1"/>
      <c r="Z82" s="1"/>
    </row>
    <row r="83" spans="1:26" ht="51" x14ac:dyDescent="0.25">
      <c r="A83"/>
      <c r="B83" s="366"/>
      <c r="C83" s="144"/>
      <c r="D83" s="191" t="str">
        <f>VLOOKUP(A82,'imp-questions'!A:H,7,FALSE)</f>
        <v xml:space="preserve">During the creation of third-party agreements, specific security requirements, activities, and processes are considered for inclusion.
A vendor questionnaire is available and used to assess the strengths and weaknesses of your suppliers.
</v>
      </c>
      <c r="E83" s="169"/>
      <c r="F83" s="26"/>
      <c r="G83" s="22"/>
      <c r="H83" s="115"/>
      <c r="I83" s="323"/>
      <c r="J83" s="11"/>
      <c r="K83" s="1"/>
      <c r="L83" s="131"/>
      <c r="M83" s="131"/>
      <c r="N83" s="131"/>
      <c r="O83" s="131"/>
      <c r="P83" s="131"/>
      <c r="Q83" s="1"/>
      <c r="R83" s="1"/>
      <c r="S83" s="1"/>
      <c r="T83" s="1"/>
      <c r="U83" s="1"/>
      <c r="V83" s="1"/>
      <c r="W83" s="1"/>
      <c r="X83" s="1"/>
      <c r="Y83" s="1"/>
      <c r="Z83" s="1"/>
    </row>
    <row r="84" spans="1:26" ht="25.5" x14ac:dyDescent="0.25">
      <c r="A84" s="159" t="s">
        <v>258</v>
      </c>
      <c r="B84" s="366"/>
      <c r="C84" s="208">
        <f>VLOOKUP(A84,'imp-questions'!A:H,5,FALSE)</f>
        <v>2</v>
      </c>
      <c r="D84" s="202" t="str">
        <f>VLOOKUP(A84,'imp-questions'!A:H,6,FALSE)</f>
        <v>Does the vendor meet the security responsibilities and quality measures to be in line with service level agreements as defined by the organization?</v>
      </c>
      <c r="E84" s="164" t="str">
        <f>CHAR(65+VLOOKUP(A84,'imp-questions'!A:H,8,FALSE))</f>
        <v>B</v>
      </c>
      <c r="F84" s="198"/>
      <c r="G84" s="18">
        <f>IFERROR(VLOOKUP(F84,AnsBTBL,2,FALSE),0)</f>
        <v>0</v>
      </c>
      <c r="H84" s="103"/>
      <c r="I84" s="324"/>
      <c r="J84" s="11"/>
      <c r="K84" s="205"/>
      <c r="L84" s="131"/>
      <c r="M84" s="131"/>
      <c r="N84" s="131"/>
      <c r="O84" s="131"/>
      <c r="P84" s="131"/>
      <c r="Q84" s="205"/>
      <c r="R84" s="205"/>
      <c r="S84" s="205"/>
      <c r="T84" s="205"/>
      <c r="U84" s="205"/>
      <c r="V84" s="205"/>
      <c r="W84" s="205"/>
      <c r="X84" s="205"/>
      <c r="Y84" s="205"/>
      <c r="Z84" s="205"/>
    </row>
    <row r="85" spans="1:26" ht="63.75" x14ac:dyDescent="0.25">
      <c r="A85"/>
      <c r="B85" s="366"/>
      <c r="C85" s="144"/>
      <c r="D85" s="191" t="str">
        <f>VLOOKUP(A84,'imp-questions'!A:H,7,FALSE)</f>
        <v xml:space="preserve">During the creation of vendor agreements, security requirements are discussed with the vendor.
Vendor agreements provide specific guidance on security defect remediation within an agreed upon timeframe.
The organization has a templated agreement of responsibilities and service levels for key vendor security processes.
Key performance indicators are measured.
</v>
      </c>
      <c r="E85" s="169"/>
      <c r="F85" s="26"/>
      <c r="G85" s="22"/>
      <c r="H85" s="115"/>
      <c r="I85" s="323"/>
      <c r="J85" s="11"/>
      <c r="K85" s="205"/>
      <c r="L85" s="131"/>
      <c r="M85" s="131"/>
      <c r="N85" s="131"/>
      <c r="O85" s="131"/>
      <c r="P85" s="131"/>
      <c r="Q85" s="205"/>
      <c r="R85" s="205"/>
      <c r="S85" s="205"/>
      <c r="T85" s="205"/>
      <c r="U85" s="205"/>
      <c r="V85" s="205"/>
      <c r="W85" s="205"/>
      <c r="X85" s="205"/>
      <c r="Y85" s="205"/>
      <c r="Z85" s="205"/>
    </row>
    <row r="86" spans="1:26" ht="25.5" x14ac:dyDescent="0.25">
      <c r="A86" s="159" t="s">
        <v>261</v>
      </c>
      <c r="B86" s="366"/>
      <c r="C86" s="208">
        <f>VLOOKUP(A86,'imp-questions'!A:H,5,FALSE)</f>
        <v>3</v>
      </c>
      <c r="D86" s="202" t="str">
        <f>VLOOKUP(A86,'imp-questions'!A:H,6,FALSE)</f>
        <v>Are vendors aligned with standard security controls and software development tools and processes that the organization utilizes?</v>
      </c>
      <c r="E86" s="164" t="str">
        <f>CHAR(65+VLOOKUP(A86,'imp-questions'!A:H,8,FALSE))</f>
        <v>B</v>
      </c>
      <c r="F86" s="198"/>
      <c r="G86" s="18">
        <f>IFERROR(VLOOKUP(F86,AnsBTBL,2,FALSE),0)</f>
        <v>0</v>
      </c>
      <c r="H86" s="103"/>
      <c r="I86" s="324"/>
      <c r="J86" s="11"/>
      <c r="K86" s="1"/>
      <c r="L86" s="131"/>
      <c r="M86" s="131"/>
      <c r="N86" s="131"/>
      <c r="O86" s="131"/>
      <c r="P86" s="131"/>
      <c r="Q86" s="1"/>
      <c r="R86" s="1"/>
      <c r="S86" s="1"/>
      <c r="T86" s="1"/>
      <c r="U86" s="1"/>
      <c r="V86" s="1"/>
      <c r="W86" s="1"/>
      <c r="X86" s="1"/>
      <c r="Y86" s="1"/>
      <c r="Z86" s="1"/>
    </row>
    <row r="87" spans="1:26" ht="63.75" x14ac:dyDescent="0.25">
      <c r="A87"/>
      <c r="B87" s="367"/>
      <c r="C87" s="173"/>
      <c r="D87" s="183" t="str">
        <f>VLOOKUP(A86,'imp-questions'!A:H,7,FALSE)</f>
        <v xml:space="preserve">The vendor has a secure SDLC that includes secure build, secure deployment, defect management and incident management that align with those used in your organization.
Compensating controls, such as software composition analysis and independent penetration testing before a major release, are used to verify the solution meets quality and security objectives when standard processes are not available.
</v>
      </c>
      <c r="E87" s="169"/>
      <c r="F87" s="26"/>
      <c r="G87" s="22"/>
      <c r="H87" s="115"/>
      <c r="I87" s="323"/>
      <c r="J87" s="11"/>
      <c r="K87" s="1"/>
      <c r="L87" s="131"/>
      <c r="M87" s="131"/>
      <c r="N87" s="131"/>
      <c r="O87" s="131"/>
      <c r="P87" s="131"/>
      <c r="Q87" s="1"/>
      <c r="R87" s="1"/>
      <c r="S87" s="1"/>
      <c r="T87" s="1"/>
      <c r="U87" s="1"/>
      <c r="V87" s="1"/>
      <c r="W87" s="1"/>
      <c r="X87" s="1"/>
      <c r="Y87" s="1"/>
      <c r="Z87" s="1"/>
    </row>
    <row r="88" spans="1:26" ht="12.75" x14ac:dyDescent="0.2">
      <c r="A88"/>
      <c r="B88" s="415" t="s">
        <v>26</v>
      </c>
      <c r="C88" s="416"/>
      <c r="D88" s="417"/>
      <c r="E88" s="151"/>
      <c r="F88" s="74" t="s">
        <v>34</v>
      </c>
      <c r="G88" s="74"/>
      <c r="H88" s="119"/>
      <c r="I88" s="73" t="s">
        <v>21</v>
      </c>
      <c r="J88" s="73" t="s">
        <v>32</v>
      </c>
      <c r="K88" s="1"/>
      <c r="L88" s="131"/>
      <c r="M88" s="131"/>
      <c r="N88" s="131"/>
      <c r="O88" s="131"/>
      <c r="P88" s="131"/>
      <c r="Q88" s="1"/>
      <c r="R88" s="1"/>
      <c r="S88" s="1"/>
      <c r="T88" s="1"/>
      <c r="U88" s="1"/>
      <c r="V88" s="1"/>
      <c r="W88" s="1"/>
      <c r="X88" s="1"/>
      <c r="Y88" s="1"/>
      <c r="Z88" s="1"/>
    </row>
    <row r="89" spans="1:26" ht="14.1" customHeight="1" x14ac:dyDescent="0.2">
      <c r="A89" s="159" t="s">
        <v>264</v>
      </c>
      <c r="B89" s="365" t="str">
        <f>VLOOKUP(A89,'imp-questions'!A:H,4,FALSE)</f>
        <v>Architecture Design</v>
      </c>
      <c r="C89" s="208">
        <f>VLOOKUP(A89,'imp-questions'!A:H,5,FALSE)</f>
        <v>1</v>
      </c>
      <c r="D89" s="202" t="str">
        <f>VLOOKUP(A89,'imp-questions'!A:H,6,FALSE)</f>
        <v>Do teams use security principles during design?</v>
      </c>
      <c r="E89" s="164" t="str">
        <f>CHAR(65+VLOOKUP(A89,'imp-questions'!A:H,8,FALSE))</f>
        <v>E</v>
      </c>
      <c r="F89" s="193"/>
      <c r="G89" s="18">
        <f>IFERROR(VLOOKUP(F89,AnsETBL,2,FALSE),0)</f>
        <v>0</v>
      </c>
      <c r="H89" s="212">
        <f>IFERROR(AVERAGE(G89,G96),0)</f>
        <v>0</v>
      </c>
      <c r="I89" s="331"/>
      <c r="J89" s="344">
        <f>SUM(H89,H91,H93)</f>
        <v>0</v>
      </c>
      <c r="K89" s="1"/>
      <c r="L89" s="131"/>
      <c r="M89" s="131"/>
      <c r="N89" s="131"/>
      <c r="O89" s="131"/>
      <c r="P89" s="131"/>
      <c r="Q89" s="1"/>
      <c r="R89" s="1"/>
      <c r="S89" s="1"/>
      <c r="T89" s="1"/>
      <c r="U89" s="1"/>
      <c r="V89" s="1"/>
      <c r="W89" s="1"/>
      <c r="X89" s="1"/>
      <c r="Y89" s="1"/>
      <c r="Z89" s="1"/>
    </row>
    <row r="90" spans="1:26" ht="51" x14ac:dyDescent="0.2">
      <c r="A90"/>
      <c r="B90" s="366"/>
      <c r="C90" s="144"/>
      <c r="D90" s="191" t="str">
        <f>VLOOKUP(A89,'imp-questions'!A:H,7,FALSE)</f>
        <v xml:space="preserve">You have an agreed upon checklist of security principles
Your checklist(s) are stored in an accessible location
Security principles have been explained to relevant stakeholders
</v>
      </c>
      <c r="E90" s="169"/>
      <c r="F90" s="26"/>
      <c r="G90" s="22"/>
      <c r="H90" s="213"/>
      <c r="I90" s="332"/>
      <c r="J90" s="345"/>
      <c r="K90" s="1"/>
      <c r="L90" s="131"/>
      <c r="M90" s="131"/>
      <c r="N90" s="131"/>
      <c r="O90" s="131"/>
      <c r="P90" s="131"/>
      <c r="Q90" s="1"/>
      <c r="R90" s="1"/>
      <c r="S90" s="1"/>
      <c r="T90" s="1"/>
      <c r="U90" s="1"/>
      <c r="V90" s="1"/>
      <c r="W90" s="1"/>
      <c r="X90" s="1"/>
      <c r="Y90" s="1"/>
      <c r="Z90" s="1"/>
    </row>
    <row r="91" spans="1:26" x14ac:dyDescent="0.25">
      <c r="A91" s="159" t="s">
        <v>269</v>
      </c>
      <c r="B91" s="366"/>
      <c r="C91" s="208">
        <f>VLOOKUP(A91,'imp-questions'!A:H,5,FALSE)</f>
        <v>2</v>
      </c>
      <c r="D91" s="202" t="str">
        <f>VLOOKUP(A91,'imp-questions'!A:H,6,FALSE)</f>
        <v>Do you favour the use of standard security services during design?</v>
      </c>
      <c r="E91" s="164" t="str">
        <f>CHAR(65+VLOOKUP(A91,'imp-questions'!A:H,8,FALSE))</f>
        <v>A</v>
      </c>
      <c r="F91" s="193"/>
      <c r="G91" s="18">
        <f>IFERROR(VLOOKUP(F91,AnsATBL,2,FALSE),0)</f>
        <v>0</v>
      </c>
      <c r="H91" s="212">
        <f>IFERROR(AVERAGE(G91,G98),0)</f>
        <v>0</v>
      </c>
      <c r="I91" s="325"/>
      <c r="J91" s="215"/>
      <c r="K91" s="205"/>
      <c r="L91" s="131"/>
      <c r="M91" s="131"/>
      <c r="N91" s="131"/>
      <c r="O91" s="131"/>
      <c r="P91" s="131"/>
      <c r="Q91" s="205"/>
      <c r="R91" s="205"/>
      <c r="S91" s="205"/>
      <c r="T91" s="205"/>
      <c r="U91" s="205"/>
      <c r="V91" s="205"/>
      <c r="W91" s="205"/>
      <c r="X91" s="205"/>
      <c r="Y91" s="205"/>
      <c r="Z91" s="205"/>
    </row>
    <row r="92" spans="1:26" ht="51" x14ac:dyDescent="0.25">
      <c r="A92"/>
      <c r="B92" s="366"/>
      <c r="C92" s="144"/>
      <c r="D92" s="191" t="str">
        <f>VLOOKUP(A91,'imp-questions'!A:H,7,FALSE)</f>
        <v xml:space="preserve">You have a documented list of reusable security services, available to relevant stakeholders
You have reviewed the baseline security posture for each selected service
Your designers are trained to integrate each selected service following available guidance
</v>
      </c>
      <c r="E92" s="169"/>
      <c r="F92" s="26"/>
      <c r="G92" s="22"/>
      <c r="H92" s="216"/>
      <c r="I92" s="326"/>
      <c r="J92" s="215"/>
      <c r="K92" s="205"/>
      <c r="L92" s="131"/>
      <c r="M92" s="131"/>
      <c r="N92" s="131"/>
      <c r="O92" s="131"/>
      <c r="P92" s="131"/>
      <c r="Q92" s="205"/>
      <c r="R92" s="205"/>
      <c r="S92" s="205"/>
      <c r="T92" s="205"/>
      <c r="U92" s="205"/>
      <c r="V92" s="205"/>
      <c r="W92" s="205"/>
      <c r="X92" s="205"/>
      <c r="Y92" s="205"/>
      <c r="Z92" s="205"/>
    </row>
    <row r="93" spans="1:26" x14ac:dyDescent="0.25">
      <c r="A93" s="159" t="s">
        <v>272</v>
      </c>
      <c r="B93" s="366"/>
      <c r="C93" s="208">
        <f>VLOOKUP(A93,'imp-questions'!A:H,5,FALSE)</f>
        <v>3</v>
      </c>
      <c r="D93" s="202" t="str">
        <f>VLOOKUP(A93,'imp-questions'!A:H,6,FALSE)</f>
        <v>Do you base your design on available reference architectures?</v>
      </c>
      <c r="E93" s="164" t="str">
        <f>CHAR(65+VLOOKUP(A93,'imp-questions'!A:H,8,FALSE))</f>
        <v>A</v>
      </c>
      <c r="F93" s="193"/>
      <c r="G93" s="18">
        <f>IFERROR(VLOOKUP(F93,AnsATBL,2,FALSE),0)</f>
        <v>0</v>
      </c>
      <c r="H93" s="212">
        <f>IFERROR(AVERAGE(G93,G100),0)</f>
        <v>0</v>
      </c>
      <c r="I93" s="353"/>
      <c r="J93" s="215"/>
      <c r="K93" s="1"/>
      <c r="L93" s="131"/>
      <c r="M93" s="131"/>
      <c r="N93" s="131"/>
      <c r="O93" s="131"/>
      <c r="P93" s="131"/>
      <c r="Q93" s="1"/>
      <c r="R93" s="1"/>
      <c r="S93" s="1"/>
      <c r="T93" s="1"/>
      <c r="U93" s="1"/>
      <c r="V93" s="1"/>
      <c r="W93" s="1"/>
      <c r="X93" s="1"/>
      <c r="Y93" s="1"/>
      <c r="Z93" s="1"/>
    </row>
    <row r="94" spans="1:26" ht="51" x14ac:dyDescent="0.25">
      <c r="A94"/>
      <c r="B94" s="367"/>
      <c r="C94" s="173"/>
      <c r="D94" s="183" t="str">
        <f>VLOOKUP(A93,'imp-questions'!A:H,7,FALSE)</f>
        <v xml:space="preserve">You have one or more approved reference architectures, documented and available to stakeholders.
You improve the reference architectures continuously based on insights and best practices.
You provide a set of components, libraries, and tools to implement each reference architecture.
</v>
      </c>
      <c r="E94" s="169"/>
      <c r="F94" s="26"/>
      <c r="G94" s="22"/>
      <c r="H94" s="216"/>
      <c r="I94" s="326"/>
      <c r="J94" s="215"/>
      <c r="K94" s="1"/>
      <c r="L94" s="131"/>
      <c r="M94" s="131"/>
      <c r="N94" s="131"/>
      <c r="O94" s="131"/>
      <c r="P94" s="131"/>
      <c r="Q94" s="1"/>
      <c r="R94" s="1"/>
      <c r="S94" s="1"/>
      <c r="T94" s="1"/>
      <c r="U94" s="1"/>
      <c r="V94" s="1"/>
      <c r="W94" s="1"/>
      <c r="X94" s="1"/>
      <c r="Y94" s="1"/>
      <c r="Z94" s="1"/>
    </row>
    <row r="95" spans="1:26" x14ac:dyDescent="0.25">
      <c r="A95"/>
      <c r="B95" s="368"/>
      <c r="C95" s="341"/>
      <c r="D95" s="341"/>
      <c r="E95" s="341"/>
      <c r="F95" s="341"/>
      <c r="G95" s="341"/>
      <c r="H95" s="341"/>
      <c r="I95" s="369"/>
      <c r="J95" s="11"/>
      <c r="K95" s="1"/>
      <c r="L95" s="131"/>
      <c r="M95" s="131"/>
      <c r="N95" s="131"/>
      <c r="O95" s="131"/>
      <c r="P95" s="131"/>
      <c r="Q95" s="1"/>
      <c r="R95" s="1"/>
      <c r="S95" s="1"/>
      <c r="T95" s="1"/>
      <c r="U95" s="1"/>
      <c r="V95" s="1"/>
      <c r="W95" s="1"/>
      <c r="X95" s="1"/>
      <c r="Y95" s="1"/>
      <c r="Z95" s="1"/>
    </row>
    <row r="96" spans="1:26" x14ac:dyDescent="0.25">
      <c r="A96" s="159" t="s">
        <v>275</v>
      </c>
      <c r="B96" s="365" t="str">
        <f>VLOOKUP(A96,'imp-questions'!A:H,4,FALSE)</f>
        <v>Technology Management</v>
      </c>
      <c r="C96" s="208">
        <f>VLOOKUP(A96,'imp-questions'!A:H,5,FALSE)</f>
        <v>1</v>
      </c>
      <c r="D96" s="202" t="str">
        <f>VLOOKUP(A96,'imp-questions'!A:H,6,FALSE)</f>
        <v>Do you evaluate the security quality of important technologies used within the development organisation?</v>
      </c>
      <c r="E96" s="164" t="str">
        <f>CHAR(65+VLOOKUP(A96,'imp-questions'!A:H,8,FALSE))</f>
        <v>A</v>
      </c>
      <c r="F96" s="193"/>
      <c r="G96" s="18">
        <f>IFERROR(VLOOKUP(F96,AnsATBL,2,FALSE),0)</f>
        <v>0</v>
      </c>
      <c r="H96" s="103"/>
      <c r="I96" s="324"/>
      <c r="J96" s="11"/>
      <c r="K96" s="1"/>
      <c r="L96" s="131"/>
      <c r="M96" s="131"/>
      <c r="N96" s="131"/>
      <c r="O96" s="131"/>
      <c r="P96" s="131"/>
      <c r="Q96" s="1"/>
      <c r="R96" s="1"/>
      <c r="S96" s="1"/>
      <c r="T96" s="1"/>
      <c r="U96" s="1"/>
      <c r="V96" s="1"/>
      <c r="W96" s="1"/>
      <c r="X96" s="1"/>
      <c r="Y96" s="1"/>
      <c r="Z96" s="1"/>
    </row>
    <row r="97" spans="1:26" ht="51" x14ac:dyDescent="0.25">
      <c r="A97"/>
      <c r="B97" s="366"/>
      <c r="C97" s="144"/>
      <c r="D97" s="191" t="str">
        <f>VLOOKUP(A96,'imp-questions'!A:H,7,FALSE)</f>
        <v xml:space="preserve">You have a list of the most important technologies used in (or in support of) each application.
You identify and track technological risks
You ensure that the risks to these technologies are in line with the organisational baseline
</v>
      </c>
      <c r="E97" s="169"/>
      <c r="F97" s="26"/>
      <c r="G97" s="22"/>
      <c r="H97" s="115"/>
      <c r="I97" s="323"/>
      <c r="J97" s="11"/>
      <c r="K97" s="1"/>
      <c r="L97" s="131"/>
      <c r="M97" s="131"/>
      <c r="N97" s="131"/>
      <c r="O97" s="131"/>
      <c r="P97" s="131"/>
      <c r="Q97" s="1"/>
      <c r="R97" s="1"/>
      <c r="S97" s="1"/>
      <c r="T97" s="1"/>
      <c r="U97" s="1"/>
      <c r="V97" s="1"/>
      <c r="W97" s="1"/>
      <c r="X97" s="1"/>
      <c r="Y97" s="1"/>
      <c r="Z97" s="1"/>
    </row>
    <row r="98" spans="1:26" x14ac:dyDescent="0.25">
      <c r="A98" s="159" t="s">
        <v>279</v>
      </c>
      <c r="B98" s="366"/>
      <c r="C98" s="208">
        <f>VLOOKUP(A98,'imp-questions'!A:H,5,FALSE)</f>
        <v>2</v>
      </c>
      <c r="D98" s="202" t="str">
        <f>VLOOKUP(A98,'imp-questions'!A:H,6,FALSE)</f>
        <v>Do you have a list of recommended technologies for use in the development organisation?</v>
      </c>
      <c r="E98" s="164" t="str">
        <f>CHAR(65+VLOOKUP(A98,'imp-questions'!A:H,8,FALSE))</f>
        <v>M</v>
      </c>
      <c r="F98" s="198"/>
      <c r="G98" s="18">
        <f>IFERROR(VLOOKUP(F98,AnsMTBL,2,FALSE),0)</f>
        <v>0</v>
      </c>
      <c r="H98" s="103"/>
      <c r="I98" s="324"/>
      <c r="J98" s="11"/>
      <c r="K98" s="205"/>
      <c r="L98" s="131"/>
      <c r="M98" s="131"/>
      <c r="N98" s="131"/>
      <c r="O98" s="131"/>
      <c r="P98" s="131"/>
      <c r="Q98" s="205"/>
      <c r="R98" s="205"/>
      <c r="S98" s="205"/>
      <c r="T98" s="205"/>
      <c r="U98" s="205"/>
      <c r="V98" s="205"/>
      <c r="W98" s="205"/>
      <c r="X98" s="205"/>
      <c r="Y98" s="205"/>
      <c r="Z98" s="205"/>
    </row>
    <row r="99" spans="1:26" ht="63.75" x14ac:dyDescent="0.25">
      <c r="A99"/>
      <c r="B99" s="366"/>
      <c r="C99" s="144"/>
      <c r="D99" s="191" t="str">
        <f>VLOOKUP(A98,'imp-questions'!A:H,7,FALSE)</f>
        <v xml:space="preserve">The list is based on technologies used in the software portfolio
Lead architects and developers review and approve the list
The list is shared across the development organisation
The list is regularly (at least yearly) reviewed and updated
</v>
      </c>
      <c r="E99" s="169"/>
      <c r="F99" s="26"/>
      <c r="G99" s="22"/>
      <c r="H99" s="115"/>
      <c r="I99" s="323"/>
      <c r="J99" s="11"/>
      <c r="K99" s="205"/>
      <c r="L99" s="131"/>
      <c r="M99" s="131"/>
      <c r="N99" s="131"/>
      <c r="O99" s="131"/>
      <c r="P99" s="131"/>
      <c r="Q99" s="205"/>
      <c r="R99" s="205"/>
      <c r="S99" s="205"/>
      <c r="T99" s="205"/>
      <c r="U99" s="205"/>
      <c r="V99" s="205"/>
      <c r="W99" s="205"/>
      <c r="X99" s="205"/>
      <c r="Y99" s="205"/>
      <c r="Z99" s="205"/>
    </row>
    <row r="100" spans="1:26" x14ac:dyDescent="0.25">
      <c r="A100" s="159" t="s">
        <v>282</v>
      </c>
      <c r="B100" s="366"/>
      <c r="C100" s="208">
        <f>VLOOKUP(A100,'imp-questions'!A:H,5,FALSE)</f>
        <v>3</v>
      </c>
      <c r="D100" s="202" t="str">
        <f>VLOOKUP(A100,'imp-questions'!A:H,6,FALSE)</f>
        <v>Do you enforce the use of recommended technologies within the development organisation?</v>
      </c>
      <c r="E100" s="164" t="str">
        <f>CHAR(65+VLOOKUP(A100,'imp-questions'!A:H,8,FALSE))</f>
        <v>A</v>
      </c>
      <c r="F100" s="193"/>
      <c r="G100" s="18">
        <f>IFERROR(VLOOKUP(F100,AnsATBL,2,FALSE),0)</f>
        <v>0</v>
      </c>
      <c r="H100" s="103"/>
      <c r="I100" s="324"/>
      <c r="J100" s="11"/>
      <c r="K100" s="1"/>
      <c r="L100" s="131"/>
      <c r="M100" s="131"/>
      <c r="N100" s="131"/>
      <c r="O100" s="131"/>
      <c r="P100" s="131"/>
      <c r="Q100" s="1"/>
      <c r="R100" s="1"/>
      <c r="S100" s="1"/>
      <c r="T100" s="1"/>
      <c r="U100" s="1"/>
      <c r="V100" s="1"/>
      <c r="W100" s="1"/>
      <c r="X100" s="1"/>
      <c r="Y100" s="1"/>
      <c r="Z100" s="1"/>
    </row>
    <row r="101" spans="1:26" ht="51" x14ac:dyDescent="0.25">
      <c r="A101"/>
      <c r="B101" s="367"/>
      <c r="C101" s="173"/>
      <c r="D101" s="183" t="str">
        <f>VLOOKUP(A100,'imp-questions'!A:H,7,FALSE)</f>
        <v xml:space="preserve">Applications are regularly monitored for the correct use of the list of recommended technologies
Violations against the list are solved in accorandance with the organisational‚Äôs policy
The number of violations on a yearly basis falls within objectives or concrete actions are taken to improve
</v>
      </c>
      <c r="E101" s="169"/>
      <c r="F101" s="26"/>
      <c r="G101" s="22"/>
      <c r="H101" s="115"/>
      <c r="I101" s="323"/>
      <c r="J101" s="11"/>
      <c r="K101" s="1"/>
      <c r="L101" s="131"/>
      <c r="M101" s="131"/>
      <c r="N101" s="131"/>
      <c r="O101" s="131"/>
      <c r="P101" s="131"/>
      <c r="Q101" s="1"/>
      <c r="R101" s="1"/>
      <c r="S101" s="1"/>
      <c r="T101" s="1"/>
      <c r="U101" s="1"/>
      <c r="V101" s="1"/>
      <c r="W101" s="1"/>
      <c r="X101" s="1"/>
      <c r="Y101" s="1"/>
      <c r="Z101" s="1"/>
    </row>
    <row r="102" spans="1:26" ht="12.75" x14ac:dyDescent="0.2">
      <c r="A102"/>
      <c r="B102" s="421" t="s">
        <v>286</v>
      </c>
      <c r="C102" s="421"/>
      <c r="D102" s="421"/>
      <c r="E102" s="421"/>
      <c r="F102" s="421"/>
      <c r="G102" s="421"/>
      <c r="H102" s="421"/>
      <c r="I102" s="421"/>
      <c r="J102" s="421"/>
      <c r="K102" s="156"/>
      <c r="L102" s="131"/>
      <c r="M102" s="131"/>
      <c r="N102" s="131"/>
      <c r="O102" s="131"/>
      <c r="P102" s="131"/>
      <c r="Q102" s="156"/>
      <c r="R102" s="156"/>
      <c r="S102" s="156"/>
      <c r="T102" s="156"/>
      <c r="U102" s="156"/>
      <c r="V102" s="156"/>
      <c r="W102" s="156"/>
      <c r="X102" s="156"/>
      <c r="Y102" s="156"/>
      <c r="Z102" s="156"/>
    </row>
    <row r="103" spans="1:26" ht="12.75" x14ac:dyDescent="0.2">
      <c r="A103"/>
      <c r="B103" s="422" t="s">
        <v>287</v>
      </c>
      <c r="C103" s="423"/>
      <c r="D103" s="424"/>
      <c r="E103" s="176"/>
      <c r="F103" s="177" t="s">
        <v>34</v>
      </c>
      <c r="G103" s="177"/>
      <c r="H103" s="178"/>
      <c r="I103" s="179" t="s">
        <v>21</v>
      </c>
      <c r="J103" s="179" t="s">
        <v>32</v>
      </c>
      <c r="K103" s="156"/>
      <c r="L103" s="131"/>
      <c r="M103" s="131"/>
      <c r="N103" s="131"/>
      <c r="O103" s="131"/>
      <c r="P103" s="131"/>
      <c r="Q103" s="156"/>
      <c r="R103" s="156"/>
      <c r="S103" s="156"/>
      <c r="T103" s="156"/>
      <c r="U103" s="156"/>
      <c r="V103" s="156"/>
      <c r="W103" s="156"/>
      <c r="X103" s="156"/>
      <c r="Y103" s="156"/>
      <c r="Z103" s="156"/>
    </row>
    <row r="104" spans="1:26" ht="12.75" x14ac:dyDescent="0.2">
      <c r="A104" s="159" t="s">
        <v>285</v>
      </c>
      <c r="B104" s="370" t="str">
        <f>VLOOKUP(A104,'imp-questions'!A:H,4,FALSE)</f>
        <v>Build Process</v>
      </c>
      <c r="C104" s="209">
        <f>VLOOKUP(A104,'imp-questions'!A:H,5,FALSE)</f>
        <v>1</v>
      </c>
      <c r="D104" s="202" t="str">
        <f>VLOOKUP(A104,'imp-questions'!A:H,6,FALSE)</f>
        <v>Do you use repeatable build processes?</v>
      </c>
      <c r="E104" s="164" t="str">
        <f>CHAR(65+VLOOKUP(A104,'imp-questions'!A:H,8,FALSE))</f>
        <v>A</v>
      </c>
      <c r="F104" s="193"/>
      <c r="G104" s="18">
        <f>IFERROR(VLOOKUP(F104,AnsATBL,2,FALSE),0)</f>
        <v>0</v>
      </c>
      <c r="H104" s="212">
        <f>IFERROR(AVERAGE(G104,G111),0)</f>
        <v>0</v>
      </c>
      <c r="I104" s="331"/>
      <c r="J104" s="346">
        <f>SUM(H104,H106,H108)</f>
        <v>0</v>
      </c>
      <c r="K104" s="156"/>
      <c r="L104" s="131"/>
      <c r="M104" s="131"/>
      <c r="N104" s="131"/>
      <c r="O104" s="131"/>
      <c r="P104" s="131"/>
      <c r="Q104" s="156"/>
      <c r="R104" s="156"/>
      <c r="S104" s="156"/>
      <c r="T104" s="156"/>
      <c r="U104" s="156"/>
      <c r="V104" s="156"/>
      <c r="W104" s="156"/>
      <c r="X104" s="156"/>
      <c r="Y104" s="156"/>
      <c r="Z104" s="156"/>
    </row>
    <row r="105" spans="1:26" ht="63.75" x14ac:dyDescent="0.2">
      <c r="A105"/>
      <c r="B105" s="371"/>
      <c r="C105" s="144"/>
      <c r="D105" s="191" t="str">
        <f>VLOOKUP(A104,'imp-questions'!A:H,7,FALSE)</f>
        <v xml:space="preserve">You have enough information to recreate the build processes
Your build documentation up to date
Your build documentation is stored in an accessible location
Produced artifact checksums are created during build to support later verification
</v>
      </c>
      <c r="E105" s="169"/>
      <c r="F105" s="26"/>
      <c r="G105" s="22"/>
      <c r="H105" s="213"/>
      <c r="I105" s="332"/>
      <c r="J105" s="347"/>
      <c r="K105" s="156"/>
      <c r="L105" s="131"/>
      <c r="M105" s="131"/>
      <c r="N105" s="131"/>
      <c r="O105" s="131"/>
      <c r="P105" s="131"/>
      <c r="Q105" s="156"/>
      <c r="R105" s="156"/>
      <c r="S105" s="156"/>
      <c r="T105" s="156"/>
      <c r="U105" s="156"/>
      <c r="V105" s="156"/>
      <c r="W105" s="156"/>
      <c r="X105" s="156"/>
      <c r="Y105" s="156"/>
      <c r="Z105" s="156"/>
    </row>
    <row r="106" spans="1:26" x14ac:dyDescent="0.25">
      <c r="A106" s="159" t="s">
        <v>291</v>
      </c>
      <c r="B106" s="371"/>
      <c r="C106" s="209">
        <f>VLOOKUP(A106,'imp-questions'!A:H,5,FALSE)</f>
        <v>2</v>
      </c>
      <c r="D106" s="202" t="str">
        <f>VLOOKUP(A106,'imp-questions'!A:H,6,FALSE)</f>
        <v>Are build processes automated?</v>
      </c>
      <c r="E106" s="164" t="str">
        <f>CHAR(65+VLOOKUP(A106,'imp-questions'!A:H,8,FALSE))</f>
        <v>A</v>
      </c>
      <c r="F106" s="193"/>
      <c r="G106" s="18">
        <f>IFERROR(VLOOKUP(F106,AnsATBL,2,FALSE),0)</f>
        <v>0</v>
      </c>
      <c r="H106" s="212">
        <f>IFERROR(AVERAGE(G106,G113),0)</f>
        <v>0</v>
      </c>
      <c r="I106" s="325"/>
      <c r="J106" s="215"/>
      <c r="K106" s="205"/>
      <c r="L106" s="131"/>
      <c r="M106" s="131"/>
      <c r="N106" s="131"/>
      <c r="O106" s="131"/>
      <c r="P106" s="131"/>
      <c r="Q106" s="205"/>
      <c r="R106" s="205"/>
      <c r="S106" s="205"/>
      <c r="T106" s="205"/>
      <c r="U106" s="205"/>
      <c r="V106" s="205"/>
      <c r="W106" s="205"/>
      <c r="X106" s="205"/>
      <c r="Y106" s="205"/>
      <c r="Z106" s="205"/>
    </row>
    <row r="107" spans="1:26" ht="38.25" x14ac:dyDescent="0.25">
      <c r="A107"/>
      <c r="B107" s="371"/>
      <c r="C107" s="144"/>
      <c r="D107" s="191" t="str">
        <f>VLOOKUP(A106,'imp-questions'!A:H,7,FALSE)</f>
        <v xml:space="preserve">Your build tools are hardened as per best practice and vendor guidance
You encrypt the secrets required by the build tools and control access based on the principle of least privilege
</v>
      </c>
      <c r="E107" s="169"/>
      <c r="F107" s="26"/>
      <c r="G107" s="22"/>
      <c r="H107" s="216"/>
      <c r="I107" s="326"/>
      <c r="J107" s="215"/>
      <c r="K107" s="205"/>
      <c r="L107" s="131"/>
      <c r="M107" s="131"/>
      <c r="N107" s="131"/>
      <c r="O107" s="131"/>
      <c r="P107" s="131"/>
      <c r="Q107" s="205"/>
      <c r="R107" s="205"/>
      <c r="S107" s="205"/>
      <c r="T107" s="205"/>
      <c r="U107" s="205"/>
      <c r="V107" s="205"/>
      <c r="W107" s="205"/>
      <c r="X107" s="205"/>
      <c r="Y107" s="205"/>
      <c r="Z107" s="205"/>
    </row>
    <row r="108" spans="1:26" x14ac:dyDescent="0.25">
      <c r="A108" s="159" t="s">
        <v>294</v>
      </c>
      <c r="B108" s="371"/>
      <c r="C108" s="209">
        <f>VLOOKUP(A108,'imp-questions'!A:H,5,FALSE)</f>
        <v>3</v>
      </c>
      <c r="D108" s="202" t="str">
        <f>VLOOKUP(A108,'imp-questions'!A:H,6,FALSE)</f>
        <v>Do you integrate automated security checks in build processes?</v>
      </c>
      <c r="E108" s="164" t="str">
        <f>CHAR(65+VLOOKUP(A108,'imp-questions'!A:H,8,FALSE))</f>
        <v>A</v>
      </c>
      <c r="F108" s="193"/>
      <c r="G108" s="18">
        <f>IFERROR(VLOOKUP(F108,AnsATBL,2,FALSE),0)</f>
        <v>0</v>
      </c>
      <c r="H108" s="212">
        <f>IFERROR(AVERAGE(G108,G115),0)</f>
        <v>0</v>
      </c>
      <c r="I108" s="353"/>
      <c r="J108" s="215"/>
      <c r="K108" s="156"/>
      <c r="L108" s="131"/>
      <c r="M108" s="131"/>
      <c r="N108" s="131"/>
      <c r="O108" s="131"/>
      <c r="P108" s="131"/>
      <c r="Q108" s="156"/>
      <c r="R108" s="156"/>
      <c r="S108" s="156"/>
      <c r="T108" s="156"/>
      <c r="U108" s="156"/>
      <c r="V108" s="156"/>
      <c r="W108" s="156"/>
      <c r="X108" s="156"/>
      <c r="Y108" s="156"/>
      <c r="Z108" s="156"/>
    </row>
    <row r="109" spans="1:26" ht="63.75" x14ac:dyDescent="0.25">
      <c r="A109"/>
      <c r="B109" s="372"/>
      <c r="C109" s="173"/>
      <c r="D109" s="183" t="str">
        <f>VLOOKUP(A108,'imp-questions'!A:H,7,FALSE)</f>
        <v xml:space="preserve">You have a maximum accepted severity for vulnerabilties
You log warnings and failures in a centralized system
Build processes prevent deployment to production when security checks fail
You select and configure tools to evaluate each application against its security requirements
</v>
      </c>
      <c r="E109" s="169"/>
      <c r="F109" s="26"/>
      <c r="G109" s="22"/>
      <c r="H109" s="216"/>
      <c r="I109" s="326"/>
      <c r="J109" s="215"/>
      <c r="K109" s="156"/>
      <c r="L109" s="131"/>
      <c r="M109" s="131"/>
      <c r="N109" s="131"/>
      <c r="O109" s="131"/>
      <c r="P109" s="131"/>
      <c r="Q109" s="156"/>
      <c r="R109" s="156"/>
      <c r="S109" s="156"/>
      <c r="T109" s="156"/>
      <c r="U109" s="156"/>
      <c r="V109" s="156"/>
      <c r="W109" s="156"/>
      <c r="X109" s="156"/>
      <c r="Y109" s="156"/>
      <c r="Z109" s="156"/>
    </row>
    <row r="110" spans="1:26" x14ac:dyDescent="0.25">
      <c r="A110"/>
      <c r="B110" s="340"/>
      <c r="C110" s="341"/>
      <c r="D110" s="341"/>
      <c r="E110" s="341"/>
      <c r="F110" s="341"/>
      <c r="G110" s="341"/>
      <c r="H110" s="341"/>
      <c r="I110" s="342"/>
      <c r="J110" s="11"/>
      <c r="K110" s="156"/>
      <c r="L110" s="131"/>
      <c r="M110" s="131"/>
      <c r="N110" s="131"/>
      <c r="O110" s="131"/>
      <c r="P110" s="131"/>
      <c r="Q110" s="156"/>
      <c r="R110" s="156"/>
      <c r="S110" s="156"/>
      <c r="T110" s="156"/>
      <c r="U110" s="156"/>
      <c r="V110" s="156"/>
      <c r="W110" s="156"/>
      <c r="X110" s="156"/>
      <c r="Y110" s="156"/>
      <c r="Z110" s="156"/>
    </row>
    <row r="111" spans="1:26" x14ac:dyDescent="0.25">
      <c r="A111" s="159" t="s">
        <v>297</v>
      </c>
      <c r="B111" s="370" t="str">
        <f>VLOOKUP(A111,'imp-questions'!A:H,4,FALSE)</f>
        <v>Software Dependencies</v>
      </c>
      <c r="C111" s="209">
        <f>VLOOKUP(A111,'imp-questions'!A:H,5,FALSE)</f>
        <v>1</v>
      </c>
      <c r="D111" s="202" t="str">
        <f>VLOOKUP(A111,'imp-questions'!A:H,6,FALSE)</f>
        <v>Do you evaluate security risk stemming from used dependencies?</v>
      </c>
      <c r="E111" s="164" t="str">
        <f>CHAR(65+VLOOKUP(A111,'imp-questions'!A:H,8,FALSE))</f>
        <v>A</v>
      </c>
      <c r="F111" s="193"/>
      <c r="G111" s="18">
        <f>IFERROR(VLOOKUP(F111,AnsATBL,2,FALSE),0)</f>
        <v>0</v>
      </c>
      <c r="H111" s="103"/>
      <c r="I111" s="322"/>
      <c r="J111" s="11"/>
      <c r="K111" s="156"/>
      <c r="L111" s="131"/>
      <c r="M111" s="131"/>
      <c r="N111" s="131"/>
      <c r="O111" s="131"/>
      <c r="P111" s="131"/>
      <c r="Q111" s="156"/>
      <c r="R111" s="156"/>
      <c r="S111" s="156"/>
      <c r="T111" s="156"/>
      <c r="U111" s="156"/>
      <c r="V111" s="156"/>
      <c r="W111" s="156"/>
      <c r="X111" s="156"/>
      <c r="Y111" s="156"/>
      <c r="Z111" s="156"/>
    </row>
    <row r="112" spans="1:26" ht="51" x14ac:dyDescent="0.25">
      <c r="A112"/>
      <c r="B112" s="371"/>
      <c r="C112" s="144"/>
      <c r="D112" s="191" t="str">
        <f>VLOOKUP(A111,'imp-questions'!A:H,7,FALSE)</f>
        <v xml:space="preserve">You have current bill of materials (BOM) for every application
You can quickly find out which applications are affected by a particular CVE
You have provably analyzed and addressed findings from dependencies at least once in the last three months
</v>
      </c>
      <c r="E112" s="169"/>
      <c r="F112" s="26"/>
      <c r="G112" s="22"/>
      <c r="H112" s="115"/>
      <c r="I112" s="323"/>
      <c r="J112" s="11"/>
      <c r="K112" s="156"/>
      <c r="L112" s="131"/>
      <c r="M112" s="131"/>
      <c r="N112" s="131"/>
      <c r="O112" s="131"/>
      <c r="P112" s="131"/>
      <c r="Q112" s="156"/>
      <c r="R112" s="156"/>
      <c r="S112" s="156"/>
      <c r="T112" s="156"/>
      <c r="U112" s="156"/>
      <c r="V112" s="156"/>
      <c r="W112" s="156"/>
      <c r="X112" s="156"/>
      <c r="Y112" s="156"/>
      <c r="Z112" s="156"/>
    </row>
    <row r="113" spans="1:26" x14ac:dyDescent="0.25">
      <c r="A113" s="159" t="s">
        <v>301</v>
      </c>
      <c r="B113" s="371"/>
      <c r="C113" s="209">
        <f>VLOOKUP(A113,'imp-questions'!A:H,5,FALSE)</f>
        <v>2</v>
      </c>
      <c r="D113" s="202" t="str">
        <f>VLOOKUP(A113,'imp-questions'!A:H,6,FALSE)</f>
        <v>Is 3rd party dependency risk handled by a formal process?</v>
      </c>
      <c r="E113" s="164" t="str">
        <f>CHAR(65+VLOOKUP(A113,'imp-questions'!A:H,8,FALSE))</f>
        <v>A</v>
      </c>
      <c r="F113" s="193"/>
      <c r="G113" s="18">
        <f>IFERROR(VLOOKUP(F113,AnsATBL,2,FALSE),0)</f>
        <v>0</v>
      </c>
      <c r="H113" s="103"/>
      <c r="I113" s="322"/>
      <c r="J113" s="11"/>
      <c r="K113" s="205"/>
      <c r="L113" s="131"/>
      <c r="M113" s="131"/>
      <c r="N113" s="131"/>
      <c r="O113" s="131"/>
      <c r="P113" s="131"/>
      <c r="Q113" s="205"/>
      <c r="R113" s="205"/>
      <c r="S113" s="205"/>
      <c r="T113" s="205"/>
      <c r="U113" s="205"/>
      <c r="V113" s="205"/>
      <c r="W113" s="205"/>
      <c r="X113" s="205"/>
      <c r="Y113" s="205"/>
      <c r="Z113" s="205"/>
    </row>
    <row r="114" spans="1:26" ht="63.75" x14ac:dyDescent="0.25">
      <c r="A114"/>
      <c r="B114" s="371"/>
      <c r="C114" s="144"/>
      <c r="D114" s="191" t="str">
        <f>VLOOKUP(A113,'imp-questions'!A:H,7,FALSE)</f>
        <v xml:space="preserve">Dependencies are automatically evaluated for new CVEs
Above defined criticality threshold, responsible staff is alerted
License changes with possible impact on legal application usage are automatically detected and alerted
Usage of unmaintained dependencies is tracked and alerted
</v>
      </c>
      <c r="E114" s="169"/>
      <c r="F114" s="26"/>
      <c r="G114" s="22"/>
      <c r="H114" s="115"/>
      <c r="I114" s="323"/>
      <c r="J114" s="11"/>
      <c r="K114" s="205"/>
      <c r="L114" s="131"/>
      <c r="M114" s="131"/>
      <c r="N114" s="131"/>
      <c r="O114" s="131"/>
      <c r="P114" s="131"/>
      <c r="Q114" s="205"/>
      <c r="R114" s="205"/>
      <c r="S114" s="205"/>
      <c r="T114" s="205"/>
      <c r="U114" s="205"/>
      <c r="V114" s="205"/>
      <c r="W114" s="205"/>
      <c r="X114" s="205"/>
      <c r="Y114" s="205"/>
      <c r="Z114" s="205"/>
    </row>
    <row r="115" spans="1:26" x14ac:dyDescent="0.25">
      <c r="A115" s="159" t="s">
        <v>304</v>
      </c>
      <c r="B115" s="371"/>
      <c r="C115" s="209">
        <f>VLOOKUP(A115,'imp-questions'!A:H,5,FALSE)</f>
        <v>3</v>
      </c>
      <c r="D115" s="202" t="str">
        <f>VLOOKUP(A115,'imp-questions'!A:H,6,FALSE)</f>
        <v>Do you prevent build of software if it's affected by vulnerabilities in dependencies?</v>
      </c>
      <c r="E115" s="164" t="str">
        <f>CHAR(65+VLOOKUP(A115,'imp-questions'!A:H,8,FALSE))</f>
        <v>A</v>
      </c>
      <c r="F115" s="193"/>
      <c r="G115" s="18">
        <f>IFERROR(VLOOKUP(F115,AnsATBL,2,FALSE),0)</f>
        <v>0</v>
      </c>
      <c r="H115" s="103"/>
      <c r="I115" s="322"/>
      <c r="J115" s="11"/>
      <c r="K115" s="156"/>
      <c r="L115" s="131"/>
      <c r="M115" s="131"/>
      <c r="N115" s="131"/>
      <c r="O115" s="131"/>
      <c r="P115" s="131"/>
      <c r="Q115" s="156"/>
      <c r="R115" s="156"/>
      <c r="S115" s="156"/>
      <c r="T115" s="156"/>
      <c r="U115" s="156"/>
      <c r="V115" s="156"/>
      <c r="W115" s="156"/>
      <c r="X115" s="156"/>
      <c r="Y115" s="156"/>
      <c r="Z115" s="156"/>
    </row>
    <row r="116" spans="1:26" ht="76.5" x14ac:dyDescent="0.25">
      <c r="A116"/>
      <c r="B116" s="372"/>
      <c r="C116" s="173"/>
      <c r="D116" s="183" t="str">
        <f>VLOOKUP(A115,'imp-questions'!A:H,7,FALSE)</f>
        <v xml:space="preserve">Your build system is connected to a system for tracking 3rd party dependency risk, causing build to fail unless the vulnerability is evaluated to be a false positive or the risk is explicitely accepted.
You scan your dependencies using a static analysis tool
You report findings back to dependency authors using an established responsible disclosure process
Using a new dependency which has not been evaluated for security risk causes failing the build
</v>
      </c>
      <c r="E116" s="169"/>
      <c r="F116" s="26"/>
      <c r="G116" s="22"/>
      <c r="H116" s="115"/>
      <c r="I116" s="323"/>
      <c r="J116" s="11"/>
      <c r="K116" s="156"/>
      <c r="L116" s="131"/>
      <c r="M116" s="131"/>
      <c r="N116" s="131"/>
      <c r="O116" s="131"/>
      <c r="P116" s="131"/>
      <c r="Q116" s="156"/>
      <c r="R116" s="156"/>
      <c r="S116" s="156"/>
      <c r="T116" s="156"/>
      <c r="U116" s="156"/>
      <c r="V116" s="156"/>
      <c r="W116" s="156"/>
      <c r="X116" s="156"/>
      <c r="Y116" s="156"/>
      <c r="Z116" s="156"/>
    </row>
    <row r="117" spans="1:26" ht="12.75" x14ac:dyDescent="0.2">
      <c r="A117"/>
      <c r="B117" s="401" t="s">
        <v>308</v>
      </c>
      <c r="C117" s="402"/>
      <c r="D117" s="403"/>
      <c r="E117" s="180"/>
      <c r="F117" s="181" t="s">
        <v>34</v>
      </c>
      <c r="G117" s="181"/>
      <c r="H117" s="182"/>
      <c r="I117" s="179" t="s">
        <v>21</v>
      </c>
      <c r="J117" s="179" t="s">
        <v>32</v>
      </c>
      <c r="K117" s="156"/>
      <c r="L117" s="131"/>
      <c r="M117" s="131"/>
      <c r="N117" s="131"/>
      <c r="O117" s="131"/>
      <c r="P117" s="131"/>
      <c r="Q117" s="156"/>
      <c r="R117" s="156"/>
      <c r="S117" s="156"/>
      <c r="T117" s="156"/>
      <c r="U117" s="156"/>
      <c r="V117" s="156"/>
      <c r="W117" s="156"/>
      <c r="X117" s="156"/>
      <c r="Y117" s="156"/>
      <c r="Z117" s="156"/>
    </row>
    <row r="118" spans="1:26" ht="14.1" customHeight="1" x14ac:dyDescent="0.2">
      <c r="A118" s="159" t="s">
        <v>307</v>
      </c>
      <c r="B118" s="370" t="str">
        <f>VLOOKUP(A118,'imp-questions'!A:H,4,FALSE)</f>
        <v>Deployment Process</v>
      </c>
      <c r="C118" s="209">
        <f>VLOOKUP(A118,'imp-questions'!A:H,5,FALSE)</f>
        <v>1</v>
      </c>
      <c r="D118" s="202" t="str">
        <f>VLOOKUP(A118,'imp-questions'!A:H,6,FALSE)</f>
        <v>Do you use repeatable deployment processes?</v>
      </c>
      <c r="E118" s="164" t="str">
        <f>CHAR(65+VLOOKUP(A118,'imp-questions'!A:H,8,FALSE))</f>
        <v>A</v>
      </c>
      <c r="F118" s="193"/>
      <c r="G118" s="18">
        <f>IFERROR(VLOOKUP(F118,AnsATBL,2,FALSE),0)</f>
        <v>0</v>
      </c>
      <c r="H118" s="212">
        <f>IFERROR(AVERAGE(G118,G125),0)</f>
        <v>0</v>
      </c>
      <c r="I118" s="331"/>
      <c r="J118" s="346">
        <f>SUM(H118,H120,H122)</f>
        <v>0</v>
      </c>
      <c r="K118" s="156"/>
      <c r="L118" s="131"/>
      <c r="M118" s="131"/>
      <c r="N118" s="131"/>
      <c r="O118" s="131"/>
      <c r="P118" s="131"/>
      <c r="Q118" s="156"/>
      <c r="R118" s="156"/>
      <c r="S118" s="156"/>
      <c r="T118" s="156"/>
      <c r="U118" s="156"/>
      <c r="V118" s="156"/>
      <c r="W118" s="156"/>
      <c r="X118" s="156"/>
      <c r="Y118" s="156"/>
      <c r="Z118" s="156"/>
    </row>
    <row r="119" spans="1:26" ht="76.5" x14ac:dyDescent="0.2">
      <c r="A119"/>
      <c r="B119" s="371"/>
      <c r="C119" s="144"/>
      <c r="D119" s="191" t="str">
        <f>VLOOKUP(A118,'imp-questions'!A:H,7,FALSE)</f>
        <v xml:space="preserve">You have enough information to run the deployment processes
Your deployment documentation up to date
Your deployment documentation is accessible to relevant stakeholders
You ensure that only defined qualified personnel can trigger a deployment
You harden the tools that are used within the deployment process
</v>
      </c>
      <c r="E119" s="169"/>
      <c r="F119" s="26"/>
      <c r="G119" s="22"/>
      <c r="H119" s="213"/>
      <c r="I119" s="332"/>
      <c r="J119" s="347"/>
      <c r="K119" s="156"/>
      <c r="L119" s="131"/>
      <c r="M119" s="131"/>
      <c r="N119" s="131"/>
      <c r="O119" s="131"/>
      <c r="P119" s="131"/>
      <c r="Q119" s="156"/>
      <c r="R119" s="156"/>
      <c r="S119" s="156"/>
      <c r="T119" s="156"/>
      <c r="U119" s="156"/>
      <c r="V119" s="156"/>
      <c r="W119" s="156"/>
      <c r="X119" s="156"/>
      <c r="Y119" s="156"/>
      <c r="Z119" s="156"/>
    </row>
    <row r="120" spans="1:26" x14ac:dyDescent="0.25">
      <c r="A120" s="159" t="s">
        <v>312</v>
      </c>
      <c r="B120" s="371"/>
      <c r="C120" s="209">
        <f>VLOOKUP(A120,'imp-questions'!A:H,5,FALSE)</f>
        <v>2</v>
      </c>
      <c r="D120" s="202" t="str">
        <f>VLOOKUP(A120,'imp-questions'!A:H,6,FALSE)</f>
        <v>Are deployment processes automated and taking into account security?</v>
      </c>
      <c r="E120" s="164" t="str">
        <f>CHAR(65+VLOOKUP(A120,'imp-questions'!A:H,8,FALSE))</f>
        <v>A</v>
      </c>
      <c r="F120" s="193"/>
      <c r="G120" s="18">
        <f>IFERROR(VLOOKUP(F120,AnsATBL,2,FALSE),0)</f>
        <v>0</v>
      </c>
      <c r="H120" s="212">
        <f>IFERROR(AVERAGE(G120,G127),0)</f>
        <v>0</v>
      </c>
      <c r="I120" s="325"/>
      <c r="J120" s="215"/>
      <c r="K120" s="205"/>
      <c r="L120" s="131"/>
      <c r="M120" s="131"/>
      <c r="N120" s="131"/>
      <c r="O120" s="131"/>
      <c r="P120" s="131"/>
      <c r="Q120" s="205"/>
      <c r="R120" s="205"/>
      <c r="S120" s="205"/>
      <c r="T120" s="205"/>
      <c r="U120" s="205"/>
      <c r="V120" s="205"/>
      <c r="W120" s="205"/>
      <c r="X120" s="205"/>
      <c r="Y120" s="205"/>
      <c r="Z120" s="205"/>
    </row>
    <row r="121" spans="1:26" ht="51" x14ac:dyDescent="0.25">
      <c r="A121"/>
      <c r="B121" s="371"/>
      <c r="C121" s="144"/>
      <c r="D121" s="191" t="str">
        <f>VLOOKUP(A120,'imp-questions'!A:H,7,FALSE)</f>
        <v xml:space="preserve">Deployment includes automated security testing procedures
Responsible staff is alerted with identified vulnerabilities
You have logs available for your past deployments for a defined period of time
</v>
      </c>
      <c r="E121" s="169"/>
      <c r="F121" s="26"/>
      <c r="G121" s="22"/>
      <c r="H121" s="216"/>
      <c r="I121" s="326"/>
      <c r="J121" s="215"/>
      <c r="K121" s="205"/>
      <c r="L121" s="131"/>
      <c r="M121" s="131"/>
      <c r="N121" s="131"/>
      <c r="O121" s="131"/>
      <c r="P121" s="131"/>
      <c r="Q121" s="205"/>
      <c r="R121" s="205"/>
      <c r="S121" s="205"/>
      <c r="T121" s="205"/>
      <c r="U121" s="205"/>
      <c r="V121" s="205"/>
      <c r="W121" s="205"/>
      <c r="X121" s="205"/>
      <c r="Y121" s="205"/>
      <c r="Z121" s="205"/>
    </row>
    <row r="122" spans="1:26" x14ac:dyDescent="0.25">
      <c r="A122" s="159" t="s">
        <v>315</v>
      </c>
      <c r="B122" s="371"/>
      <c r="C122" s="209">
        <f>VLOOKUP(A122,'imp-questions'!A:H,5,FALSE)</f>
        <v>3</v>
      </c>
      <c r="D122" s="202" t="str">
        <f>VLOOKUP(A122,'imp-questions'!A:H,6,FALSE)</f>
        <v>Do you consistently validate the integrity of deployed artifacts?</v>
      </c>
      <c r="E122" s="164" t="str">
        <f>CHAR(65+VLOOKUP(A122,'imp-questions'!A:H,8,FALSE))</f>
        <v>A</v>
      </c>
      <c r="F122" s="193"/>
      <c r="G122" s="18">
        <f>IFERROR(VLOOKUP(F122,AnsATBL,2,FALSE),0)</f>
        <v>0</v>
      </c>
      <c r="H122" s="212">
        <f>IFERROR(AVERAGE(G122,G129),0)</f>
        <v>0</v>
      </c>
      <c r="I122" s="353"/>
      <c r="J122" s="215"/>
      <c r="K122" s="156"/>
      <c r="L122" s="131"/>
      <c r="M122" s="131"/>
      <c r="N122" s="131"/>
      <c r="O122" s="131"/>
      <c r="P122" s="131"/>
      <c r="Q122" s="156"/>
      <c r="R122" s="156"/>
      <c r="S122" s="156"/>
      <c r="T122" s="156"/>
      <c r="U122" s="156"/>
      <c r="V122" s="156"/>
      <c r="W122" s="156"/>
      <c r="X122" s="156"/>
      <c r="Y122" s="156"/>
      <c r="Z122" s="156"/>
    </row>
    <row r="123" spans="1:26" ht="38.25" x14ac:dyDescent="0.25">
      <c r="A123"/>
      <c r="B123" s="372"/>
      <c r="C123" s="173"/>
      <c r="D123" s="183" t="str">
        <f>VLOOKUP(A122,'imp-questions'!A:H,7,FALSE)</f>
        <v xml:space="preserve">Deployment is prevented or rolled back in case integrity breach is detected
Software without a valid integrity check is not deployed
</v>
      </c>
      <c r="E123" s="169"/>
      <c r="F123" s="26"/>
      <c r="G123" s="22"/>
      <c r="H123" s="216"/>
      <c r="I123" s="326"/>
      <c r="J123" s="215"/>
      <c r="K123" s="156"/>
      <c r="L123" s="131"/>
      <c r="M123" s="131"/>
      <c r="N123" s="131"/>
      <c r="O123" s="131"/>
      <c r="P123" s="131"/>
      <c r="Q123" s="156"/>
      <c r="R123" s="156"/>
      <c r="S123" s="156"/>
      <c r="T123" s="156"/>
      <c r="U123" s="156"/>
      <c r="V123" s="156"/>
      <c r="W123" s="156"/>
      <c r="X123" s="156"/>
      <c r="Y123" s="156"/>
      <c r="Z123" s="156"/>
    </row>
    <row r="124" spans="1:26" x14ac:dyDescent="0.25">
      <c r="A124"/>
      <c r="B124" s="340"/>
      <c r="C124" s="341"/>
      <c r="D124" s="341"/>
      <c r="E124" s="341"/>
      <c r="F124" s="341"/>
      <c r="G124" s="341"/>
      <c r="H124" s="341"/>
      <c r="I124" s="342"/>
      <c r="J124" s="11"/>
      <c r="K124" s="156"/>
      <c r="L124" s="131"/>
      <c r="M124" s="131"/>
      <c r="N124" s="131"/>
      <c r="O124" s="131"/>
      <c r="P124" s="131"/>
      <c r="Q124" s="156"/>
      <c r="R124" s="156"/>
      <c r="S124" s="156"/>
      <c r="T124" s="156"/>
      <c r="U124" s="156"/>
      <c r="V124" s="156"/>
      <c r="W124" s="156"/>
      <c r="X124" s="156"/>
      <c r="Y124" s="156"/>
      <c r="Z124" s="156"/>
    </row>
    <row r="125" spans="1:26" x14ac:dyDescent="0.25">
      <c r="A125" s="159" t="s">
        <v>318</v>
      </c>
      <c r="B125" s="370" t="str">
        <f>VLOOKUP(A125,'imp-questions'!A:H,4,FALSE)</f>
        <v>Secret Management</v>
      </c>
      <c r="C125" s="209">
        <f>VLOOKUP(A125,'imp-questions'!A:H,5,FALSE)</f>
        <v>1</v>
      </c>
      <c r="D125" s="202" t="str">
        <f>VLOOKUP(A125,'imp-questions'!A:H,6,FALSE)</f>
        <v>Do you limit access to application secrets according to the need to know principle?</v>
      </c>
      <c r="E125" s="164" t="str">
        <f>CHAR(65+VLOOKUP(A125,'imp-questions'!A:H,8,FALSE))</f>
        <v>A</v>
      </c>
      <c r="F125" s="193"/>
      <c r="G125" s="18">
        <f>IFERROR(VLOOKUP(F125,AnsATBL,2,FALSE),0)</f>
        <v>0</v>
      </c>
      <c r="H125" s="103"/>
      <c r="I125" s="322"/>
      <c r="J125" s="11"/>
      <c r="K125" s="156"/>
      <c r="L125" s="131"/>
      <c r="M125" s="131"/>
      <c r="N125" s="131"/>
      <c r="O125" s="131"/>
      <c r="P125" s="131"/>
      <c r="Q125" s="156"/>
      <c r="R125" s="156"/>
      <c r="S125" s="156"/>
      <c r="T125" s="156"/>
      <c r="U125" s="156"/>
      <c r="V125" s="156"/>
      <c r="W125" s="156"/>
      <c r="X125" s="156"/>
      <c r="Y125" s="156"/>
      <c r="Z125" s="156"/>
    </row>
    <row r="126" spans="1:26" ht="25.5" x14ac:dyDescent="0.25">
      <c r="A126"/>
      <c r="B126" s="371"/>
      <c r="C126" s="144"/>
      <c r="D126" s="191" t="str">
        <f>VLOOKUP(A125,'imp-questions'!A:H,7,FALSE)</f>
        <v xml:space="preserve">You store application secrets protected in a secured location
</v>
      </c>
      <c r="E126" s="169"/>
      <c r="F126" s="26"/>
      <c r="G126" s="22"/>
      <c r="H126" s="115"/>
      <c r="I126" s="323"/>
      <c r="J126" s="11"/>
      <c r="K126" s="156"/>
      <c r="L126" s="131"/>
      <c r="M126" s="131"/>
      <c r="N126" s="131"/>
      <c r="O126" s="131"/>
      <c r="P126" s="131"/>
      <c r="Q126" s="156"/>
      <c r="R126" s="156"/>
      <c r="S126" s="156"/>
      <c r="T126" s="156"/>
      <c r="U126" s="156"/>
      <c r="V126" s="156"/>
      <c r="W126" s="156"/>
      <c r="X126" s="156"/>
      <c r="Y126" s="156"/>
      <c r="Z126" s="156"/>
    </row>
    <row r="127" spans="1:26" ht="25.5" x14ac:dyDescent="0.25">
      <c r="A127" s="159" t="s">
        <v>322</v>
      </c>
      <c r="B127" s="371"/>
      <c r="C127" s="209">
        <f>VLOOKUP(A127,'imp-questions'!A:H,5,FALSE)</f>
        <v>2</v>
      </c>
      <c r="D127" s="202" t="str">
        <f>VLOOKUP(A127,'imp-questions'!A:H,6,FALSE)</f>
        <v>Do you minimize permanent storage of secrets in application artefacts, for instance by injecting them into the configuration using an automated process?</v>
      </c>
      <c r="E127" s="164" t="str">
        <f>CHAR(65+VLOOKUP(A127,'imp-questions'!A:H,8,FALSE))</f>
        <v>A</v>
      </c>
      <c r="F127" s="193"/>
      <c r="G127" s="18">
        <f>IFERROR(VLOOKUP(F127,AnsATBL,2,FALSE),0)</f>
        <v>0</v>
      </c>
      <c r="H127" s="103"/>
      <c r="I127" s="322"/>
      <c r="J127" s="11"/>
      <c r="K127" s="205"/>
      <c r="L127" s="131"/>
      <c r="M127" s="131"/>
      <c r="N127" s="131"/>
      <c r="O127" s="131"/>
      <c r="P127" s="131"/>
      <c r="Q127" s="205"/>
      <c r="R127" s="205"/>
      <c r="S127" s="205"/>
      <c r="T127" s="205"/>
      <c r="U127" s="205"/>
      <c r="V127" s="205"/>
      <c r="W127" s="205"/>
      <c r="X127" s="205"/>
      <c r="Y127" s="205"/>
      <c r="Z127" s="205"/>
    </row>
    <row r="128" spans="1:26" ht="38.25" x14ac:dyDescent="0.25">
      <c r="A128"/>
      <c r="B128" s="371"/>
      <c r="C128" s="144"/>
      <c r="D128" s="191" t="str">
        <f>VLOOKUP(A127,'imp-questions'!A:H,7,FALSE)</f>
        <v xml:space="preserve">Under normal circumstances, no humans access secrets during deployment procedures
Any abnormal access to secrets is logged and alerted
</v>
      </c>
      <c r="E128" s="169"/>
      <c r="F128" s="26"/>
      <c r="G128" s="22"/>
      <c r="H128" s="115"/>
      <c r="I128" s="323"/>
      <c r="J128" s="11"/>
      <c r="K128" s="205"/>
      <c r="L128" s="131"/>
      <c r="M128" s="131"/>
      <c r="N128" s="131"/>
      <c r="O128" s="131"/>
      <c r="P128" s="131"/>
      <c r="Q128" s="205"/>
      <c r="R128" s="205"/>
      <c r="S128" s="205"/>
      <c r="T128" s="205"/>
      <c r="U128" s="205"/>
      <c r="V128" s="205"/>
      <c r="W128" s="205"/>
      <c r="X128" s="205"/>
      <c r="Y128" s="205"/>
      <c r="Z128" s="205"/>
    </row>
    <row r="129" spans="1:26" x14ac:dyDescent="0.25">
      <c r="A129" s="159" t="s">
        <v>325</v>
      </c>
      <c r="B129" s="371"/>
      <c r="C129" s="209">
        <f>VLOOKUP(A129,'imp-questions'!A:H,5,FALSE)</f>
        <v>3</v>
      </c>
      <c r="D129" s="202" t="str">
        <f>VLOOKUP(A129,'imp-questions'!A:H,6,FALSE)</f>
        <v>Do you regenerate application secrets during deployment?</v>
      </c>
      <c r="E129" s="164" t="str">
        <f>CHAR(65+VLOOKUP(A129,'imp-questions'!A:H,8,FALSE))</f>
        <v>A</v>
      </c>
      <c r="F129" s="193"/>
      <c r="G129" s="18">
        <f>IFERROR(VLOOKUP(F129,AnsATBL,2,FALSE),0)</f>
        <v>0</v>
      </c>
      <c r="H129" s="103"/>
      <c r="I129" s="322"/>
      <c r="J129" s="11"/>
      <c r="K129" s="156"/>
      <c r="L129" s="131"/>
      <c r="M129" s="131"/>
      <c r="N129" s="131"/>
      <c r="O129" s="131"/>
      <c r="P129" s="131"/>
      <c r="Q129" s="156"/>
      <c r="R129" s="156"/>
      <c r="S129" s="156"/>
      <c r="T129" s="156"/>
      <c r="U129" s="156"/>
      <c r="V129" s="156"/>
      <c r="W129" s="156"/>
      <c r="X129" s="156"/>
      <c r="Y129" s="156"/>
      <c r="Z129" s="156"/>
    </row>
    <row r="130" spans="1:26" ht="38.25" x14ac:dyDescent="0.25">
      <c r="A130"/>
      <c r="B130" s="372"/>
      <c r="C130" s="173"/>
      <c r="D130" s="183" t="str">
        <f>VLOOKUP(A129,'imp-questions'!A:H,7,FALSE)</f>
        <v xml:space="preserve">Secrets are generated and synchronized using a vetted solution
Detection of a secret in a configuration file fails the deployment
</v>
      </c>
      <c r="E130" s="169"/>
      <c r="F130" s="26"/>
      <c r="G130" s="22"/>
      <c r="H130" s="115"/>
      <c r="I130" s="323"/>
      <c r="J130" s="11"/>
      <c r="K130" s="156"/>
      <c r="L130" s="131"/>
      <c r="M130" s="131"/>
      <c r="N130" s="131"/>
      <c r="O130" s="131"/>
      <c r="P130" s="131"/>
      <c r="Q130" s="156"/>
      <c r="R130" s="156"/>
      <c r="S130" s="156"/>
      <c r="T130" s="156"/>
      <c r="U130" s="156"/>
      <c r="V130" s="156"/>
      <c r="W130" s="156"/>
      <c r="X130" s="156"/>
      <c r="Y130" s="156"/>
      <c r="Z130" s="156"/>
    </row>
    <row r="131" spans="1:26" ht="12.75" x14ac:dyDescent="0.2">
      <c r="A131"/>
      <c r="B131" s="401" t="s">
        <v>329</v>
      </c>
      <c r="C131" s="402"/>
      <c r="D131" s="403"/>
      <c r="E131" s="180"/>
      <c r="F131" s="181" t="s">
        <v>34</v>
      </c>
      <c r="G131" s="181"/>
      <c r="H131" s="182"/>
      <c r="I131" s="179" t="s">
        <v>21</v>
      </c>
      <c r="J131" s="179" t="s">
        <v>32</v>
      </c>
      <c r="K131" s="156"/>
      <c r="L131" s="131"/>
      <c r="M131" s="131"/>
      <c r="N131" s="131"/>
      <c r="O131" s="131"/>
      <c r="P131" s="131"/>
      <c r="Q131" s="156"/>
      <c r="R131" s="156"/>
      <c r="S131" s="156"/>
      <c r="T131" s="156"/>
      <c r="U131" s="156"/>
      <c r="V131" s="156"/>
      <c r="W131" s="156"/>
      <c r="X131" s="156"/>
      <c r="Y131" s="156"/>
      <c r="Z131" s="156"/>
    </row>
    <row r="132" spans="1:26" ht="14.1" customHeight="1" x14ac:dyDescent="0.2">
      <c r="A132" s="159" t="s">
        <v>328</v>
      </c>
      <c r="B132" s="370" t="str">
        <f>VLOOKUP(A132,'imp-questions'!A:H,4,FALSE)</f>
        <v>Defect Tracking (Flaws/Bugs/Process)</v>
      </c>
      <c r="C132" s="209">
        <f>VLOOKUP(A132,'imp-questions'!A:H,5,FALSE)</f>
        <v>1</v>
      </c>
      <c r="D132" s="202" t="str">
        <f>VLOOKUP(A132,'imp-questions'!A:H,6,FALSE)</f>
        <v>Do you track all known security defects in a central location per defined scope?</v>
      </c>
      <c r="E132" s="164" t="str">
        <f>CHAR(65+VLOOKUP(A132,'imp-questions'!A:H,8,FALSE))</f>
        <v>A</v>
      </c>
      <c r="F132" s="193"/>
      <c r="G132" s="18">
        <f>IFERROR(VLOOKUP(F132,AnsATBL,2,FALSE),0)</f>
        <v>0</v>
      </c>
      <c r="H132" s="212">
        <f>IFERROR(AVERAGE(G132,G139),0)</f>
        <v>0</v>
      </c>
      <c r="I132" s="331"/>
      <c r="J132" s="346">
        <f>SUM(H132,H134,H136)</f>
        <v>0</v>
      </c>
      <c r="K132" s="156"/>
      <c r="L132" s="131"/>
      <c r="M132" s="131"/>
      <c r="N132" s="131"/>
      <c r="O132" s="131"/>
      <c r="P132" s="131"/>
      <c r="Q132" s="156"/>
      <c r="R132" s="156"/>
      <c r="S132" s="156"/>
      <c r="T132" s="156"/>
      <c r="U132" s="156"/>
      <c r="V132" s="156"/>
      <c r="W132" s="156"/>
      <c r="X132" s="156"/>
      <c r="Y132" s="156"/>
      <c r="Z132" s="156"/>
    </row>
    <row r="133" spans="1:26" ht="51" x14ac:dyDescent="0.2">
      <c r="A133"/>
      <c r="B133" s="371"/>
      <c r="C133" s="144"/>
      <c r="D133" s="191" t="str">
        <f>VLOOKUP(A132,'imp-questions'!A:H,7,FALSE)</f>
        <v xml:space="preserve">The process includess strategy for handling false positives and accepting risk
Defects stem from various sources / activities
Deduplication is ensured per location
</v>
      </c>
      <c r="E133" s="169"/>
      <c r="F133" s="26"/>
      <c r="G133" s="22"/>
      <c r="H133" s="213"/>
      <c r="I133" s="332"/>
      <c r="J133" s="347"/>
      <c r="K133" s="156"/>
      <c r="L133" s="131"/>
      <c r="M133" s="131"/>
      <c r="N133" s="131"/>
      <c r="O133" s="131"/>
      <c r="P133" s="131"/>
      <c r="Q133" s="156"/>
      <c r="R133" s="156"/>
      <c r="S133" s="156"/>
      <c r="T133" s="156"/>
      <c r="U133" s="156"/>
      <c r="V133" s="156"/>
      <c r="W133" s="156"/>
      <c r="X133" s="156"/>
      <c r="Y133" s="156"/>
      <c r="Z133" s="156"/>
    </row>
    <row r="134" spans="1:26" x14ac:dyDescent="0.25">
      <c r="A134" s="159" t="s">
        <v>333</v>
      </c>
      <c r="B134" s="371"/>
      <c r="C134" s="209">
        <f>VLOOKUP(A134,'imp-questions'!A:H,5,FALSE)</f>
        <v>2</v>
      </c>
      <c r="D134" s="202" t="str">
        <f>VLOOKUP(A134,'imp-questions'!A:H,6,FALSE)</f>
        <v>Do you take action on defects exceeding defined threshold?</v>
      </c>
      <c r="E134" s="164" t="str">
        <f>CHAR(65+VLOOKUP(A134,'imp-questions'!A:H,8,FALSE))</f>
        <v>A</v>
      </c>
      <c r="F134" s="193"/>
      <c r="G134" s="18">
        <f>IFERROR(VLOOKUP(F134,AnsATBL,2,FALSE),0)</f>
        <v>0</v>
      </c>
      <c r="H134" s="212">
        <f>IFERROR(AVERAGE(G134,G141),0)</f>
        <v>0</v>
      </c>
      <c r="I134" s="325"/>
      <c r="J134" s="215"/>
      <c r="K134" s="205"/>
      <c r="L134" s="131"/>
      <c r="M134" s="131"/>
      <c r="N134" s="131"/>
      <c r="O134" s="131"/>
      <c r="P134" s="131"/>
      <c r="Q134" s="205"/>
      <c r="R134" s="205"/>
      <c r="S134" s="205"/>
      <c r="T134" s="205"/>
      <c r="U134" s="205"/>
      <c r="V134" s="205"/>
      <c r="W134" s="205"/>
      <c r="X134" s="205"/>
      <c r="Y134" s="205"/>
      <c r="Z134" s="205"/>
    </row>
    <row r="135" spans="1:26" ht="51" x14ac:dyDescent="0.25">
      <c r="A135"/>
      <c r="B135" s="371"/>
      <c r="C135" s="144"/>
      <c r="D135" s="191" t="str">
        <f>VLOOKUP(A134,'imp-questions'!A:H,7,FALSE)</f>
        <v xml:space="preserve">The defined threshold is documented in an accessible location
Reaching the threshold triggers a timely alert to the relevant stakeholders
You don't deploy applications exceeding the threshold
</v>
      </c>
      <c r="E135" s="169"/>
      <c r="F135" s="26"/>
      <c r="G135" s="22"/>
      <c r="H135" s="216"/>
      <c r="I135" s="326"/>
      <c r="J135" s="215"/>
      <c r="K135" s="205"/>
      <c r="L135" s="131"/>
      <c r="M135" s="131"/>
      <c r="N135" s="131"/>
      <c r="O135" s="131"/>
      <c r="P135" s="131"/>
      <c r="Q135" s="205"/>
      <c r="R135" s="205"/>
      <c r="S135" s="205"/>
      <c r="T135" s="205"/>
      <c r="U135" s="205"/>
      <c r="V135" s="205"/>
      <c r="W135" s="205"/>
      <c r="X135" s="205"/>
      <c r="Y135" s="205"/>
      <c r="Z135" s="205"/>
    </row>
    <row r="136" spans="1:26" x14ac:dyDescent="0.25">
      <c r="A136" s="159" t="s">
        <v>336</v>
      </c>
      <c r="B136" s="371"/>
      <c r="C136" s="209">
        <f>VLOOKUP(A136,'imp-questions'!A:H,5,FALSE)</f>
        <v>3</v>
      </c>
      <c r="D136" s="202" t="str">
        <f>VLOOKUP(A136,'imp-questions'!A:H,6,FALSE)</f>
        <v>Does independent security staff enforce the defined threshold?</v>
      </c>
      <c r="E136" s="164" t="str">
        <f>CHAR(65+VLOOKUP(A136,'imp-questions'!A:H,8,FALSE))</f>
        <v>A</v>
      </c>
      <c r="F136" s="193"/>
      <c r="G136" s="18">
        <f>IFERROR(VLOOKUP(F136,AnsATBL,2,FALSE),0)</f>
        <v>0</v>
      </c>
      <c r="H136" s="212">
        <f>IFERROR(AVERAGE(G136,G143),0)</f>
        <v>0</v>
      </c>
      <c r="I136" s="353"/>
      <c r="J136" s="215"/>
      <c r="K136" s="156"/>
      <c r="L136" s="131"/>
      <c r="M136" s="131"/>
      <c r="N136" s="131"/>
      <c r="O136" s="131"/>
      <c r="P136" s="131"/>
      <c r="Q136" s="156"/>
      <c r="R136" s="156"/>
      <c r="S136" s="156"/>
      <c r="T136" s="156"/>
      <c r="U136" s="156"/>
      <c r="V136" s="156"/>
      <c r="W136" s="156"/>
      <c r="X136" s="156"/>
      <c r="Y136" s="156"/>
      <c r="Z136" s="156"/>
    </row>
    <row r="137" spans="1:26" ht="38.25" x14ac:dyDescent="0.25">
      <c r="A137"/>
      <c r="B137" s="372"/>
      <c r="C137" s="173"/>
      <c r="D137" s="183" t="str">
        <f>VLOOKUP(A136,'imp-questions'!A:H,7,FALSE)</f>
        <v xml:space="preserve">Knowledgeable decision based on input from defect management system is ensured upon deployment
The classification of the defects is regularly verified
</v>
      </c>
      <c r="E137" s="169"/>
      <c r="F137" s="26"/>
      <c r="G137" s="22"/>
      <c r="H137" s="216"/>
      <c r="I137" s="326"/>
      <c r="J137" s="215"/>
      <c r="K137" s="156"/>
      <c r="L137" s="131"/>
      <c r="M137" s="131"/>
      <c r="N137" s="131"/>
      <c r="O137" s="131"/>
      <c r="P137" s="131"/>
      <c r="Q137" s="156"/>
      <c r="R137" s="156"/>
      <c r="S137" s="156"/>
      <c r="T137" s="156"/>
      <c r="U137" s="156"/>
      <c r="V137" s="156"/>
      <c r="W137" s="156"/>
      <c r="X137" s="156"/>
      <c r="Y137" s="156"/>
      <c r="Z137" s="156"/>
    </row>
    <row r="138" spans="1:26" x14ac:dyDescent="0.25">
      <c r="A138"/>
      <c r="B138" s="340"/>
      <c r="C138" s="341"/>
      <c r="D138" s="341"/>
      <c r="E138" s="341"/>
      <c r="F138" s="341"/>
      <c r="G138" s="341"/>
      <c r="H138" s="341"/>
      <c r="I138" s="342"/>
      <c r="J138" s="11"/>
      <c r="K138" s="156"/>
      <c r="L138" s="131"/>
      <c r="M138" s="131"/>
      <c r="N138" s="131"/>
      <c r="O138" s="131"/>
      <c r="P138" s="131"/>
      <c r="Q138" s="156"/>
      <c r="R138" s="156"/>
      <c r="S138" s="156"/>
      <c r="T138" s="156"/>
      <c r="U138" s="156"/>
      <c r="V138" s="156"/>
      <c r="W138" s="156"/>
      <c r="X138" s="156"/>
      <c r="Y138" s="156"/>
      <c r="Z138" s="156"/>
    </row>
    <row r="139" spans="1:26" x14ac:dyDescent="0.25">
      <c r="A139" s="159" t="s">
        <v>339</v>
      </c>
      <c r="B139" s="370" t="str">
        <f>VLOOKUP(A139,'imp-questions'!A:H,4,FALSE)</f>
        <v>Metrics and Feedback/Learning</v>
      </c>
      <c r="C139" s="209">
        <f>VLOOKUP(A139,'imp-questions'!A:H,5,FALSE)</f>
        <v>1</v>
      </c>
      <c r="D139" s="202" t="str">
        <f>VLOOKUP(A139,'imp-questions'!A:H,6,FALSE)</f>
        <v>Do you share defect information for remediation and improving training materials?</v>
      </c>
      <c r="E139" s="164" t="str">
        <f>CHAR(65+VLOOKUP(A139,'imp-questions'!A:H,8,FALSE))</f>
        <v>A</v>
      </c>
      <c r="F139" s="193"/>
      <c r="G139" s="18">
        <f>IFERROR(VLOOKUP(F139,AnsATBL,2,FALSE),0)</f>
        <v>0</v>
      </c>
      <c r="H139" s="103"/>
      <c r="I139" s="322"/>
      <c r="J139" s="11"/>
      <c r="K139" s="156"/>
      <c r="L139" s="131"/>
      <c r="M139" s="131"/>
      <c r="N139" s="131"/>
      <c r="O139" s="131"/>
      <c r="P139" s="131"/>
      <c r="Q139" s="156"/>
      <c r="R139" s="156"/>
      <c r="S139" s="156"/>
      <c r="T139" s="156"/>
      <c r="U139" s="156"/>
      <c r="V139" s="156"/>
      <c r="W139" s="156"/>
      <c r="X139" s="156"/>
      <c r="Y139" s="156"/>
      <c r="Z139" s="156"/>
    </row>
    <row r="140" spans="1:26" ht="38.25" x14ac:dyDescent="0.25">
      <c r="A140"/>
      <c r="B140" s="371"/>
      <c r="C140" s="144"/>
      <c r="D140" s="191" t="str">
        <f>VLOOKUP(A139,'imp-questions'!A:H,7,FALSE)</f>
        <v xml:space="preserve">Basic information about defects is made available to fix them
You have improved your training materials based on the defect information in the last year
</v>
      </c>
      <c r="E140" s="169"/>
      <c r="F140" s="26"/>
      <c r="G140" s="22"/>
      <c r="H140" s="115"/>
      <c r="I140" s="323"/>
      <c r="J140" s="11"/>
      <c r="K140" s="156"/>
      <c r="L140" s="131"/>
      <c r="M140" s="131"/>
      <c r="N140" s="131"/>
      <c r="O140" s="131"/>
      <c r="P140" s="131"/>
      <c r="Q140" s="156"/>
      <c r="R140" s="156"/>
      <c r="S140" s="156"/>
      <c r="T140" s="156"/>
      <c r="U140" s="156"/>
      <c r="V140" s="156"/>
      <c r="W140" s="156"/>
      <c r="X140" s="156"/>
      <c r="Y140" s="156"/>
      <c r="Z140" s="156"/>
    </row>
    <row r="141" spans="1:26" x14ac:dyDescent="0.25">
      <c r="A141" s="159" t="s">
        <v>343</v>
      </c>
      <c r="B141" s="371"/>
      <c r="C141" s="209">
        <f>VLOOKUP(A141,'imp-questions'!A:H,5,FALSE)</f>
        <v>2</v>
      </c>
      <c r="D141" s="202" t="str">
        <f>VLOOKUP(A141,'imp-questions'!A:H,6,FALSE)</f>
        <v>Do you improve your assurance program upon well-defined metrics?</v>
      </c>
      <c r="E141" s="164" t="str">
        <f>CHAR(65+VLOOKUP(A141,'imp-questions'!A:H,8,FALSE))</f>
        <v>A</v>
      </c>
      <c r="F141" s="193"/>
      <c r="G141" s="18">
        <f>IFERROR(VLOOKUP(F141,AnsATBL,2,FALSE),0)</f>
        <v>0</v>
      </c>
      <c r="H141" s="103"/>
      <c r="I141" s="322"/>
      <c r="J141" s="11"/>
      <c r="K141" s="205"/>
      <c r="L141" s="131"/>
      <c r="M141" s="131"/>
      <c r="N141" s="131"/>
      <c r="O141" s="131"/>
      <c r="P141" s="131"/>
      <c r="Q141" s="205"/>
      <c r="R141" s="205"/>
      <c r="S141" s="205"/>
      <c r="T141" s="205"/>
      <c r="U141" s="205"/>
      <c r="V141" s="205"/>
      <c r="W141" s="205"/>
      <c r="X141" s="205"/>
      <c r="Y141" s="205"/>
      <c r="Z141" s="205"/>
    </row>
    <row r="142" spans="1:26" ht="51" x14ac:dyDescent="0.25">
      <c r="A142"/>
      <c r="B142" s="371"/>
      <c r="C142" s="144"/>
      <c r="D142" s="191" t="str">
        <f>VLOOKUP(A141,'imp-questions'!A:H,7,FALSE)</f>
        <v xml:space="preserve">Metrics for defect classification and categorization is documented and up to date
Executive management regularly receives information about defects has acted upon it in the last year
Defects are mapped to a list of threats
</v>
      </c>
      <c r="E142" s="169"/>
      <c r="F142" s="26"/>
      <c r="G142" s="22"/>
      <c r="H142" s="115"/>
      <c r="I142" s="323"/>
      <c r="J142" s="11"/>
      <c r="K142" s="205"/>
      <c r="L142" s="131"/>
      <c r="M142" s="131"/>
      <c r="N142" s="131"/>
      <c r="O142" s="131"/>
      <c r="P142" s="131"/>
      <c r="Q142" s="205"/>
      <c r="R142" s="205"/>
      <c r="S142" s="205"/>
      <c r="T142" s="205"/>
      <c r="U142" s="205"/>
      <c r="V142" s="205"/>
      <c r="W142" s="205"/>
      <c r="X142" s="205"/>
      <c r="Y142" s="205"/>
      <c r="Z142" s="205"/>
    </row>
    <row r="143" spans="1:26" x14ac:dyDescent="0.25">
      <c r="A143" s="159" t="s">
        <v>346</v>
      </c>
      <c r="B143" s="371"/>
      <c r="C143" s="209">
        <f>VLOOKUP(A143,'imp-questions'!A:H,5,FALSE)</f>
        <v>3</v>
      </c>
      <c r="D143" s="202" t="str">
        <f>VLOOKUP(A143,'imp-questions'!A:H,6,FALSE)</f>
        <v>Do you enrich defect metrics with relevant real time information?</v>
      </c>
      <c r="E143" s="164" t="str">
        <f>CHAR(65+VLOOKUP(A143,'imp-questions'!A:H,8,FALSE))</f>
        <v>A</v>
      </c>
      <c r="F143" s="193"/>
      <c r="G143" s="18">
        <f>IFERROR(VLOOKUP(F143,AnsATBL,2,FALSE),0)</f>
        <v>0</v>
      </c>
      <c r="H143" s="103"/>
      <c r="I143" s="322"/>
      <c r="J143" s="11"/>
      <c r="K143" s="156"/>
      <c r="L143" s="131"/>
      <c r="M143" s="131"/>
      <c r="N143" s="131"/>
      <c r="O143" s="131"/>
      <c r="P143" s="131"/>
      <c r="Q143" s="156"/>
      <c r="R143" s="156"/>
      <c r="S143" s="156"/>
      <c r="T143" s="156"/>
      <c r="U143" s="156"/>
      <c r="V143" s="156"/>
      <c r="W143" s="156"/>
      <c r="X143" s="156"/>
      <c r="Y143" s="156"/>
      <c r="Z143" s="156"/>
    </row>
    <row r="144" spans="1:26" ht="51" x14ac:dyDescent="0.25">
      <c r="A144"/>
      <c r="B144" s="372"/>
      <c r="C144" s="173"/>
      <c r="D144" s="183" t="str">
        <f>VLOOKUP(A143,'imp-questions'!A:H,7,FALSE)</f>
        <v xml:space="preserve">Defect metrics are automatically correlated with real-time environment information
Relevant stakeholders get timely update on significant changes in the defect classification
Trends in defect development have been updated in the last year
</v>
      </c>
      <c r="E144" s="169"/>
      <c r="F144" s="26"/>
      <c r="G144" s="22"/>
      <c r="H144" s="115"/>
      <c r="I144" s="323"/>
      <c r="J144" s="11"/>
      <c r="K144" s="156"/>
      <c r="L144" s="131"/>
      <c r="M144" s="131"/>
      <c r="N144" s="131"/>
      <c r="O144" s="131"/>
      <c r="P144" s="131"/>
      <c r="Q144" s="156"/>
      <c r="R144" s="156"/>
      <c r="S144" s="156"/>
      <c r="T144" s="156"/>
      <c r="U144" s="156"/>
      <c r="V144" s="156"/>
      <c r="W144" s="156"/>
      <c r="X144" s="156"/>
      <c r="Y144" s="156"/>
      <c r="Z144" s="156"/>
    </row>
    <row r="145" spans="1:26" ht="12.75" x14ac:dyDescent="0.2">
      <c r="A145"/>
      <c r="B145" s="343" t="s">
        <v>27</v>
      </c>
      <c r="C145" s="343"/>
      <c r="D145" s="343"/>
      <c r="E145" s="343"/>
      <c r="F145" s="343"/>
      <c r="G145" s="343"/>
      <c r="H145" s="343"/>
      <c r="I145" s="343"/>
      <c r="J145" s="343"/>
      <c r="K145" s="156"/>
      <c r="L145" s="131"/>
      <c r="M145" s="131"/>
      <c r="N145" s="131"/>
      <c r="O145" s="131"/>
      <c r="P145" s="131"/>
      <c r="Q145" s="156"/>
      <c r="R145" s="156"/>
      <c r="S145" s="156"/>
      <c r="T145" s="156"/>
      <c r="U145" s="156"/>
      <c r="V145" s="156"/>
      <c r="W145" s="156"/>
      <c r="X145" s="156"/>
      <c r="Y145" s="156"/>
      <c r="Z145" s="156"/>
    </row>
    <row r="146" spans="1:26" ht="12.75" x14ac:dyDescent="0.2">
      <c r="A146"/>
      <c r="B146" s="412" t="s">
        <v>350</v>
      </c>
      <c r="C146" s="413"/>
      <c r="D146" s="414"/>
      <c r="E146" s="150"/>
      <c r="F146" s="77" t="s">
        <v>34</v>
      </c>
      <c r="G146" s="77"/>
      <c r="H146" s="120"/>
      <c r="I146" s="78" t="s">
        <v>21</v>
      </c>
      <c r="J146" s="78" t="s">
        <v>32</v>
      </c>
      <c r="K146" s="156"/>
      <c r="L146" s="131"/>
      <c r="M146" s="131"/>
      <c r="N146" s="131"/>
      <c r="O146" s="131"/>
      <c r="P146" s="131"/>
      <c r="Q146" s="156"/>
      <c r="R146" s="156"/>
      <c r="S146" s="156"/>
      <c r="T146" s="156"/>
      <c r="U146" s="156"/>
      <c r="V146" s="156"/>
      <c r="W146" s="156"/>
      <c r="X146" s="156"/>
      <c r="Y146" s="156"/>
      <c r="Z146" s="156"/>
    </row>
    <row r="147" spans="1:26" ht="12.75" x14ac:dyDescent="0.2">
      <c r="A147" s="159" t="s">
        <v>349</v>
      </c>
      <c r="B147" s="337" t="str">
        <f>VLOOKUP(A147,'imp-questions'!A:H,4,FALSE)</f>
        <v>Architecture Validation</v>
      </c>
      <c r="C147" s="210">
        <f>VLOOKUP(A147,'imp-questions'!A:H,5,FALSE)</f>
        <v>1</v>
      </c>
      <c r="D147" s="202" t="str">
        <f>VLOOKUP(A147,'imp-questions'!A:H,6,FALSE)</f>
        <v>Do you review the application architecture for key security objectives and threats on an ad-hoc basis?</v>
      </c>
      <c r="E147" s="184" t="str">
        <f>CHAR(65+VLOOKUP(A147,'imp-questions'!A:H,8,FALSE))</f>
        <v>A</v>
      </c>
      <c r="F147" s="193"/>
      <c r="G147" s="18">
        <f>IFERROR(VLOOKUP(F147,AnsATBL,2,FALSE),0)</f>
        <v>0</v>
      </c>
      <c r="H147" s="212">
        <f>IFERROR(AVERAGE(G147,G154),0)</f>
        <v>0</v>
      </c>
      <c r="I147" s="331"/>
      <c r="J147" s="348">
        <f>SUM(H147,H149,H151)</f>
        <v>0</v>
      </c>
      <c r="K147" s="156"/>
      <c r="L147" s="131"/>
      <c r="M147" s="131"/>
      <c r="N147" s="131"/>
      <c r="O147" s="131"/>
      <c r="P147" s="131"/>
      <c r="Q147" s="156"/>
      <c r="R147" s="156"/>
      <c r="S147" s="156"/>
      <c r="T147" s="156"/>
      <c r="U147" s="156"/>
      <c r="V147" s="156"/>
      <c r="W147" s="156"/>
      <c r="X147" s="156"/>
      <c r="Y147" s="156"/>
      <c r="Z147" s="156"/>
    </row>
    <row r="148" spans="1:26" ht="63.75" x14ac:dyDescent="0.2">
      <c r="A148"/>
      <c r="B148" s="338"/>
      <c r="C148" s="144"/>
      <c r="D148" s="191" t="str">
        <f>VLOOKUP(A147,'imp-questions'!A:H,7,FALSE)</f>
        <v xml:space="preserve">You have an agreed upon model of the overall software architecture
You include components, interfaces, and integrations in the architecture model
You verify the security controls in the software architecture cover the key security objectives and threats
You log missing security controls as defects
</v>
      </c>
      <c r="E148" s="187"/>
      <c r="F148" s="188"/>
      <c r="G148" s="189"/>
      <c r="H148" s="213"/>
      <c r="I148" s="332"/>
      <c r="J148" s="349"/>
      <c r="K148" s="156"/>
      <c r="L148" s="131"/>
      <c r="M148" s="131"/>
      <c r="N148" s="131"/>
      <c r="O148" s="131"/>
      <c r="P148" s="131"/>
      <c r="Q148" s="156"/>
      <c r="R148" s="156"/>
      <c r="S148" s="156"/>
      <c r="T148" s="156"/>
      <c r="U148" s="156"/>
      <c r="V148" s="156"/>
      <c r="W148" s="156"/>
      <c r="X148" s="156"/>
      <c r="Y148" s="156"/>
      <c r="Z148" s="156"/>
    </row>
    <row r="149" spans="1:26" x14ac:dyDescent="0.25">
      <c r="A149" s="159" t="s">
        <v>354</v>
      </c>
      <c r="B149" s="338"/>
      <c r="C149" s="210">
        <f>VLOOKUP(A149,'imp-questions'!A:H,5,FALSE)</f>
        <v>2</v>
      </c>
      <c r="D149" s="202" t="str">
        <f>VLOOKUP(A149,'imp-questions'!A:H,6,FALSE)</f>
        <v>Do you thoroughly review your software architecture regularly using an agreed upon methodology?</v>
      </c>
      <c r="E149" s="184" t="str">
        <f>CHAR(65+VLOOKUP(A149,'imp-questions'!A:H,8,FALSE))</f>
        <v>A</v>
      </c>
      <c r="F149" s="193"/>
      <c r="G149" s="18">
        <f>IFERROR(VLOOKUP(F149,AnsATBL,2,FALSE),0)</f>
        <v>0</v>
      </c>
      <c r="H149" s="212">
        <f>IFERROR(AVERAGE(G149,G156),0)</f>
        <v>0</v>
      </c>
      <c r="I149" s="325"/>
      <c r="J149" s="215"/>
      <c r="K149" s="205"/>
      <c r="L149" s="131"/>
      <c r="M149" s="131"/>
      <c r="N149" s="131"/>
      <c r="O149" s="131"/>
      <c r="P149" s="131"/>
      <c r="Q149" s="205"/>
      <c r="R149" s="205"/>
      <c r="S149" s="205"/>
      <c r="T149" s="205"/>
      <c r="U149" s="205"/>
      <c r="V149" s="205"/>
      <c r="W149" s="205"/>
      <c r="X149" s="205"/>
      <c r="Y149" s="205"/>
      <c r="Z149" s="205"/>
    </row>
    <row r="150" spans="1:26" ht="63.75" x14ac:dyDescent="0.25">
      <c r="A150"/>
      <c r="B150" s="338"/>
      <c r="C150" s="144"/>
      <c r="D150" s="191" t="str">
        <f>VLOOKUP(A149,'imp-questions'!A:H,7,FALSE)</f>
        <v xml:space="preserve">Your process and template for reviewing software architectures is aligned with your organization's risk tolerance
You verify the architecture meets all the defined security requirements
You verify every component is protected by the expected security controls (e.g., authentication, authorization, logging)
You log missing security controls as defects
</v>
      </c>
      <c r="E150" s="187"/>
      <c r="F150" s="188"/>
      <c r="G150" s="189"/>
      <c r="H150" s="216"/>
      <c r="I150" s="326"/>
      <c r="J150" s="215"/>
      <c r="K150" s="205"/>
      <c r="L150" s="131"/>
      <c r="M150" s="131"/>
      <c r="N150" s="131"/>
      <c r="O150" s="131"/>
      <c r="P150" s="131"/>
      <c r="Q150" s="205"/>
      <c r="R150" s="205"/>
      <c r="S150" s="205"/>
      <c r="T150" s="205"/>
      <c r="U150" s="205"/>
      <c r="V150" s="205"/>
      <c r="W150" s="205"/>
      <c r="X150" s="205"/>
      <c r="Y150" s="205"/>
      <c r="Z150" s="205"/>
    </row>
    <row r="151" spans="1:26" x14ac:dyDescent="0.25">
      <c r="A151" s="159" t="s">
        <v>356</v>
      </c>
      <c r="B151" s="338"/>
      <c r="C151" s="210">
        <f>VLOOKUP(A151,'imp-questions'!A:H,5,FALSE)</f>
        <v>3</v>
      </c>
      <c r="D151" s="202" t="str">
        <f>VLOOKUP(A151,'imp-questions'!A:H,6,FALSE)</f>
        <v>Do you regularly review the effectiveness of the security controls?</v>
      </c>
      <c r="E151" s="184" t="str">
        <f>CHAR(65+VLOOKUP(A151,'imp-questions'!A:H,8,FALSE))</f>
        <v>A</v>
      </c>
      <c r="F151" s="193"/>
      <c r="G151" s="18">
        <f>IFERROR(VLOOKUP(F151,AnsATBL,2,FALSE),0)</f>
        <v>0</v>
      </c>
      <c r="H151" s="212">
        <f>IFERROR(AVERAGE(G151,G158),0)</f>
        <v>0</v>
      </c>
      <c r="I151" s="353"/>
      <c r="J151" s="215"/>
      <c r="K151" s="156"/>
      <c r="L151" s="131"/>
      <c r="M151" s="131"/>
      <c r="N151" s="131"/>
      <c r="O151" s="131"/>
      <c r="P151" s="131"/>
      <c r="Q151" s="156"/>
      <c r="R151" s="156"/>
      <c r="S151" s="156"/>
      <c r="T151" s="156"/>
      <c r="U151" s="156"/>
      <c r="V151" s="156"/>
      <c r="W151" s="156"/>
      <c r="X151" s="156"/>
      <c r="Y151" s="156"/>
      <c r="Z151" s="156"/>
    </row>
    <row r="152" spans="1:26" ht="63.75" x14ac:dyDescent="0.25">
      <c r="A152"/>
      <c r="B152" s="339"/>
      <c r="C152" s="173"/>
      <c r="D152" s="183" t="str">
        <f>VLOOKUP(A151,'imp-questions'!A:H,7,FALSE)</f>
        <v xml:space="preserve">You evaluate the preventive, detective and response capabilities of security controls
You evaluate the strategy alignment, appropriate support, and scalability of security controls
You evaluate the effectiveness at least yearly
You log identified shortcomings as defects
</v>
      </c>
      <c r="E152" s="187"/>
      <c r="F152" s="188"/>
      <c r="G152" s="189"/>
      <c r="H152" s="216"/>
      <c r="I152" s="326"/>
      <c r="J152" s="215"/>
      <c r="K152" s="156"/>
      <c r="L152" s="131"/>
      <c r="M152" s="131"/>
      <c r="N152" s="131"/>
      <c r="O152" s="131"/>
      <c r="P152" s="131"/>
      <c r="Q152" s="156"/>
      <c r="R152" s="156"/>
      <c r="S152" s="156"/>
      <c r="T152" s="156"/>
      <c r="U152" s="156"/>
      <c r="V152" s="156"/>
      <c r="W152" s="156"/>
      <c r="X152" s="156"/>
      <c r="Y152" s="156"/>
      <c r="Z152" s="156"/>
    </row>
    <row r="153" spans="1:26" x14ac:dyDescent="0.25">
      <c r="A153"/>
      <c r="B153" s="328"/>
      <c r="C153" s="329"/>
      <c r="D153" s="329"/>
      <c r="E153" s="329"/>
      <c r="F153" s="329"/>
      <c r="G153" s="329"/>
      <c r="H153" s="329"/>
      <c r="I153" s="330"/>
      <c r="J153" s="11"/>
      <c r="K153" s="156"/>
      <c r="L153" s="131"/>
      <c r="M153" s="131"/>
      <c r="N153" s="131"/>
      <c r="O153" s="131"/>
      <c r="P153" s="131"/>
      <c r="Q153" s="156"/>
      <c r="R153" s="156"/>
      <c r="S153" s="156"/>
      <c r="T153" s="156"/>
      <c r="U153" s="156"/>
      <c r="V153" s="156"/>
      <c r="W153" s="156"/>
      <c r="X153" s="156"/>
      <c r="Y153" s="156"/>
      <c r="Z153" s="156"/>
    </row>
    <row r="154" spans="1:26" x14ac:dyDescent="0.25">
      <c r="A154" s="159" t="s">
        <v>359</v>
      </c>
      <c r="B154" s="337" t="str">
        <f>VLOOKUP(A154,'imp-questions'!A:H,4,FALSE)</f>
        <v>Architecture Compliance</v>
      </c>
      <c r="C154" s="210">
        <f>VLOOKUP(A154,'imp-questions'!A:H,5,FALSE)</f>
        <v>1</v>
      </c>
      <c r="D154" s="202" t="str">
        <f>VLOOKUP(A154,'imp-questions'!A:H,6,FALSE)</f>
        <v>Do you review the architecture against compliance requirements?</v>
      </c>
      <c r="E154" s="184" t="str">
        <f>CHAR(65+VLOOKUP(A154,'imp-questions'!A:H,8,FALSE))</f>
        <v>B</v>
      </c>
      <c r="F154" s="200"/>
      <c r="G154" s="18">
        <f>IFERROR(VLOOKUP(F154,AnsBTBL,2,FALSE),0)</f>
        <v>0</v>
      </c>
      <c r="H154" s="186"/>
      <c r="I154" s="335"/>
      <c r="J154" s="11"/>
      <c r="K154" s="156"/>
      <c r="L154" s="131"/>
      <c r="M154" s="131"/>
      <c r="N154" s="131"/>
      <c r="O154" s="131"/>
      <c r="P154" s="131"/>
      <c r="Q154" s="156"/>
      <c r="R154" s="156"/>
      <c r="S154" s="156"/>
      <c r="T154" s="156"/>
      <c r="U154" s="156"/>
      <c r="V154" s="156"/>
      <c r="W154" s="156"/>
      <c r="X154" s="156"/>
      <c r="Y154" s="156"/>
      <c r="Z154" s="156"/>
    </row>
    <row r="155" spans="1:26" ht="51" x14ac:dyDescent="0.25">
      <c r="A155"/>
      <c r="B155" s="338"/>
      <c r="C155" s="144"/>
      <c r="D155" s="191" t="str">
        <f>VLOOKUP(A154,'imp-questions'!A:H,7,FALSE)</f>
        <v xml:space="preserve">You indicate which design-level feature(s) address each compliance requirement.
The analysis is conducted by security-savvy staff with input from architects, and other stakeholders.
You record all missing compliance requirements and handle them following organisational risk management
</v>
      </c>
      <c r="E155" s="187"/>
      <c r="F155" s="188"/>
      <c r="G155" s="189"/>
      <c r="H155" s="190"/>
      <c r="I155" s="336"/>
      <c r="J155" s="11"/>
      <c r="K155" s="156"/>
      <c r="L155" s="131"/>
      <c r="M155" s="131"/>
      <c r="N155" s="131"/>
      <c r="O155" s="131"/>
      <c r="P155" s="131"/>
      <c r="Q155" s="156"/>
      <c r="R155" s="156"/>
      <c r="S155" s="156"/>
      <c r="T155" s="156"/>
      <c r="U155" s="156"/>
      <c r="V155" s="156"/>
      <c r="W155" s="156"/>
      <c r="X155" s="156"/>
      <c r="Y155" s="156"/>
      <c r="Z155" s="156"/>
    </row>
    <row r="156" spans="1:26" x14ac:dyDescent="0.25">
      <c r="A156" s="159" t="s">
        <v>363</v>
      </c>
      <c r="B156" s="338"/>
      <c r="C156" s="210">
        <f>VLOOKUP(A156,'imp-questions'!A:H,5,FALSE)</f>
        <v>2</v>
      </c>
      <c r="D156" s="202" t="str">
        <f>VLOOKUP(A156,'imp-questions'!A:H,6,FALSE)</f>
        <v>Do you analyze the architecture against known security requirements and best practices ?</v>
      </c>
      <c r="E156" s="184" t="str">
        <f>CHAR(65+VLOOKUP(A156,'imp-questions'!A:H,8,FALSE))</f>
        <v>B</v>
      </c>
      <c r="F156" s="201"/>
      <c r="G156" s="18">
        <f>IFERROR(VLOOKUP(F156,AnsBTBL,2,FALSE),0)</f>
        <v>0</v>
      </c>
      <c r="H156" s="186"/>
      <c r="I156" s="335"/>
      <c r="J156" s="11"/>
      <c r="K156" s="205"/>
      <c r="L156" s="131"/>
      <c r="M156" s="131"/>
      <c r="N156" s="131"/>
      <c r="O156" s="131"/>
      <c r="P156" s="131"/>
      <c r="Q156" s="205"/>
      <c r="R156" s="205"/>
      <c r="S156" s="205"/>
      <c r="T156" s="205"/>
      <c r="U156" s="205"/>
      <c r="V156" s="205"/>
      <c r="W156" s="205"/>
      <c r="X156" s="205"/>
      <c r="Y156" s="205"/>
      <c r="Z156" s="205"/>
    </row>
    <row r="157" spans="1:26" ht="51" x14ac:dyDescent="0.25">
      <c r="A157"/>
      <c r="B157" s="338"/>
      <c r="C157" s="144"/>
      <c r="D157" s="191" t="str">
        <f>VLOOKUP(A156,'imp-questions'!A:H,7,FALSE)</f>
        <v xml:space="preserve">You identify any security assumptions underpinning the safe operation of the system.
You indicate which design-level feature(s) address each security requirement.
You record all unsatisfied security requirements and handle them following organisational risk management
</v>
      </c>
      <c r="E157" s="187"/>
      <c r="F157" s="188"/>
      <c r="G157" s="189"/>
      <c r="H157" s="190"/>
      <c r="I157" s="336"/>
      <c r="J157" s="11"/>
      <c r="K157" s="205"/>
      <c r="L157" s="131"/>
      <c r="M157" s="131"/>
      <c r="N157" s="131"/>
      <c r="O157" s="131"/>
      <c r="P157" s="131"/>
      <c r="Q157" s="205"/>
      <c r="R157" s="205"/>
      <c r="S157" s="205"/>
      <c r="T157" s="205"/>
      <c r="U157" s="205"/>
      <c r="V157" s="205"/>
      <c r="W157" s="205"/>
      <c r="X157" s="205"/>
      <c r="Y157" s="205"/>
      <c r="Z157" s="205"/>
    </row>
    <row r="158" spans="1:26" x14ac:dyDescent="0.25">
      <c r="A158" s="159" t="s">
        <v>366</v>
      </c>
      <c r="B158" s="338"/>
      <c r="C158" s="210">
        <f>VLOOKUP(A158,'imp-questions'!A:H,5,FALSE)</f>
        <v>3</v>
      </c>
      <c r="D158" s="202" t="str">
        <f>VLOOKUP(A158,'imp-questions'!A:H,6,FALSE)</f>
        <v>Do you feed architecture review results back into the enterprise architecture?</v>
      </c>
      <c r="E158" s="184" t="str">
        <f>CHAR(65+VLOOKUP(A158,'imp-questions'!A:H,8,FALSE))</f>
        <v>B</v>
      </c>
      <c r="F158" s="201"/>
      <c r="G158" s="18">
        <f>IFERROR(VLOOKUP(F158,AnsBTBL,2,FALSE),0)</f>
        <v>0</v>
      </c>
      <c r="H158" s="186"/>
      <c r="I158" s="335"/>
      <c r="J158" s="11"/>
      <c r="K158" s="156"/>
      <c r="L158" s="131"/>
      <c r="M158" s="131"/>
      <c r="N158" s="131"/>
      <c r="O158" s="131"/>
      <c r="P158" s="131"/>
      <c r="Q158" s="156"/>
      <c r="R158" s="156"/>
      <c r="S158" s="156"/>
      <c r="T158" s="156"/>
      <c r="U158" s="156"/>
      <c r="V158" s="156"/>
      <c r="W158" s="156"/>
      <c r="X158" s="156"/>
      <c r="Y158" s="156"/>
      <c r="Z158" s="156"/>
    </row>
    <row r="159" spans="1:26" ht="38.25" x14ac:dyDescent="0.25">
      <c r="A159"/>
      <c r="B159" s="339"/>
      <c r="C159" s="173"/>
      <c r="D159" s="183" t="str">
        <f>VLOOKUP(A158,'imp-questions'!A:H,7,FALSE)</f>
        <v xml:space="preserve">You map the security features to security compliance requirements
You identify the cause of gaps in the mapping and handle them following organisational risk management
</v>
      </c>
      <c r="E159" s="187"/>
      <c r="F159" s="188"/>
      <c r="G159" s="189"/>
      <c r="H159" s="190"/>
      <c r="I159" s="336"/>
      <c r="J159" s="11"/>
      <c r="K159" s="156"/>
      <c r="L159" s="131"/>
      <c r="M159" s="131"/>
      <c r="N159" s="131"/>
      <c r="O159" s="131"/>
      <c r="P159" s="131"/>
      <c r="Q159" s="156"/>
      <c r="R159" s="156"/>
      <c r="S159" s="156"/>
      <c r="T159" s="156"/>
      <c r="U159" s="156"/>
      <c r="V159" s="156"/>
      <c r="W159" s="156"/>
      <c r="X159" s="156"/>
      <c r="Y159" s="156"/>
      <c r="Z159" s="156"/>
    </row>
    <row r="160" spans="1:26" ht="12.75" x14ac:dyDescent="0.2">
      <c r="A160"/>
      <c r="B160" s="373" t="s">
        <v>370</v>
      </c>
      <c r="C160" s="374"/>
      <c r="D160" s="375"/>
      <c r="E160" s="149"/>
      <c r="F160" s="79" t="s">
        <v>34</v>
      </c>
      <c r="G160" s="79"/>
      <c r="H160" s="121"/>
      <c r="I160" s="78" t="s">
        <v>21</v>
      </c>
      <c r="J160" s="78" t="s">
        <v>32</v>
      </c>
      <c r="K160" s="156"/>
      <c r="L160" s="131"/>
      <c r="M160" s="131"/>
      <c r="N160" s="131"/>
      <c r="O160" s="131"/>
      <c r="P160" s="131"/>
      <c r="Q160" s="156"/>
      <c r="R160" s="156"/>
      <c r="S160" s="156"/>
      <c r="T160" s="156"/>
      <c r="U160" s="156"/>
      <c r="V160" s="156"/>
      <c r="W160" s="156"/>
      <c r="X160" s="156"/>
      <c r="Y160" s="156"/>
      <c r="Z160" s="156"/>
    </row>
    <row r="161" spans="1:26" ht="14.1" customHeight="1" x14ac:dyDescent="0.2">
      <c r="A161" s="159" t="s">
        <v>369</v>
      </c>
      <c r="B161" s="337" t="str">
        <f>VLOOKUP(A161,'imp-questions'!A:H,4,FALSE)</f>
        <v>Control Verification</v>
      </c>
      <c r="C161" s="210">
        <f>VLOOKUP(A161,'imp-questions'!A:H,5,FALSE)</f>
        <v>1</v>
      </c>
      <c r="D161" s="202" t="str">
        <f>VLOOKUP(A161,'imp-questions'!A:H,6,FALSE)</f>
        <v>Do you test applications for the correct functioning of standard security controls?</v>
      </c>
      <c r="E161" s="164" t="str">
        <f>CHAR(65+VLOOKUP(A161,'imp-questions'!A:H,8,FALSE))</f>
        <v>B</v>
      </c>
      <c r="F161" s="193"/>
      <c r="G161" s="18">
        <f>IFERROR(VLOOKUP(F161,AnsBTBL,2,FALSE),0)</f>
        <v>0</v>
      </c>
      <c r="H161" s="212">
        <f>IFERROR(AVERAGE(G161,G168),0)</f>
        <v>0</v>
      </c>
      <c r="I161" s="331"/>
      <c r="J161" s="348">
        <f>SUM(H161,H163,H165)</f>
        <v>0</v>
      </c>
      <c r="K161" s="156"/>
      <c r="L161" s="131"/>
      <c r="M161" s="131"/>
      <c r="N161" s="131"/>
      <c r="O161" s="131"/>
      <c r="P161" s="131"/>
      <c r="Q161" s="156"/>
      <c r="R161" s="156"/>
      <c r="S161" s="156"/>
      <c r="T161" s="156"/>
      <c r="U161" s="156"/>
      <c r="V161" s="156"/>
      <c r="W161" s="156"/>
      <c r="X161" s="156"/>
      <c r="Y161" s="156"/>
      <c r="Z161" s="156"/>
    </row>
    <row r="162" spans="1:26" ht="51" x14ac:dyDescent="0.2">
      <c r="A162"/>
      <c r="B162" s="338"/>
      <c r="C162" s="144"/>
      <c r="D162" s="191" t="str">
        <f>VLOOKUP(A161,'imp-questions'!A:H,7,FALSE)</f>
        <v xml:space="preserve">Security testing at least verifies the implementation of authentication, access control, input validation, encoding and escaping data, and encryption controls.
Security testing executes whenever the application changes its use of the controls.
</v>
      </c>
      <c r="E162" s="169"/>
      <c r="F162" s="26"/>
      <c r="G162" s="22"/>
      <c r="H162" s="213"/>
      <c r="I162" s="332"/>
      <c r="J162" s="349"/>
      <c r="K162" s="156"/>
      <c r="L162" s="131"/>
      <c r="M162" s="131"/>
      <c r="N162" s="131"/>
      <c r="O162" s="131"/>
      <c r="P162" s="131"/>
      <c r="Q162" s="156"/>
      <c r="R162" s="156"/>
      <c r="S162" s="156"/>
      <c r="T162" s="156"/>
      <c r="U162" s="156"/>
      <c r="V162" s="156"/>
      <c r="W162" s="156"/>
      <c r="X162" s="156"/>
      <c r="Y162" s="156"/>
      <c r="Z162" s="156"/>
    </row>
    <row r="163" spans="1:26" x14ac:dyDescent="0.25">
      <c r="A163" s="159" t="s">
        <v>374</v>
      </c>
      <c r="B163" s="338"/>
      <c r="C163" s="210">
        <f>VLOOKUP(A163,'imp-questions'!A:H,5,FALSE)</f>
        <v>2</v>
      </c>
      <c r="D163" s="202" t="str">
        <f>VLOOKUP(A163,'imp-questions'!A:H,6,FALSE)</f>
        <v>Do you test security controls based on the specific application security requirements?</v>
      </c>
      <c r="E163" s="164" t="str">
        <f>CHAR(65+VLOOKUP(A163,'imp-questions'!A:H,8,FALSE))</f>
        <v>B</v>
      </c>
      <c r="F163" s="198"/>
      <c r="G163" s="18">
        <f>IFERROR(VLOOKUP(F163,AnsBTBL,2,FALSE),0)</f>
        <v>0</v>
      </c>
      <c r="H163" s="212">
        <f>IFERROR(AVERAGE(G163,G170),0)</f>
        <v>0</v>
      </c>
      <c r="I163" s="325"/>
      <c r="J163" s="215"/>
      <c r="K163" s="205"/>
      <c r="L163" s="131"/>
      <c r="M163" s="131"/>
      <c r="N163" s="131"/>
      <c r="O163" s="131"/>
      <c r="P163" s="131"/>
      <c r="Q163" s="205"/>
      <c r="R163" s="205"/>
      <c r="S163" s="205"/>
      <c r="T163" s="205"/>
      <c r="U163" s="205"/>
      <c r="V163" s="205"/>
      <c r="W163" s="205"/>
      <c r="X163" s="205"/>
      <c r="Y163" s="205"/>
      <c r="Z163" s="205"/>
    </row>
    <row r="164" spans="1:26" ht="38.25" x14ac:dyDescent="0.25">
      <c r="A164"/>
      <c r="B164" s="338"/>
      <c r="C164" s="144"/>
      <c r="D164" s="191" t="str">
        <f>VLOOKUP(A163,'imp-questions'!A:H,7,FALSE)</f>
        <v xml:space="preserve">Tests are tailored to each application and assert expected security functionality.
Test results are captured as a pass or fail condition
</v>
      </c>
      <c r="E164" s="169"/>
      <c r="F164" s="26"/>
      <c r="G164" s="22"/>
      <c r="H164" s="216"/>
      <c r="I164" s="326"/>
      <c r="J164" s="215"/>
      <c r="K164" s="205"/>
      <c r="L164" s="131"/>
      <c r="M164" s="131"/>
      <c r="N164" s="131"/>
      <c r="O164" s="131"/>
      <c r="P164" s="131"/>
      <c r="Q164" s="205"/>
      <c r="R164" s="205"/>
      <c r="S164" s="205"/>
      <c r="T164" s="205"/>
      <c r="U164" s="205"/>
      <c r="V164" s="205"/>
      <c r="W164" s="205"/>
      <c r="X164" s="205"/>
      <c r="Y164" s="205"/>
      <c r="Z164" s="205"/>
    </row>
    <row r="165" spans="1:26" x14ac:dyDescent="0.25">
      <c r="A165" s="159" t="s">
        <v>377</v>
      </c>
      <c r="B165" s="338"/>
      <c r="C165" s="210">
        <f>VLOOKUP(A165,'imp-questions'!A:H,5,FALSE)</f>
        <v>3</v>
      </c>
      <c r="D165" s="202" t="str">
        <f>VLOOKUP(A165,'imp-questions'!A:H,6,FALSE)</f>
        <v>Do you automatically test applications for security regressions?</v>
      </c>
      <c r="E165" s="164" t="str">
        <f>CHAR(65+VLOOKUP(A165,'imp-questions'!A:H,8,FALSE))</f>
        <v>B</v>
      </c>
      <c r="F165" s="198"/>
      <c r="G165" s="18">
        <f>IFERROR(VLOOKUP(F165,AnsBTBL,2,FALSE),0)</f>
        <v>0</v>
      </c>
      <c r="H165" s="212">
        <f>IFERROR(AVERAGE(G165,G172),0)</f>
        <v>0</v>
      </c>
      <c r="I165" s="353"/>
      <c r="J165" s="215"/>
      <c r="K165" s="156"/>
      <c r="L165" s="131"/>
      <c r="M165" s="131"/>
      <c r="N165" s="131"/>
      <c r="O165" s="131"/>
      <c r="P165" s="131"/>
      <c r="Q165" s="156"/>
      <c r="R165" s="156"/>
      <c r="S165" s="156"/>
      <c r="T165" s="156"/>
      <c r="U165" s="156"/>
      <c r="V165" s="156"/>
      <c r="W165" s="156"/>
      <c r="X165" s="156"/>
      <c r="Y165" s="156"/>
      <c r="Z165" s="156"/>
    </row>
    <row r="166" spans="1:26" ht="38.25" x14ac:dyDescent="0.25">
      <c r="A166"/>
      <c r="B166" s="339"/>
      <c r="C166" s="173"/>
      <c r="D166" s="183" t="str">
        <f>VLOOKUP(A165,'imp-questions'!A:H,7,FALSE)</f>
        <v xml:space="preserve">Tests are consistently written for all identified bugs (possibly exceeding a pre-defined severity threshhold)
Security tests are collected in a test suite that is part of the existing unit testing framework
</v>
      </c>
      <c r="E166" s="169"/>
      <c r="F166" s="26"/>
      <c r="G166" s="22"/>
      <c r="H166" s="216"/>
      <c r="I166" s="326"/>
      <c r="J166" s="215"/>
      <c r="K166" s="156"/>
      <c r="L166" s="131"/>
      <c r="M166" s="131"/>
      <c r="N166" s="131"/>
      <c r="O166" s="131"/>
      <c r="P166" s="131"/>
      <c r="Q166" s="156"/>
      <c r="R166" s="156"/>
      <c r="S166" s="156"/>
      <c r="T166" s="156"/>
      <c r="U166" s="156"/>
      <c r="V166" s="156"/>
      <c r="W166" s="156"/>
      <c r="X166" s="156"/>
      <c r="Y166" s="156"/>
      <c r="Z166" s="156"/>
    </row>
    <row r="167" spans="1:26" x14ac:dyDescent="0.25">
      <c r="A167"/>
      <c r="B167" s="340"/>
      <c r="C167" s="341"/>
      <c r="D167" s="341"/>
      <c r="E167" s="341"/>
      <c r="F167" s="341"/>
      <c r="G167" s="341"/>
      <c r="H167" s="341"/>
      <c r="I167" s="342"/>
      <c r="J167" s="11"/>
      <c r="K167" s="156"/>
      <c r="L167" s="131"/>
      <c r="M167" s="131"/>
      <c r="N167" s="131"/>
      <c r="O167" s="131"/>
      <c r="P167" s="131"/>
      <c r="Q167" s="156"/>
      <c r="R167" s="156"/>
      <c r="S167" s="156"/>
      <c r="T167" s="156"/>
      <c r="U167" s="156"/>
      <c r="V167" s="156"/>
      <c r="W167" s="156"/>
      <c r="X167" s="156"/>
      <c r="Y167" s="156"/>
      <c r="Z167" s="156"/>
    </row>
    <row r="168" spans="1:26" x14ac:dyDescent="0.25">
      <c r="A168" s="159" t="s">
        <v>380</v>
      </c>
      <c r="B168" s="337" t="str">
        <f>VLOOKUP(A168,'imp-questions'!A:H,4,FALSE)</f>
        <v>Misuse/Abuse Testing</v>
      </c>
      <c r="C168" s="210">
        <f>VLOOKUP(A168,'imp-questions'!A:H,5,FALSE)</f>
        <v>1</v>
      </c>
      <c r="D168" s="202" t="str">
        <f>VLOOKUP(A168,'imp-questions'!A:H,6,FALSE)</f>
        <v>Do you test applications using randomization techniques?</v>
      </c>
      <c r="E168" s="164" t="str">
        <f>CHAR(65+VLOOKUP(A168,'imp-questions'!A:H,8,FALSE))</f>
        <v>B</v>
      </c>
      <c r="F168" s="193"/>
      <c r="G168" s="18">
        <f>IFERROR(VLOOKUP(F168,AnsBTBL,2,FALSE),0)</f>
        <v>0</v>
      </c>
      <c r="H168" s="103"/>
      <c r="I168" s="322"/>
      <c r="J168" s="11"/>
      <c r="K168" s="156"/>
      <c r="L168" s="131"/>
      <c r="M168" s="131"/>
      <c r="N168" s="131"/>
      <c r="O168" s="131"/>
      <c r="P168" s="131"/>
      <c r="Q168" s="156"/>
      <c r="R168" s="156"/>
      <c r="S168" s="156"/>
      <c r="T168" s="156"/>
      <c r="U168" s="156"/>
      <c r="V168" s="156"/>
      <c r="W168" s="156"/>
      <c r="X168" s="156"/>
      <c r="Y168" s="156"/>
      <c r="Z168" s="156"/>
    </row>
    <row r="169" spans="1:26" ht="38.25" x14ac:dyDescent="0.25">
      <c r="A169"/>
      <c r="B169" s="338"/>
      <c r="C169" s="144"/>
      <c r="D169" s="191" t="str">
        <f>VLOOKUP(A168,'imp-questions'!A:H,7,FALSE)</f>
        <v xml:space="preserve">Testing covers most or all of the application's main input parameters
All application crashes are recorded and systematically inspected for security impact
</v>
      </c>
      <c r="E169" s="169"/>
      <c r="F169" s="26"/>
      <c r="G169" s="22"/>
      <c r="H169" s="115"/>
      <c r="I169" s="323"/>
      <c r="J169" s="11"/>
      <c r="K169" s="156"/>
      <c r="L169" s="131"/>
      <c r="M169" s="131"/>
      <c r="N169" s="131"/>
      <c r="O169" s="131"/>
      <c r="P169" s="131"/>
      <c r="Q169" s="156"/>
      <c r="R169" s="156"/>
      <c r="S169" s="156"/>
      <c r="T169" s="156"/>
      <c r="U169" s="156"/>
      <c r="V169" s="156"/>
      <c r="W169" s="156"/>
      <c r="X169" s="156"/>
      <c r="Y169" s="156"/>
      <c r="Z169" s="156"/>
    </row>
    <row r="170" spans="1:26" x14ac:dyDescent="0.25">
      <c r="A170" s="159" t="s">
        <v>384</v>
      </c>
      <c r="B170" s="338"/>
      <c r="C170" s="210">
        <f>VLOOKUP(A170,'imp-questions'!A:H,5,FALSE)</f>
        <v>2</v>
      </c>
      <c r="D170" s="202" t="str">
        <f>VLOOKUP(A170,'imp-questions'!A:H,6,FALSE)</f>
        <v>Do you create abuse cases from functional requirements and use them to drive security tests?</v>
      </c>
      <c r="E170" s="164" t="str">
        <f>CHAR(65+VLOOKUP(A170,'imp-questions'!A:H,8,FALSE))</f>
        <v>E</v>
      </c>
      <c r="F170" s="198"/>
      <c r="G170" s="185">
        <f>IFERROR(VLOOKUP(F170,AnsETBL,2,FALSE),0)</f>
        <v>0</v>
      </c>
      <c r="H170" s="103"/>
      <c r="I170" s="322"/>
      <c r="J170" s="11"/>
      <c r="K170" s="205"/>
      <c r="L170" s="131"/>
      <c r="M170" s="131"/>
      <c r="N170" s="131"/>
      <c r="O170" s="131"/>
      <c r="P170" s="131"/>
      <c r="Q170" s="205"/>
      <c r="R170" s="205"/>
      <c r="S170" s="205"/>
      <c r="T170" s="205"/>
      <c r="U170" s="205"/>
      <c r="V170" s="205"/>
      <c r="W170" s="205"/>
      <c r="X170" s="205"/>
      <c r="Y170" s="205"/>
      <c r="Z170" s="205"/>
    </row>
    <row r="171" spans="1:26" ht="51" x14ac:dyDescent="0.25">
      <c r="A171"/>
      <c r="B171" s="338"/>
      <c r="C171" s="144"/>
      <c r="D171" s="191" t="str">
        <f>VLOOKUP(A170,'imp-questions'!A:H,7,FALSE)</f>
        <v xml:space="preserve">Important business functionality has corresponding abuse cases
You build abuse stories around relevant personas with well-defined motivations and characteristics
You capture identified weaknesses as security requirements
</v>
      </c>
      <c r="E171" s="169"/>
      <c r="F171" s="26"/>
      <c r="G171" s="22"/>
      <c r="H171" s="115"/>
      <c r="I171" s="323"/>
      <c r="J171" s="11"/>
      <c r="K171" s="205"/>
      <c r="L171" s="131"/>
      <c r="M171" s="131"/>
      <c r="N171" s="131"/>
      <c r="O171" s="131"/>
      <c r="P171" s="131"/>
      <c r="Q171" s="205"/>
      <c r="R171" s="205"/>
      <c r="S171" s="205"/>
      <c r="T171" s="205"/>
      <c r="U171" s="205"/>
      <c r="V171" s="205"/>
      <c r="W171" s="205"/>
      <c r="X171" s="205"/>
      <c r="Y171" s="205"/>
      <c r="Z171" s="205"/>
    </row>
    <row r="172" spans="1:26" x14ac:dyDescent="0.25">
      <c r="A172" s="159" t="s">
        <v>387</v>
      </c>
      <c r="B172" s="338"/>
      <c r="C172" s="210">
        <f>VLOOKUP(A172,'imp-questions'!A:H,5,FALSE)</f>
        <v>3</v>
      </c>
      <c r="D172" s="202" t="str">
        <f>VLOOKUP(A172,'imp-questions'!A:H,6,FALSE)</f>
        <v>Do you perform denial of service and security stress testing?</v>
      </c>
      <c r="E172" s="164" t="str">
        <f>CHAR(65+VLOOKUP(A172,'imp-questions'!A:H,8,FALSE))</f>
        <v>E</v>
      </c>
      <c r="F172" s="198"/>
      <c r="G172" s="185">
        <f>IFERROR(VLOOKUP(F172,AnsETBL,2,FALSE),0)</f>
        <v>0</v>
      </c>
      <c r="H172" s="103"/>
      <c r="I172" s="322"/>
      <c r="J172" s="11"/>
      <c r="K172" s="156"/>
      <c r="L172" s="131"/>
      <c r="M172" s="131"/>
      <c r="N172" s="131"/>
      <c r="O172" s="131"/>
      <c r="P172" s="131"/>
      <c r="Q172" s="156"/>
      <c r="R172" s="156"/>
      <c r="S172" s="156"/>
      <c r="T172" s="156"/>
      <c r="U172" s="156"/>
      <c r="V172" s="156"/>
      <c r="W172" s="156"/>
      <c r="X172" s="156"/>
      <c r="Y172" s="156"/>
      <c r="Z172" s="156"/>
    </row>
    <row r="173" spans="1:26" ht="51" x14ac:dyDescent="0.25">
      <c r="A173"/>
      <c r="B173" s="339"/>
      <c r="C173" s="173"/>
      <c r="D173" s="183" t="str">
        <f>VLOOKUP(A172,'imp-questions'!A:H,7,FALSE)</f>
        <v xml:space="preserve">Stress tests target specific application resources (e.g. memory exhaustion by saving large amounts of data to a user session)
You design tests around relevant personas with well-defined capabilities (knowledge, resources)
</v>
      </c>
      <c r="E173" s="169"/>
      <c r="F173" s="26"/>
      <c r="G173" s="22"/>
      <c r="H173" s="115"/>
      <c r="I173" s="323"/>
      <c r="J173" s="11"/>
      <c r="K173" s="156"/>
      <c r="L173" s="131"/>
      <c r="M173" s="131"/>
      <c r="N173" s="131"/>
      <c r="O173" s="131"/>
      <c r="P173" s="131"/>
      <c r="Q173" s="156"/>
      <c r="R173" s="156"/>
      <c r="S173" s="156"/>
      <c r="T173" s="156"/>
      <c r="U173" s="156"/>
      <c r="V173" s="156"/>
      <c r="W173" s="156"/>
      <c r="X173" s="156"/>
      <c r="Y173" s="156"/>
      <c r="Z173" s="156"/>
    </row>
    <row r="174" spans="1:26" ht="12.75" x14ac:dyDescent="0.2">
      <c r="A174"/>
      <c r="B174" s="373" t="s">
        <v>28</v>
      </c>
      <c r="C174" s="374"/>
      <c r="D174" s="375"/>
      <c r="E174" s="149"/>
      <c r="F174" s="79" t="s">
        <v>34</v>
      </c>
      <c r="G174" s="79"/>
      <c r="H174" s="121"/>
      <c r="I174" s="78" t="s">
        <v>21</v>
      </c>
      <c r="J174" s="78" t="s">
        <v>32</v>
      </c>
      <c r="K174" s="156"/>
      <c r="L174" s="131"/>
      <c r="M174" s="131"/>
      <c r="N174" s="131"/>
      <c r="O174" s="131"/>
      <c r="P174" s="131"/>
      <c r="Q174" s="156"/>
      <c r="R174" s="156"/>
      <c r="S174" s="156"/>
      <c r="T174" s="156"/>
      <c r="U174" s="156"/>
      <c r="V174" s="156"/>
      <c r="W174" s="156"/>
      <c r="X174" s="156"/>
      <c r="Y174" s="156"/>
      <c r="Z174" s="156"/>
    </row>
    <row r="175" spans="1:26" ht="14.1" customHeight="1" x14ac:dyDescent="0.2">
      <c r="A175" s="159" t="s">
        <v>390</v>
      </c>
      <c r="B175" s="337" t="str">
        <f>VLOOKUP(A175,'imp-questions'!A:H,4,FALSE)</f>
        <v>Scalable Baseline</v>
      </c>
      <c r="C175" s="210">
        <f>VLOOKUP(A175,'imp-questions'!A:H,5,FALSE)</f>
        <v>1</v>
      </c>
      <c r="D175" s="202" t="str">
        <f>VLOOKUP(A175,'imp-questions'!A:H,6,FALSE)</f>
        <v>Do you scan applications with automated security testing tools?</v>
      </c>
      <c r="E175" s="164" t="str">
        <f>CHAR(65+VLOOKUP(A175,'imp-questions'!A:H,8,FALSE))</f>
        <v>B</v>
      </c>
      <c r="F175" s="193"/>
      <c r="G175" s="18">
        <f>IFERROR(VLOOKUP(F175,AnsBTBL,2,FALSE),0)</f>
        <v>0</v>
      </c>
      <c r="H175" s="212">
        <f>IFERROR(AVERAGE(G175,G182),0)</f>
        <v>0</v>
      </c>
      <c r="I175" s="331"/>
      <c r="J175" s="348">
        <f>SUM(H175,H177,H179)</f>
        <v>0</v>
      </c>
      <c r="K175" s="156"/>
      <c r="L175" s="131"/>
      <c r="M175" s="131"/>
      <c r="N175" s="131"/>
      <c r="O175" s="131"/>
      <c r="P175" s="131"/>
      <c r="Q175" s="156"/>
      <c r="R175" s="156"/>
      <c r="S175" s="156"/>
      <c r="T175" s="156"/>
      <c r="U175" s="156"/>
      <c r="V175" s="156"/>
      <c r="W175" s="156"/>
      <c r="X175" s="156"/>
      <c r="Y175" s="156"/>
      <c r="Z175" s="156"/>
    </row>
    <row r="176" spans="1:26" ht="51" x14ac:dyDescent="0.2">
      <c r="A176"/>
      <c r="B176" s="338"/>
      <c r="C176" s="144"/>
      <c r="D176" s="191" t="str">
        <f>VLOOKUP(A175,'imp-questions'!A:H,7,FALSE)</f>
        <v xml:space="preserve">Inputs for security tests are dynamically generated using automated tools.
The security testing tools are chosen to fit the organization's architecture and technology stack, and balances depth and accuracy of inspection with usability of findings to the organization.
</v>
      </c>
      <c r="E176" s="169"/>
      <c r="F176" s="26"/>
      <c r="G176" s="22"/>
      <c r="H176" s="213"/>
      <c r="I176" s="332"/>
      <c r="J176" s="349"/>
      <c r="K176" s="156"/>
      <c r="L176" s="131"/>
      <c r="M176" s="131"/>
      <c r="N176" s="131"/>
      <c r="O176" s="131"/>
      <c r="P176" s="131"/>
      <c r="Q176" s="156"/>
      <c r="R176" s="156"/>
      <c r="S176" s="156"/>
      <c r="T176" s="156"/>
      <c r="U176" s="156"/>
      <c r="V176" s="156"/>
      <c r="W176" s="156"/>
      <c r="X176" s="156"/>
      <c r="Y176" s="156"/>
      <c r="Z176" s="156"/>
    </row>
    <row r="177" spans="1:26" x14ac:dyDescent="0.25">
      <c r="A177" s="159" t="s">
        <v>394</v>
      </c>
      <c r="B177" s="338"/>
      <c r="C177" s="210">
        <f>VLOOKUP(A177,'imp-questions'!A:H,5,FALSE)</f>
        <v>2</v>
      </c>
      <c r="D177" s="202" t="str">
        <f>VLOOKUP(A177,'imp-questions'!A:H,6,FALSE)</f>
        <v>Do you verify business logic with automated security tests, created from application security requirements?</v>
      </c>
      <c r="E177" s="164" t="str">
        <f>CHAR(65+VLOOKUP(A177,'imp-questions'!A:H,8,FALSE))</f>
        <v>B</v>
      </c>
      <c r="F177" s="198"/>
      <c r="G177" s="18">
        <f>IFERROR(VLOOKUP(F177,AnsBTBL,2,FALSE),0)</f>
        <v>0</v>
      </c>
      <c r="H177" s="212">
        <f>IFERROR(AVERAGE(G177,G184),0)</f>
        <v>0</v>
      </c>
      <c r="I177" s="325"/>
      <c r="J177" s="215"/>
      <c r="K177" s="205"/>
      <c r="L177" s="131"/>
      <c r="M177" s="131"/>
      <c r="N177" s="131"/>
      <c r="O177" s="131"/>
      <c r="P177" s="131"/>
      <c r="Q177" s="205"/>
      <c r="R177" s="205"/>
      <c r="S177" s="205"/>
      <c r="T177" s="205"/>
      <c r="U177" s="205"/>
      <c r="V177" s="205"/>
      <c r="W177" s="205"/>
      <c r="X177" s="205"/>
      <c r="Y177" s="205"/>
      <c r="Z177" s="205"/>
    </row>
    <row r="178" spans="1:26" ht="51" x14ac:dyDescent="0.25">
      <c r="A178"/>
      <c r="B178" s="338"/>
      <c r="C178" s="144"/>
      <c r="D178" s="191" t="str">
        <f>VLOOKUP(A177,'imp-questions'!A:H,7,FALSE)</f>
        <v xml:space="preserve">Tests are specifically customized for software interfaces in the project.
Tests and the security requirements they verify are expressed in a structured format, such as a DSL.
Tests include organization-specific technical standards and compliance concerns.
</v>
      </c>
      <c r="E178" s="169"/>
      <c r="F178" s="26"/>
      <c r="G178" s="22"/>
      <c r="H178" s="216"/>
      <c r="I178" s="326"/>
      <c r="J178" s="215"/>
      <c r="K178" s="205"/>
      <c r="L178" s="131"/>
      <c r="M178" s="131"/>
      <c r="N178" s="131"/>
      <c r="O178" s="131"/>
      <c r="P178" s="131"/>
      <c r="Q178" s="205"/>
      <c r="R178" s="205"/>
      <c r="S178" s="205"/>
      <c r="T178" s="205"/>
      <c r="U178" s="205"/>
      <c r="V178" s="205"/>
      <c r="W178" s="205"/>
      <c r="X178" s="205"/>
      <c r="Y178" s="205"/>
      <c r="Z178" s="205"/>
    </row>
    <row r="179" spans="1:26" x14ac:dyDescent="0.25">
      <c r="A179" s="159" t="s">
        <v>397</v>
      </c>
      <c r="B179" s="338"/>
      <c r="C179" s="210">
        <f>VLOOKUP(A179,'imp-questions'!A:H,5,FALSE)</f>
        <v>3</v>
      </c>
      <c r="D179" s="202" t="str">
        <f>VLOOKUP(A179,'imp-questions'!A:H,6,FALSE)</f>
        <v>Do you integrate automated security testing into the build and deploy process?</v>
      </c>
      <c r="E179" s="164" t="str">
        <f>CHAR(65+VLOOKUP(A179,'imp-questions'!A:H,8,FALSE))</f>
        <v>B</v>
      </c>
      <c r="F179" s="198"/>
      <c r="G179" s="18">
        <f>IFERROR(VLOOKUP(F179,AnsBTBL,2,FALSE),0)</f>
        <v>0</v>
      </c>
      <c r="H179" s="212">
        <f>IFERROR(AVERAGE(G179,G186),0)</f>
        <v>0</v>
      </c>
      <c r="I179" s="353"/>
      <c r="J179" s="215"/>
      <c r="K179" s="156"/>
      <c r="L179" s="131"/>
      <c r="M179" s="131"/>
      <c r="N179" s="131"/>
      <c r="O179" s="131"/>
      <c r="P179" s="131"/>
      <c r="Q179" s="156"/>
      <c r="R179" s="156"/>
      <c r="S179" s="156"/>
      <c r="T179" s="156"/>
      <c r="U179" s="156"/>
      <c r="V179" s="156"/>
      <c r="W179" s="156"/>
      <c r="X179" s="156"/>
      <c r="Y179" s="156"/>
      <c r="Z179" s="156"/>
    </row>
    <row r="180" spans="1:26" ht="38.25" x14ac:dyDescent="0.25">
      <c r="A180"/>
      <c r="B180" s="339"/>
      <c r="C180" s="173"/>
      <c r="D180" s="183" t="str">
        <f>VLOOKUP(A179,'imp-questions'!A:H,7,FALSE)</f>
        <v xml:space="preserve">Test results are tracked and reviewed by management and business stakeholders throughout the development cycle
Tests results are merged into a central dashboard and fed into defect management.
</v>
      </c>
      <c r="E180" s="169"/>
      <c r="F180" s="26"/>
      <c r="G180" s="22"/>
      <c r="H180" s="216"/>
      <c r="I180" s="326"/>
      <c r="J180" s="215"/>
      <c r="K180" s="156"/>
      <c r="L180" s="131"/>
      <c r="M180" s="131"/>
      <c r="N180" s="131"/>
      <c r="O180" s="131"/>
      <c r="P180" s="131"/>
      <c r="Q180" s="156"/>
      <c r="R180" s="156"/>
      <c r="S180" s="156"/>
      <c r="T180" s="156"/>
      <c r="U180" s="156"/>
      <c r="V180" s="156"/>
      <c r="W180" s="156"/>
      <c r="X180" s="156"/>
      <c r="Y180" s="156"/>
      <c r="Z180" s="156"/>
    </row>
    <row r="181" spans="1:26" x14ac:dyDescent="0.25">
      <c r="A181"/>
      <c r="B181" s="340"/>
      <c r="C181" s="341"/>
      <c r="D181" s="341"/>
      <c r="E181" s="341"/>
      <c r="F181" s="341"/>
      <c r="G181" s="341"/>
      <c r="H181" s="341"/>
      <c r="I181" s="342"/>
      <c r="J181" s="11"/>
      <c r="K181" s="156"/>
      <c r="L181" s="131"/>
      <c r="M181" s="131"/>
      <c r="N181" s="131"/>
      <c r="O181" s="131"/>
      <c r="P181" s="131"/>
      <c r="Q181" s="156"/>
      <c r="R181" s="156"/>
      <c r="S181" s="156"/>
      <c r="T181" s="156"/>
      <c r="U181" s="156"/>
      <c r="V181" s="156"/>
      <c r="W181" s="156"/>
      <c r="X181" s="156"/>
      <c r="Y181" s="156"/>
      <c r="Z181" s="156"/>
    </row>
    <row r="182" spans="1:26" x14ac:dyDescent="0.25">
      <c r="A182" s="159" t="s">
        <v>400</v>
      </c>
      <c r="B182" s="337" t="str">
        <f>VLOOKUP(A182,'imp-questions'!A:H,4,FALSE)</f>
        <v>Deep Understanding</v>
      </c>
      <c r="C182" s="210">
        <f>VLOOKUP(A182,'imp-questions'!A:H,5,FALSE)</f>
        <v>1</v>
      </c>
      <c r="D182" s="202" t="str">
        <f>VLOOKUP(A182,'imp-questions'!A:H,6,FALSE)</f>
        <v>Do you manually review the security quality of selected high-risk components?</v>
      </c>
      <c r="E182" s="164" t="str">
        <f>CHAR(65+VLOOKUP(A182,'imp-questions'!A:H,8,FALSE))</f>
        <v>B</v>
      </c>
      <c r="F182" s="193"/>
      <c r="G182" s="18">
        <f>IFERROR(VLOOKUP(F182,AnsBTBL,2,FALSE),0)</f>
        <v>0</v>
      </c>
      <c r="H182" s="103"/>
      <c r="I182" s="322"/>
      <c r="J182" s="11"/>
      <c r="K182" s="156"/>
      <c r="L182" s="131"/>
      <c r="M182" s="131"/>
      <c r="N182" s="131"/>
      <c r="O182" s="131"/>
      <c r="P182" s="131"/>
      <c r="Q182" s="156"/>
      <c r="R182" s="156"/>
      <c r="S182" s="156"/>
      <c r="T182" s="156"/>
      <c r="U182" s="156"/>
      <c r="V182" s="156"/>
      <c r="W182" s="156"/>
      <c r="X182" s="156"/>
      <c r="Y182" s="156"/>
      <c r="Z182" s="156"/>
    </row>
    <row r="183" spans="1:26" ht="51" x14ac:dyDescent="0.25">
      <c r="A183"/>
      <c r="B183" s="338"/>
      <c r="C183" s="144"/>
      <c r="D183" s="191" t="str">
        <f>VLOOKUP(A182,'imp-questions'!A:H,7,FALSE)</f>
        <v xml:space="preserve">Criteria exist to help the reviewer to focus on high-risk components
Reviews are conducted by qualified personel following documented guidelines
findings are addressed in accordance with the organisation's defect management policy
</v>
      </c>
      <c r="E183" s="169"/>
      <c r="F183" s="26"/>
      <c r="G183" s="22"/>
      <c r="H183" s="115"/>
      <c r="I183" s="323"/>
      <c r="J183" s="11"/>
      <c r="K183" s="156"/>
      <c r="L183" s="131"/>
      <c r="M183" s="131"/>
      <c r="N183" s="131"/>
      <c r="O183" s="131"/>
      <c r="P183" s="131"/>
      <c r="Q183" s="156"/>
      <c r="R183" s="156"/>
      <c r="S183" s="156"/>
      <c r="T183" s="156"/>
      <c r="U183" s="156"/>
      <c r="V183" s="156"/>
      <c r="W183" s="156"/>
      <c r="X183" s="156"/>
      <c r="Y183" s="156"/>
      <c r="Z183" s="156"/>
    </row>
    <row r="184" spans="1:26" x14ac:dyDescent="0.25">
      <c r="A184" s="159" t="s">
        <v>404</v>
      </c>
      <c r="B184" s="338"/>
      <c r="C184" s="210">
        <f>VLOOKUP(A184,'imp-questions'!A:H,5,FALSE)</f>
        <v>2</v>
      </c>
      <c r="D184" s="202" t="str">
        <f>VLOOKUP(A184,'imp-questions'!A:H,6,FALSE)</f>
        <v>Do you perform penetration testing for your applications at regular intervals?</v>
      </c>
      <c r="E184" s="164" t="str">
        <f>CHAR(65+VLOOKUP(A184,'imp-questions'!A:H,8,FALSE))</f>
        <v>B</v>
      </c>
      <c r="F184" s="198"/>
      <c r="G184" s="18">
        <f>IFERROR(VLOOKUP(F184,AnsBTBL,2,FALSE),0)</f>
        <v>0</v>
      </c>
      <c r="H184" s="103"/>
      <c r="I184" s="322"/>
      <c r="J184" s="11"/>
      <c r="K184" s="205"/>
      <c r="L184" s="131"/>
      <c r="M184" s="131"/>
      <c r="N184" s="131"/>
      <c r="O184" s="131"/>
      <c r="P184" s="131"/>
      <c r="Q184" s="205"/>
      <c r="R184" s="205"/>
      <c r="S184" s="205"/>
      <c r="T184" s="205"/>
      <c r="U184" s="205"/>
      <c r="V184" s="205"/>
      <c r="W184" s="205"/>
      <c r="X184" s="205"/>
      <c r="Y184" s="205"/>
      <c r="Z184" s="205"/>
    </row>
    <row r="185" spans="1:26" ht="63.75" x14ac:dyDescent="0.25">
      <c r="A185"/>
      <c r="B185" s="338"/>
      <c r="C185" s="144"/>
      <c r="D185" s="191" t="str">
        <f>VLOOKUP(A184,'imp-questions'!A:H,7,FALSE)</f>
        <v xml:space="preserve">Penetration testing uses application-specific security test cases to evaluate security
Penetration testing looks for both technical and logical issues in the application
Stakeholders review the test results and handle them in accordance with the organisation's risk management
Penetration testing is performed by qualified personel.
</v>
      </c>
      <c r="E185" s="169"/>
      <c r="F185" s="26"/>
      <c r="G185" s="22"/>
      <c r="H185" s="115"/>
      <c r="I185" s="323"/>
      <c r="J185" s="11"/>
      <c r="K185" s="205"/>
      <c r="L185" s="131"/>
      <c r="M185" s="131"/>
      <c r="N185" s="131"/>
      <c r="O185" s="131"/>
      <c r="P185" s="131"/>
      <c r="Q185" s="205"/>
      <c r="R185" s="205"/>
      <c r="S185" s="205"/>
      <c r="T185" s="205"/>
      <c r="U185" s="205"/>
      <c r="V185" s="205"/>
      <c r="W185" s="205"/>
      <c r="X185" s="205"/>
      <c r="Y185" s="205"/>
      <c r="Z185" s="205"/>
    </row>
    <row r="186" spans="1:26" x14ac:dyDescent="0.25">
      <c r="A186" s="159" t="s">
        <v>407</v>
      </c>
      <c r="B186" s="338"/>
      <c r="C186" s="210">
        <f>VLOOKUP(A186,'imp-questions'!A:H,5,FALSE)</f>
        <v>3</v>
      </c>
      <c r="D186" s="202" t="str">
        <f>VLOOKUP(A186,'imp-questions'!A:H,6,FALSE)</f>
        <v>Do you use the results of security testing to improve the development lifecycle?</v>
      </c>
      <c r="E186" s="164" t="str">
        <f>CHAR(65+VLOOKUP(A186,'imp-questions'!A:H,8,FALSE))</f>
        <v>E</v>
      </c>
      <c r="F186" s="198"/>
      <c r="G186" s="185">
        <f>IFERROR(VLOOKUP(F186,AnsETBL,2,FALSE),0)</f>
        <v>0</v>
      </c>
      <c r="H186" s="103"/>
      <c r="I186" s="322"/>
      <c r="J186" s="11"/>
      <c r="K186" s="156"/>
      <c r="L186" s="131"/>
      <c r="M186" s="131"/>
      <c r="N186" s="131"/>
      <c r="O186" s="131"/>
      <c r="P186" s="131"/>
      <c r="Q186" s="156"/>
      <c r="R186" s="156"/>
      <c r="S186" s="156"/>
      <c r="T186" s="156"/>
      <c r="U186" s="156"/>
      <c r="V186" s="156"/>
      <c r="W186" s="156"/>
      <c r="X186" s="156"/>
      <c r="Y186" s="156"/>
      <c r="Z186" s="156"/>
    </row>
    <row r="187" spans="1:26" ht="51" x14ac:dyDescent="0.25">
      <c r="A187"/>
      <c r="B187" s="339"/>
      <c r="C187" s="173"/>
      <c r="D187" s="183" t="str">
        <f>VLOOKUP(A186,'imp-questions'!A:H,7,FALSE)</f>
        <v xml:space="preserve">You use results from other security activities to improve integrated security testing during development
You review test results and incorporate them into security awareness training and security testing playbooks
Stakeholders review the test results and handle them in accordance with the organisation's risk management
</v>
      </c>
      <c r="E187" s="169"/>
      <c r="F187" s="26"/>
      <c r="G187" s="22"/>
      <c r="H187" s="115"/>
      <c r="I187" s="323"/>
      <c r="J187" s="11"/>
      <c r="K187" s="156"/>
      <c r="L187" s="131"/>
      <c r="M187" s="131"/>
      <c r="N187" s="131"/>
      <c r="O187" s="131"/>
      <c r="P187" s="131"/>
      <c r="Q187" s="156"/>
      <c r="R187" s="156"/>
      <c r="S187" s="156"/>
      <c r="T187" s="156"/>
      <c r="U187" s="156"/>
      <c r="V187" s="156"/>
      <c r="W187" s="156"/>
      <c r="X187" s="156"/>
      <c r="Y187" s="156"/>
      <c r="Z187" s="156"/>
    </row>
    <row r="188" spans="1:26" ht="12.75" x14ac:dyDescent="0.2">
      <c r="A188"/>
      <c r="B188" s="397" t="s">
        <v>36</v>
      </c>
      <c r="C188" s="397"/>
      <c r="D188" s="397"/>
      <c r="E188" s="397"/>
      <c r="F188" s="397"/>
      <c r="G188" s="397"/>
      <c r="H188" s="397"/>
      <c r="I188" s="397"/>
      <c r="J188" s="397"/>
      <c r="K188" s="1"/>
      <c r="L188" s="131"/>
      <c r="M188" s="131"/>
      <c r="N188" s="131"/>
      <c r="O188" s="131"/>
      <c r="P188" s="131"/>
      <c r="Q188" s="1"/>
      <c r="R188" s="1"/>
      <c r="S188" s="1"/>
      <c r="T188" s="1"/>
      <c r="U188" s="1"/>
      <c r="V188" s="1"/>
      <c r="W188" s="1"/>
      <c r="X188" s="1"/>
      <c r="Y188" s="1"/>
      <c r="Z188" s="1"/>
    </row>
    <row r="189" spans="1:26" ht="12.75" x14ac:dyDescent="0.2">
      <c r="A189"/>
      <c r="B189" s="404" t="s">
        <v>411</v>
      </c>
      <c r="C189" s="405"/>
      <c r="D189" s="406"/>
      <c r="E189" s="155"/>
      <c r="F189" s="82" t="s">
        <v>34</v>
      </c>
      <c r="G189" s="82"/>
      <c r="H189" s="122"/>
      <c r="I189" s="83" t="s">
        <v>21</v>
      </c>
      <c r="J189" s="83" t="s">
        <v>32</v>
      </c>
      <c r="K189" s="1"/>
      <c r="L189" s="131"/>
      <c r="M189" s="131"/>
      <c r="N189" s="131"/>
      <c r="O189" s="131"/>
      <c r="P189" s="131"/>
      <c r="Q189" s="1"/>
      <c r="R189" s="1"/>
      <c r="S189" s="1"/>
      <c r="T189" s="1"/>
      <c r="U189" s="1"/>
      <c r="V189" s="1"/>
      <c r="W189" s="1"/>
      <c r="X189" s="1"/>
      <c r="Y189" s="1"/>
      <c r="Z189" s="1"/>
    </row>
    <row r="190" spans="1:26" ht="12.75" x14ac:dyDescent="0.2">
      <c r="A190" s="159" t="s">
        <v>410</v>
      </c>
      <c r="B190" s="398" t="str">
        <f>VLOOKUP(A190,'imp-questions'!A:H,4,FALSE)</f>
        <v>Incident Detection</v>
      </c>
      <c r="C190" s="211">
        <f>VLOOKUP(A190,'imp-questions'!A:H,5,FALSE)</f>
        <v>1</v>
      </c>
      <c r="D190" s="202" t="str">
        <f>VLOOKUP(A190,'imp-questions'!A:H,6,FALSE)</f>
        <v>Do you analyze log data for possible security incidents periodically?</v>
      </c>
      <c r="E190" s="164" t="str">
        <f>CHAR(65+VLOOKUP(A190,'imp-questions'!A:H,8,FALSE))</f>
        <v>A</v>
      </c>
      <c r="F190" s="193"/>
      <c r="G190" s="18">
        <f>IFERROR(VLOOKUP(F190,AnsATBL,2,FALSE),0)</f>
        <v>0</v>
      </c>
      <c r="H190" s="212">
        <f>IFERROR(AVERAGE(G190,G197),0)</f>
        <v>0</v>
      </c>
      <c r="I190" s="331"/>
      <c r="J190" s="333">
        <f>SUM(H190,H192,H194)</f>
        <v>0</v>
      </c>
      <c r="K190" s="1"/>
      <c r="L190" s="131"/>
      <c r="M190" s="131"/>
      <c r="N190" s="131"/>
      <c r="O190" s="131"/>
      <c r="P190" s="131"/>
      <c r="Q190" s="1"/>
      <c r="R190" s="1"/>
      <c r="S190" s="1"/>
      <c r="T190" s="1"/>
      <c r="U190" s="1"/>
      <c r="V190" s="1"/>
      <c r="W190" s="1"/>
      <c r="X190" s="1"/>
      <c r="Y190" s="1"/>
      <c r="Z190" s="1"/>
    </row>
    <row r="191" spans="1:26" ht="51" x14ac:dyDescent="0.2">
      <c r="A191"/>
      <c r="B191" s="399"/>
      <c r="C191" s="173"/>
      <c r="D191" s="183" t="str">
        <f>VLOOKUP(A190,'imp-questions'!A:H,7,FALSE)</f>
        <v xml:space="preserve">You have a contact point for the creation of security incidents
You analyze data in accordance with the log data retention periods
The frequency of this analysis is aligned with the criticality of your applications
</v>
      </c>
      <c r="E191" s="169"/>
      <c r="F191" s="174"/>
      <c r="G191" s="21"/>
      <c r="H191" s="213"/>
      <c r="I191" s="332"/>
      <c r="J191" s="334"/>
      <c r="K191" s="1"/>
      <c r="L191" s="131"/>
      <c r="M191" s="131"/>
      <c r="N191" s="131"/>
      <c r="O191" s="131"/>
      <c r="P191" s="131"/>
      <c r="Q191" s="1"/>
      <c r="R191" s="1"/>
      <c r="S191" s="1"/>
      <c r="T191" s="1"/>
      <c r="U191" s="1"/>
      <c r="V191" s="1"/>
      <c r="W191" s="1"/>
      <c r="X191" s="1"/>
      <c r="Y191" s="1"/>
      <c r="Z191" s="1"/>
    </row>
    <row r="192" spans="1:26" x14ac:dyDescent="0.25">
      <c r="A192" s="159" t="s">
        <v>415</v>
      </c>
      <c r="B192" s="399"/>
      <c r="C192" s="211">
        <f>VLOOKUP(A192,'imp-questions'!A:H,5,FALSE)</f>
        <v>2</v>
      </c>
      <c r="D192" s="202" t="str">
        <f>VLOOKUP(A192,'imp-questions'!A:H,6,FALSE)</f>
        <v>Do you follow a process for incident detection?</v>
      </c>
      <c r="E192" s="164" t="str">
        <f>CHAR(65+VLOOKUP(A192,'imp-questions'!A:H,8,FALSE))</f>
        <v>A</v>
      </c>
      <c r="F192" s="193"/>
      <c r="G192" s="18">
        <f>IFERROR(VLOOKUP(F192,AnsATBL,2,FALSE),0)</f>
        <v>0</v>
      </c>
      <c r="H192" s="212">
        <f>IFERROR(AVERAGE(G192,G199),0)</f>
        <v>0</v>
      </c>
      <c r="I192" s="325"/>
      <c r="J192" s="215"/>
      <c r="K192" s="205"/>
      <c r="L192" s="131"/>
      <c r="M192" s="131"/>
      <c r="N192" s="131"/>
      <c r="O192" s="131"/>
      <c r="P192" s="131"/>
      <c r="Q192" s="205"/>
      <c r="R192" s="205"/>
      <c r="S192" s="205"/>
      <c r="T192" s="205"/>
      <c r="U192" s="205"/>
      <c r="V192" s="205"/>
      <c r="W192" s="205"/>
      <c r="X192" s="205"/>
      <c r="Y192" s="205"/>
      <c r="Z192" s="205"/>
    </row>
    <row r="193" spans="1:26" ht="76.5" x14ac:dyDescent="0.25">
      <c r="A193"/>
      <c r="B193" s="399"/>
      <c r="C193" s="173"/>
      <c r="D193" s="183" t="str">
        <f>VLOOKUP(A192,'imp-questions'!A:H,7,FALSE)</f>
        <v xml:space="preserve">The process has a dedicated owner
There is process documentation stored in an accessible location
The process considers and escalation path for further analysis
Employees responsible for incident detection are trained in this process
You have a checklist of potential attacks to simplify incident detection
</v>
      </c>
      <c r="E193" s="169"/>
      <c r="F193" s="25"/>
      <c r="G193" s="21"/>
      <c r="H193" s="216"/>
      <c r="I193" s="326"/>
      <c r="J193" s="215"/>
      <c r="K193" s="205"/>
      <c r="L193" s="131"/>
      <c r="M193" s="131"/>
      <c r="N193" s="131"/>
      <c r="O193" s="131"/>
      <c r="P193" s="131"/>
      <c r="Q193" s="205"/>
      <c r="R193" s="205"/>
      <c r="S193" s="205"/>
      <c r="T193" s="205"/>
      <c r="U193" s="205"/>
      <c r="V193" s="205"/>
      <c r="W193" s="205"/>
      <c r="X193" s="205"/>
      <c r="Y193" s="205"/>
      <c r="Z193" s="205"/>
    </row>
    <row r="194" spans="1:26" x14ac:dyDescent="0.25">
      <c r="A194" s="159" t="s">
        <v>418</v>
      </c>
      <c r="B194" s="399"/>
      <c r="C194" s="211">
        <f>VLOOKUP(A194,'imp-questions'!A:H,5,FALSE)</f>
        <v>3</v>
      </c>
      <c r="D194" s="202" t="str">
        <f>VLOOKUP(A194,'imp-questions'!A:H,6,FALSE)</f>
        <v>Do you review and update the incident detection process regularly?</v>
      </c>
      <c r="E194" s="164" t="str">
        <f>CHAR(65+VLOOKUP(A194,'imp-questions'!A:H,8,FALSE))</f>
        <v>A</v>
      </c>
      <c r="F194" s="193"/>
      <c r="G194" s="18">
        <f>IFERROR(VLOOKUP(F194,AnsATBL,2,FALSE),0)</f>
        <v>0</v>
      </c>
      <c r="H194" s="212">
        <f>IFERROR(AVERAGE(G194,G201),0)</f>
        <v>0</v>
      </c>
      <c r="I194" s="353"/>
      <c r="J194" s="215"/>
      <c r="K194" s="1"/>
      <c r="L194" s="131"/>
      <c r="M194" s="131"/>
      <c r="N194" s="131"/>
      <c r="O194" s="131"/>
      <c r="P194" s="131"/>
      <c r="Q194" s="1"/>
      <c r="R194" s="1"/>
      <c r="S194" s="1"/>
      <c r="T194" s="1"/>
      <c r="U194" s="1"/>
      <c r="V194" s="1"/>
      <c r="W194" s="1"/>
      <c r="X194" s="1"/>
      <c r="Y194" s="1"/>
      <c r="Z194" s="1"/>
    </row>
    <row r="195" spans="1:26" ht="38.25" x14ac:dyDescent="0.25">
      <c r="A195"/>
      <c r="B195" s="400"/>
      <c r="C195" s="173"/>
      <c r="D195" s="183" t="str">
        <f>VLOOKUP(A194,'imp-questions'!A:H,7,FALSE)</f>
        <v xml:space="preserve">You perform reviews at least annually
You update the checklist of potential attacks with external and internal data
</v>
      </c>
      <c r="E195" s="169"/>
      <c r="F195" s="174"/>
      <c r="G195" s="21"/>
      <c r="H195" s="216"/>
      <c r="I195" s="326"/>
      <c r="J195" s="215"/>
      <c r="K195" s="1"/>
      <c r="L195" s="131"/>
      <c r="M195" s="131"/>
      <c r="N195" s="131"/>
      <c r="O195" s="131"/>
      <c r="P195" s="131"/>
      <c r="Q195" s="1"/>
      <c r="R195" s="1"/>
      <c r="S195" s="1"/>
      <c r="T195" s="1"/>
      <c r="U195" s="1"/>
      <c r="V195" s="1"/>
      <c r="W195" s="1"/>
      <c r="X195" s="1"/>
      <c r="Y195" s="1"/>
      <c r="Z195" s="1"/>
    </row>
    <row r="196" spans="1:26" x14ac:dyDescent="0.25">
      <c r="A196"/>
      <c r="B196" s="368"/>
      <c r="C196" s="341"/>
      <c r="D196" s="341"/>
      <c r="E196" s="341"/>
      <c r="F196" s="341"/>
      <c r="G196" s="341"/>
      <c r="H196" s="341"/>
      <c r="I196" s="369"/>
      <c r="J196" s="11"/>
      <c r="K196" s="1"/>
      <c r="L196" s="131"/>
      <c r="M196" s="131"/>
      <c r="N196" s="131"/>
      <c r="O196" s="131"/>
      <c r="P196" s="131"/>
      <c r="Q196" s="1"/>
      <c r="R196" s="1"/>
      <c r="S196" s="1"/>
      <c r="T196" s="1"/>
      <c r="U196" s="1"/>
      <c r="V196" s="1"/>
      <c r="W196" s="1"/>
      <c r="X196" s="1"/>
      <c r="Y196" s="1"/>
      <c r="Z196" s="1"/>
    </row>
    <row r="197" spans="1:26" x14ac:dyDescent="0.25">
      <c r="A197" s="159" t="s">
        <v>421</v>
      </c>
      <c r="B197" s="398" t="str">
        <f>VLOOKUP(A197,'imp-questions'!A:H,4,FALSE)</f>
        <v>Incident Response</v>
      </c>
      <c r="C197" s="211">
        <f>VLOOKUP(A197,'imp-questions'!A:H,5,FALSE)</f>
        <v>1</v>
      </c>
      <c r="D197" s="202" t="str">
        <f>VLOOKUP(A197,'imp-questions'!A:H,6,FALSE)</f>
        <v>Do you respond upon detected incidents?</v>
      </c>
      <c r="E197" s="164" t="str">
        <f>CHAR(65+VLOOKUP(A197,'imp-questions'!A:H,8,FALSE))</f>
        <v>H</v>
      </c>
      <c r="F197" s="5"/>
      <c r="G197" s="18">
        <f>IFERROR(VLOOKUP(F197,AnsHTBL,2,FALSE),0)</f>
        <v>0</v>
      </c>
      <c r="H197" s="103"/>
      <c r="I197" s="324"/>
      <c r="J197" s="11"/>
      <c r="K197" s="1"/>
      <c r="L197" s="131"/>
      <c r="M197" s="131"/>
      <c r="N197" s="131"/>
      <c r="O197" s="131"/>
      <c r="P197" s="131"/>
      <c r="Q197" s="1"/>
      <c r="R197" s="1"/>
      <c r="S197" s="1"/>
      <c r="T197" s="1"/>
      <c r="U197" s="1"/>
      <c r="V197" s="1"/>
      <c r="W197" s="1"/>
      <c r="X197" s="1"/>
      <c r="Y197" s="1"/>
      <c r="Z197" s="1"/>
    </row>
    <row r="198" spans="1:26" ht="38.25" x14ac:dyDescent="0.25">
      <c r="A198"/>
      <c r="B198" s="399"/>
      <c r="C198" s="173"/>
      <c r="D198" s="183" t="str">
        <f>VLOOKUP(A197,'imp-questions'!A:H,7,FALSE)</f>
        <v xml:space="preserve">You have a defined person or role for incident handling
You document security incidents
</v>
      </c>
      <c r="E198" s="169"/>
      <c r="F198" s="174"/>
      <c r="G198" s="21"/>
      <c r="H198" s="116"/>
      <c r="I198" s="354"/>
      <c r="J198" s="11"/>
      <c r="K198" s="1"/>
      <c r="L198" s="131"/>
      <c r="M198" s="131"/>
      <c r="N198" s="131"/>
      <c r="O198" s="131"/>
      <c r="P198" s="131"/>
      <c r="Q198" s="1"/>
      <c r="R198" s="1"/>
      <c r="S198" s="1"/>
      <c r="T198" s="1"/>
      <c r="U198" s="1"/>
      <c r="V198" s="1"/>
      <c r="W198" s="1"/>
      <c r="X198" s="1"/>
      <c r="Y198" s="1"/>
      <c r="Z198" s="1"/>
    </row>
    <row r="199" spans="1:26" x14ac:dyDescent="0.25">
      <c r="A199" s="159" t="s">
        <v>425</v>
      </c>
      <c r="B199" s="399"/>
      <c r="C199" s="211">
        <f>VLOOKUP(A199,'imp-questions'!A:H,5,FALSE)</f>
        <v>2</v>
      </c>
      <c r="D199" s="202" t="str">
        <f>VLOOKUP(A199,'imp-questions'!A:H,6,FALSE)</f>
        <v>Do you have a repeatable process for incident handling?</v>
      </c>
      <c r="E199" s="164" t="str">
        <f>CHAR(65+VLOOKUP(A199,'imp-questions'!A:H,8,FALSE))</f>
        <v>I</v>
      </c>
      <c r="F199" s="19"/>
      <c r="G199" s="18">
        <f>IFERROR(VLOOKUP(F199,AnsITBL,2,FALSE),0)</f>
        <v>0</v>
      </c>
      <c r="H199" s="103"/>
      <c r="I199" s="324"/>
      <c r="J199" s="11"/>
      <c r="K199" s="205"/>
      <c r="L199" s="131"/>
      <c r="M199" s="131"/>
      <c r="N199" s="131"/>
      <c r="O199" s="131"/>
      <c r="P199" s="131"/>
      <c r="Q199" s="205"/>
      <c r="R199" s="205"/>
      <c r="S199" s="205"/>
      <c r="T199" s="205"/>
      <c r="U199" s="205"/>
      <c r="V199" s="205"/>
      <c r="W199" s="205"/>
      <c r="X199" s="205"/>
      <c r="Y199" s="205"/>
      <c r="Z199" s="205"/>
    </row>
    <row r="200" spans="1:26" ht="63.75" x14ac:dyDescent="0.25">
      <c r="A200"/>
      <c r="B200" s="399"/>
      <c r="C200" s="173"/>
      <c r="D200" s="183" t="str">
        <f>VLOOKUP(A199,'imp-questions'!A:H,7,FALSE)</f>
        <v xml:space="preserve">You have an agreed upon incident classification
The process considers Root Case Analysis for high severity incidents
Employees responsible for incident response are trained in this process
Forensic analysis tooling is available
</v>
      </c>
      <c r="E200" s="169"/>
      <c r="F200" s="174"/>
      <c r="G200" s="21"/>
      <c r="H200" s="116"/>
      <c r="I200" s="354"/>
      <c r="J200" s="11"/>
      <c r="K200" s="205"/>
      <c r="L200" s="131"/>
      <c r="M200" s="131"/>
      <c r="N200" s="131"/>
      <c r="O200" s="131"/>
      <c r="P200" s="131"/>
      <c r="Q200" s="205"/>
      <c r="R200" s="205"/>
      <c r="S200" s="205"/>
      <c r="T200" s="205"/>
      <c r="U200" s="205"/>
      <c r="V200" s="205"/>
      <c r="W200" s="205"/>
      <c r="X200" s="205"/>
      <c r="Y200" s="205"/>
      <c r="Z200" s="205"/>
    </row>
    <row r="201" spans="1:26" x14ac:dyDescent="0.25">
      <c r="A201" s="159" t="s">
        <v>428</v>
      </c>
      <c r="B201" s="399"/>
      <c r="C201" s="211">
        <f>VLOOKUP(A201,'imp-questions'!A:H,5,FALSE)</f>
        <v>3</v>
      </c>
      <c r="D201" s="202" t="str">
        <f>VLOOKUP(A201,'imp-questions'!A:H,6,FALSE)</f>
        <v>Is there a dedicated incident response team available?</v>
      </c>
      <c r="E201" s="164" t="str">
        <f>CHAR(65+VLOOKUP(A201,'imp-questions'!A:H,8,FALSE))</f>
        <v>E</v>
      </c>
      <c r="F201" s="19"/>
      <c r="G201" s="18">
        <f>IFERROR(VLOOKUP(F201,AnsETBL,2,FALSE),0)</f>
        <v>0</v>
      </c>
      <c r="H201" s="103"/>
      <c r="I201" s="324"/>
      <c r="J201" s="11"/>
      <c r="K201" s="1"/>
      <c r="L201" s="131"/>
      <c r="M201" s="131"/>
      <c r="N201" s="131"/>
      <c r="O201" s="131"/>
      <c r="P201" s="131"/>
      <c r="Q201" s="1"/>
      <c r="R201" s="1"/>
      <c r="S201" s="1"/>
      <c r="T201" s="1"/>
      <c r="U201" s="1"/>
      <c r="V201" s="1"/>
      <c r="W201" s="1"/>
      <c r="X201" s="1"/>
      <c r="Y201" s="1"/>
      <c r="Z201" s="1"/>
    </row>
    <row r="202" spans="1:26" ht="38.25" x14ac:dyDescent="0.25">
      <c r="A202"/>
      <c r="B202" s="400"/>
      <c r="C202" s="173"/>
      <c r="D202" s="183" t="str">
        <f>VLOOKUP(A201,'imp-questions'!A:H,7,FALSE)</f>
        <v xml:space="preserve">The team performs Root Cause Analysis for all security incidents unless there is a specific reason not to do so
You review and update the response process at least annually
</v>
      </c>
      <c r="E202" s="169"/>
      <c r="F202" s="174"/>
      <c r="G202" s="21"/>
      <c r="H202" s="116"/>
      <c r="I202" s="354"/>
      <c r="J202" s="11"/>
      <c r="K202" s="1"/>
      <c r="L202" s="131"/>
      <c r="M202" s="131"/>
      <c r="N202" s="131"/>
      <c r="O202" s="131"/>
      <c r="P202" s="131"/>
      <c r="Q202" s="1"/>
      <c r="R202" s="1"/>
      <c r="S202" s="1"/>
      <c r="T202" s="1"/>
      <c r="U202" s="1"/>
      <c r="V202" s="1"/>
      <c r="W202" s="1"/>
      <c r="X202" s="1"/>
      <c r="Y202" s="1"/>
      <c r="Z202" s="1"/>
    </row>
    <row r="203" spans="1:26" ht="12.75" x14ac:dyDescent="0.2">
      <c r="A203"/>
      <c r="B203" s="407" t="s">
        <v>432</v>
      </c>
      <c r="C203" s="408"/>
      <c r="D203" s="409"/>
      <c r="E203" s="154"/>
      <c r="F203" s="84" t="s">
        <v>34</v>
      </c>
      <c r="G203" s="84"/>
      <c r="H203" s="123"/>
      <c r="I203" s="83" t="s">
        <v>21</v>
      </c>
      <c r="J203" s="83" t="s">
        <v>32</v>
      </c>
      <c r="K203" s="1"/>
      <c r="L203" s="131"/>
      <c r="M203" s="131"/>
      <c r="N203" s="131"/>
      <c r="O203" s="131"/>
      <c r="P203" s="131"/>
      <c r="Q203" s="1"/>
      <c r="R203" s="1"/>
      <c r="S203" s="1"/>
      <c r="T203" s="1"/>
      <c r="U203" s="1"/>
      <c r="V203" s="1"/>
      <c r="W203" s="1"/>
      <c r="X203" s="1"/>
      <c r="Y203" s="1"/>
      <c r="Z203" s="1"/>
    </row>
    <row r="204" spans="1:26" ht="14.1" customHeight="1" x14ac:dyDescent="0.2">
      <c r="A204" s="159" t="s">
        <v>431</v>
      </c>
      <c r="B204" s="398" t="str">
        <f>VLOOKUP(A204,'imp-questions'!A:H,4,FALSE)</f>
        <v>Configuration Hardening</v>
      </c>
      <c r="C204" s="211">
        <f>VLOOKUP(A204,'imp-questions'!A:H,5,FALSE)</f>
        <v>1</v>
      </c>
      <c r="D204" s="202" t="str">
        <f>VLOOKUP(A204,'imp-questions'!A:H,6,FALSE)</f>
        <v>Do you harden configurations for key components across your whole technology stack?</v>
      </c>
      <c r="E204" s="164" t="str">
        <f>CHAR(65+VLOOKUP(A204,'imp-questions'!A:H,8,FALSE))</f>
        <v>A</v>
      </c>
      <c r="F204" s="193"/>
      <c r="G204" s="18">
        <f>IFERROR(VLOOKUP(F204,AnsATBL,2,FALSE),0)</f>
        <v>0</v>
      </c>
      <c r="H204" s="212">
        <f>IFERROR(AVERAGE(G204,G211),0)</f>
        <v>0</v>
      </c>
      <c r="I204" s="331"/>
      <c r="J204" s="333">
        <f>SUM(H204,H206,H208)</f>
        <v>0</v>
      </c>
      <c r="K204" s="1"/>
      <c r="L204" s="131"/>
      <c r="M204" s="131"/>
      <c r="N204" s="131"/>
      <c r="O204" s="131"/>
      <c r="P204" s="131"/>
      <c r="Q204" s="1"/>
      <c r="R204" s="1"/>
      <c r="S204" s="1"/>
      <c r="T204" s="1"/>
      <c r="U204" s="1"/>
      <c r="V204" s="1"/>
      <c r="W204" s="1"/>
      <c r="X204" s="1"/>
      <c r="Y204" s="1"/>
      <c r="Z204" s="1"/>
    </row>
    <row r="205" spans="1:26" ht="38.25" x14ac:dyDescent="0.2">
      <c r="A205"/>
      <c r="B205" s="399"/>
      <c r="C205" s="173"/>
      <c r="D205" s="183" t="str">
        <f>VLOOKUP(A204,'imp-questions'!A:H,7,FALSE)</f>
        <v xml:space="preserve">You have identified the scope for this activity
You work with public sources to gather recommendations for your configurations
</v>
      </c>
      <c r="E205" s="169"/>
      <c r="F205" s="174"/>
      <c r="G205" s="21"/>
      <c r="H205" s="213"/>
      <c r="I205" s="332"/>
      <c r="J205" s="334"/>
      <c r="K205" s="1"/>
      <c r="L205" s="131"/>
      <c r="M205" s="131"/>
      <c r="N205" s="131"/>
      <c r="O205" s="131"/>
      <c r="P205" s="131"/>
      <c r="Q205" s="1"/>
      <c r="R205" s="1"/>
      <c r="S205" s="1"/>
      <c r="T205" s="1"/>
      <c r="U205" s="1"/>
      <c r="V205" s="1"/>
      <c r="W205" s="1"/>
      <c r="X205" s="1"/>
      <c r="Y205" s="1"/>
      <c r="Z205" s="1"/>
    </row>
    <row r="206" spans="1:26" x14ac:dyDescent="0.25">
      <c r="A206" s="159" t="s">
        <v>436</v>
      </c>
      <c r="B206" s="399"/>
      <c r="C206" s="211">
        <f>VLOOKUP(A206,'imp-questions'!A:H,5,FALSE)</f>
        <v>2</v>
      </c>
      <c r="D206" s="202" t="str">
        <f>VLOOKUP(A206,'imp-questions'!A:H,6,FALSE)</f>
        <v>Do you maintain hardening baselines for your components?</v>
      </c>
      <c r="E206" s="164" t="str">
        <f>CHAR(65+VLOOKUP(A206,'imp-questions'!A:H,8,FALSE))</f>
        <v>G</v>
      </c>
      <c r="F206" s="19"/>
      <c r="G206" s="18">
        <f>IFERROR(VLOOKUP(F206,AnsGTBL,2,FALSE),0)</f>
        <v>0</v>
      </c>
      <c r="H206" s="212">
        <f>IFERROR(AVERAGE(G206,G213),0)</f>
        <v>0</v>
      </c>
      <c r="I206" s="325"/>
      <c r="J206" s="215"/>
      <c r="K206" s="205"/>
      <c r="L206" s="131"/>
      <c r="M206" s="131"/>
      <c r="N206" s="131"/>
      <c r="O206" s="131"/>
      <c r="P206" s="131"/>
      <c r="Q206" s="205"/>
      <c r="R206" s="205"/>
      <c r="S206" s="205"/>
      <c r="T206" s="205"/>
      <c r="U206" s="205"/>
      <c r="V206" s="205"/>
      <c r="W206" s="205"/>
      <c r="X206" s="205"/>
      <c r="Y206" s="205"/>
      <c r="Z206" s="205"/>
    </row>
    <row r="207" spans="1:26" ht="63.75" x14ac:dyDescent="0.25">
      <c r="A207"/>
      <c r="B207" s="399"/>
      <c r="C207" s="173"/>
      <c r="D207" s="183" t="str">
        <f>VLOOKUP(A206,'imp-questions'!A:H,7,FALSE)</f>
        <v xml:space="preserve">There is an owner for each baseline
The owner is responsible for keeping baselines up to date
Baselines are stored in an accessible location
Employees responsible for configurations are trained in these baselines
</v>
      </c>
      <c r="E207" s="169"/>
      <c r="F207" s="174"/>
      <c r="G207" s="21"/>
      <c r="H207" s="216"/>
      <c r="I207" s="326"/>
      <c r="J207" s="215"/>
      <c r="K207" s="205"/>
      <c r="L207" s="131"/>
      <c r="M207" s="131"/>
      <c r="N207" s="131"/>
      <c r="O207" s="131"/>
      <c r="P207" s="131"/>
      <c r="Q207" s="205"/>
      <c r="R207" s="205"/>
      <c r="S207" s="205"/>
      <c r="T207" s="205"/>
      <c r="U207" s="205"/>
      <c r="V207" s="205"/>
      <c r="W207" s="205"/>
      <c r="X207" s="205"/>
      <c r="Y207" s="205"/>
      <c r="Z207" s="205"/>
    </row>
    <row r="208" spans="1:26" x14ac:dyDescent="0.25">
      <c r="A208" s="159" t="s">
        <v>439</v>
      </c>
      <c r="B208" s="399"/>
      <c r="C208" s="211">
        <f>VLOOKUP(A208,'imp-questions'!A:H,5,FALSE)</f>
        <v>3</v>
      </c>
      <c r="D208" s="202" t="str">
        <f>VLOOKUP(A208,'imp-questions'!A:H,6,FALSE)</f>
        <v>Do you evaluate and track conformity with the hardening baselines?</v>
      </c>
      <c r="E208" s="164" t="str">
        <f>CHAR(65+VLOOKUP(A208,'imp-questions'!A:H,8,FALSE))</f>
        <v>A</v>
      </c>
      <c r="F208" s="193"/>
      <c r="G208" s="18">
        <f>IFERROR(VLOOKUP(F208,AnsATBL,2,FALSE),0)</f>
        <v>0</v>
      </c>
      <c r="H208" s="212">
        <f>IFERROR(AVERAGE(G208,G215),0)</f>
        <v>0</v>
      </c>
      <c r="I208" s="353"/>
      <c r="J208" s="215"/>
      <c r="K208" s="1"/>
      <c r="L208" s="131"/>
      <c r="M208" s="131"/>
      <c r="N208" s="131"/>
      <c r="O208" s="131"/>
      <c r="P208" s="131"/>
      <c r="Q208" s="1"/>
      <c r="R208" s="1"/>
      <c r="S208" s="1"/>
      <c r="T208" s="1"/>
      <c r="U208" s="1"/>
      <c r="V208" s="1"/>
      <c r="W208" s="1"/>
      <c r="X208" s="1"/>
      <c r="Y208" s="1"/>
      <c r="Z208" s="1"/>
    </row>
    <row r="209" spans="1:26" ht="25.5" x14ac:dyDescent="0.25">
      <c r="A209"/>
      <c r="B209" s="400"/>
      <c r="C209" s="173"/>
      <c r="D209" s="183" t="str">
        <f>VLOOKUP(A208,'imp-questions'!A:H,7,FALSE)</f>
        <v xml:space="preserve">You review and update baselines at least annually
</v>
      </c>
      <c r="E209" s="169"/>
      <c r="F209" s="174"/>
      <c r="G209" s="21"/>
      <c r="H209" s="216"/>
      <c r="I209" s="326"/>
      <c r="J209" s="215"/>
      <c r="K209" s="1"/>
      <c r="L209" s="131"/>
      <c r="M209" s="131"/>
      <c r="N209" s="131"/>
      <c r="O209" s="131"/>
      <c r="P209" s="131"/>
      <c r="Q209" s="1"/>
      <c r="R209" s="1"/>
      <c r="S209" s="1"/>
      <c r="T209" s="1"/>
      <c r="U209" s="1"/>
      <c r="V209" s="1"/>
      <c r="W209" s="1"/>
      <c r="X209" s="1"/>
      <c r="Y209" s="1"/>
      <c r="Z209" s="1"/>
    </row>
    <row r="210" spans="1:26" x14ac:dyDescent="0.25">
      <c r="A210"/>
      <c r="B210" s="368"/>
      <c r="C210" s="341"/>
      <c r="D210" s="341"/>
      <c r="E210" s="341"/>
      <c r="F210" s="341"/>
      <c r="G210" s="341"/>
      <c r="H210" s="341"/>
      <c r="I210" s="369"/>
      <c r="J210" s="11"/>
      <c r="K210" s="1"/>
      <c r="L210" s="131"/>
      <c r="M210" s="131"/>
      <c r="N210" s="131"/>
      <c r="O210" s="131"/>
      <c r="P210" s="131"/>
      <c r="Q210" s="1"/>
      <c r="R210" s="1"/>
      <c r="S210" s="1"/>
      <c r="T210" s="1"/>
      <c r="U210" s="1"/>
      <c r="V210" s="1"/>
      <c r="W210" s="1"/>
      <c r="X210" s="1"/>
      <c r="Y210" s="1"/>
      <c r="Z210" s="1"/>
    </row>
    <row r="211" spans="1:26" x14ac:dyDescent="0.25">
      <c r="A211" s="159" t="s">
        <v>442</v>
      </c>
      <c r="B211" s="398" t="str">
        <f>VLOOKUP(A211,'imp-questions'!A:H,4,FALSE)</f>
        <v>Patching and Updating</v>
      </c>
      <c r="C211" s="211">
        <f>VLOOKUP(A211,'imp-questions'!A:H,5,FALSE)</f>
        <v>1</v>
      </c>
      <c r="D211" s="202" t="str">
        <f>VLOOKUP(A211,'imp-questions'!A:H,6,FALSE)</f>
        <v>Do you identify and patch vulnerable components?</v>
      </c>
      <c r="E211" s="164" t="str">
        <f>CHAR(65+VLOOKUP(A211,'imp-questions'!A:H,8,FALSE))</f>
        <v>G</v>
      </c>
      <c r="F211" s="5"/>
      <c r="G211" s="18">
        <f>IFERROR(VLOOKUP(F211,AnsGTBL,2,FALSE),0)</f>
        <v>0</v>
      </c>
      <c r="H211" s="103"/>
      <c r="I211" s="324"/>
      <c r="J211" s="11"/>
      <c r="K211" s="1"/>
      <c r="L211" s="131"/>
      <c r="M211" s="131"/>
      <c r="N211" s="131"/>
      <c r="O211" s="131"/>
      <c r="P211" s="131"/>
      <c r="Q211" s="1"/>
      <c r="R211" s="1"/>
      <c r="S211" s="1"/>
      <c r="T211" s="1"/>
      <c r="U211" s="1"/>
      <c r="V211" s="1"/>
      <c r="W211" s="1"/>
      <c r="X211" s="1"/>
      <c r="Y211" s="1"/>
      <c r="Z211" s="1"/>
    </row>
    <row r="212" spans="1:26" ht="38.25" x14ac:dyDescent="0.25">
      <c r="A212"/>
      <c r="B212" s="399"/>
      <c r="C212" s="173"/>
      <c r="D212" s="183" t="str">
        <f>VLOOKUP(A211,'imp-questions'!A:H,7,FALSE)</f>
        <v xml:space="preserve">You have an up-to-date list of components with versions
You review public sources regularly for vulnerabilities related to your components
</v>
      </c>
      <c r="E212" s="169"/>
      <c r="F212" s="174"/>
      <c r="G212" s="21"/>
      <c r="H212" s="116"/>
      <c r="I212" s="354"/>
      <c r="J212" s="11"/>
      <c r="K212" s="1"/>
      <c r="L212" s="131"/>
      <c r="M212" s="131"/>
      <c r="N212" s="131"/>
      <c r="O212" s="131"/>
      <c r="P212" s="131"/>
      <c r="Q212" s="1"/>
      <c r="R212" s="1"/>
      <c r="S212" s="1"/>
      <c r="T212" s="1"/>
      <c r="U212" s="1"/>
      <c r="V212" s="1"/>
      <c r="W212" s="1"/>
      <c r="X212" s="1"/>
      <c r="Y212" s="1"/>
      <c r="Z212" s="1"/>
    </row>
    <row r="213" spans="1:26" x14ac:dyDescent="0.25">
      <c r="A213" s="159" t="s">
        <v>446</v>
      </c>
      <c r="B213" s="399"/>
      <c r="C213" s="211">
        <f>VLOOKUP(A213,'imp-questions'!A:H,5,FALSE)</f>
        <v>2</v>
      </c>
      <c r="D213" s="202" t="str">
        <f>VLOOKUP(A213,'imp-questions'!A:H,6,FALSE)</f>
        <v>Do you follow an established process for updating components across your whole technology stack?</v>
      </c>
      <c r="E213" s="164" t="str">
        <f>CHAR(65+VLOOKUP(A213,'imp-questions'!A:H,8,FALSE))</f>
        <v>G</v>
      </c>
      <c r="F213" s="19"/>
      <c r="G213" s="18">
        <f>IFERROR(VLOOKUP(F213,AnsGTBL,2,FALSE),0)</f>
        <v>0</v>
      </c>
      <c r="H213" s="103"/>
      <c r="I213" s="324"/>
      <c r="J213" s="11"/>
      <c r="K213" s="205"/>
      <c r="L213" s="131"/>
      <c r="M213" s="131"/>
      <c r="N213" s="131"/>
      <c r="O213" s="131"/>
      <c r="P213" s="131"/>
      <c r="Q213" s="205"/>
      <c r="R213" s="205"/>
      <c r="S213" s="205"/>
      <c r="T213" s="205"/>
      <c r="U213" s="205"/>
      <c r="V213" s="205"/>
      <c r="W213" s="205"/>
      <c r="X213" s="205"/>
      <c r="Y213" s="205"/>
      <c r="Z213" s="205"/>
    </row>
    <row r="214" spans="1:26" ht="63.75" x14ac:dyDescent="0.25">
      <c r="A214"/>
      <c r="B214" s="399"/>
      <c r="C214" s="173"/>
      <c r="D214" s="183" t="str">
        <f>VLOOKUP(A213,'imp-questions'!A:H,7,FALSE)</f>
        <v xml:space="preserve">The process includes vendor information for 3rd party patches
The process considers external sources to gather information about zero day attacks, and take appropriate risk mitigation steps
The process includes guidance with priorities for updates of components
</v>
      </c>
      <c r="E214" s="169"/>
      <c r="F214" s="174"/>
      <c r="G214" s="170"/>
      <c r="H214" s="175"/>
      <c r="I214" s="354"/>
      <c r="J214" s="11"/>
      <c r="K214" s="205"/>
      <c r="L214" s="131"/>
      <c r="M214" s="131"/>
      <c r="N214" s="131"/>
      <c r="O214" s="131"/>
      <c r="P214" s="131"/>
      <c r="Q214" s="205"/>
      <c r="R214" s="205"/>
      <c r="S214" s="205"/>
      <c r="T214" s="205"/>
      <c r="U214" s="205"/>
      <c r="V214" s="205"/>
      <c r="W214" s="205"/>
      <c r="X214" s="205"/>
      <c r="Y214" s="205"/>
      <c r="Z214" s="205"/>
    </row>
    <row r="215" spans="1:26" x14ac:dyDescent="0.25">
      <c r="A215" s="159" t="s">
        <v>449</v>
      </c>
      <c r="B215" s="399"/>
      <c r="C215" s="211">
        <f>VLOOKUP(A215,'imp-questions'!A:H,5,FALSE)</f>
        <v>3</v>
      </c>
      <c r="D215" s="202" t="str">
        <f>VLOOKUP(A215,'imp-questions'!A:H,6,FALSE)</f>
        <v>Do you regularly evaluate components and review patch level status?</v>
      </c>
      <c r="E215" s="164" t="str">
        <f>CHAR(65+VLOOKUP(A215,'imp-questions'!A:H,8,FALSE))</f>
        <v>G</v>
      </c>
      <c r="F215" s="19"/>
      <c r="G215" s="18">
        <f>IFERROR(VLOOKUP(F215,AnsGTBL,2,FALSE),0)</f>
        <v>0</v>
      </c>
      <c r="H215" s="103"/>
      <c r="I215" s="324"/>
      <c r="J215" s="11"/>
      <c r="K215" s="1"/>
      <c r="L215" s="131"/>
      <c r="M215" s="131"/>
      <c r="N215" s="131"/>
      <c r="O215" s="131"/>
      <c r="P215" s="131"/>
      <c r="Q215" s="1"/>
      <c r="R215" s="1"/>
      <c r="S215" s="1"/>
      <c r="T215" s="1"/>
      <c r="U215" s="1"/>
      <c r="V215" s="1"/>
      <c r="W215" s="1"/>
      <c r="X215" s="1"/>
      <c r="Y215" s="1"/>
      <c r="Z215" s="1"/>
    </row>
    <row r="216" spans="1:26" ht="51" x14ac:dyDescent="0.25">
      <c r="A216"/>
      <c r="B216" s="400"/>
      <c r="C216" s="173"/>
      <c r="D216" s="183" t="str">
        <f>VLOOKUP(A215,'imp-questions'!A:H,7,FALSE)</f>
        <v xml:space="preserve">You update the list with components and versions
You identify and update missing updates according to existing SLA
You review and update the process based on feedback from the people who perform patching
</v>
      </c>
      <c r="E216" s="169"/>
      <c r="F216" s="174"/>
      <c r="G216" s="170"/>
      <c r="H216" s="175"/>
      <c r="I216" s="354"/>
      <c r="J216" s="11"/>
      <c r="K216" s="1"/>
      <c r="L216" s="131"/>
      <c r="M216" s="131"/>
      <c r="N216" s="131"/>
      <c r="O216" s="131"/>
      <c r="P216" s="131"/>
      <c r="Q216" s="1"/>
      <c r="R216" s="1"/>
      <c r="S216" s="1"/>
      <c r="T216" s="1"/>
      <c r="U216" s="1"/>
      <c r="V216" s="1"/>
      <c r="W216" s="1"/>
      <c r="X216" s="1"/>
      <c r="Y216" s="1"/>
      <c r="Z216" s="1"/>
    </row>
    <row r="217" spans="1:26" ht="12.75" x14ac:dyDescent="0.2">
      <c r="A217"/>
      <c r="B217" s="407" t="s">
        <v>453</v>
      </c>
      <c r="C217" s="408"/>
      <c r="D217" s="409"/>
      <c r="E217" s="154"/>
      <c r="F217" s="84" t="s">
        <v>34</v>
      </c>
      <c r="G217" s="84"/>
      <c r="H217" s="123"/>
      <c r="I217" s="83" t="s">
        <v>21</v>
      </c>
      <c r="J217" s="83" t="s">
        <v>32</v>
      </c>
      <c r="K217" s="1"/>
      <c r="L217" s="131"/>
      <c r="M217" s="131"/>
      <c r="N217" s="131"/>
      <c r="O217" s="131"/>
      <c r="P217" s="131"/>
      <c r="Q217" s="1"/>
      <c r="R217" s="1"/>
      <c r="S217" s="1"/>
      <c r="T217" s="1"/>
      <c r="U217" s="1"/>
      <c r="V217" s="1"/>
      <c r="W217" s="1"/>
      <c r="X217" s="1"/>
      <c r="Y217" s="1"/>
      <c r="Z217" s="1"/>
    </row>
    <row r="218" spans="1:26" ht="25.5" x14ac:dyDescent="0.2">
      <c r="A218" s="159" t="s">
        <v>452</v>
      </c>
      <c r="B218" s="398" t="str">
        <f>VLOOKUP(A218,'imp-questions'!A:H,4,FALSE)</f>
        <v>Data Protection</v>
      </c>
      <c r="C218" s="211">
        <f>VLOOKUP(A218,'imp-questions'!A:H,5,FALSE)</f>
        <v>1</v>
      </c>
      <c r="D218" s="202" t="str">
        <f>VLOOKUP(A218,'imp-questions'!A:H,6,FALSE)</f>
        <v>Do you protect and handle information according to protection requirements for data stored and processed on each application?</v>
      </c>
      <c r="E218" s="164" t="str">
        <f>CHAR(65+VLOOKUP(A218,'imp-questions'!A:H,8,FALSE))</f>
        <v>A</v>
      </c>
      <c r="F218" s="193"/>
      <c r="G218" s="18">
        <f>IFERROR(VLOOKUP(F218,AnsATBL,2,FALSE),0)</f>
        <v>0</v>
      </c>
      <c r="H218" s="212">
        <f>IFERROR(AVERAGE(G218,G225),0)</f>
        <v>0</v>
      </c>
      <c r="I218" s="331"/>
      <c r="J218" s="333">
        <f>SUM(H218,H220,H222)</f>
        <v>0</v>
      </c>
      <c r="K218" s="1"/>
      <c r="L218" s="131"/>
      <c r="M218" s="131"/>
      <c r="N218" s="131"/>
      <c r="O218" s="131"/>
      <c r="P218" s="131"/>
      <c r="Q218" s="1"/>
      <c r="R218" s="1"/>
      <c r="S218" s="1"/>
      <c r="T218" s="1"/>
      <c r="U218" s="1"/>
      <c r="V218" s="1"/>
      <c r="W218" s="1"/>
      <c r="X218" s="1"/>
      <c r="Y218" s="1"/>
      <c r="Z218" s="1"/>
    </row>
    <row r="219" spans="1:26" ht="51" x14ac:dyDescent="0.2">
      <c r="A219"/>
      <c r="B219" s="399"/>
      <c r="C219" s="173"/>
      <c r="D219" s="183" t="str">
        <f>VLOOKUP(A218,'imp-questions'!A:H,7,FALSE)</f>
        <v xml:space="preserve">You have identified the data elements processed and stored by each application
You have determined the type and sensitivity level of each identified data element
You have controls to prevent propagation of unsanitized sensitive data from production environments to lower environments
</v>
      </c>
      <c r="E219" s="169"/>
      <c r="F219" s="174"/>
      <c r="G219" s="170"/>
      <c r="H219" s="213"/>
      <c r="I219" s="332"/>
      <c r="J219" s="334"/>
      <c r="K219" s="1"/>
      <c r="L219" s="131"/>
      <c r="M219" s="131"/>
      <c r="N219" s="131"/>
      <c r="O219" s="131"/>
      <c r="P219" s="131"/>
      <c r="Q219" s="1"/>
      <c r="R219" s="1"/>
      <c r="S219" s="1"/>
      <c r="T219" s="1"/>
      <c r="U219" s="1"/>
      <c r="V219" s="1"/>
      <c r="W219" s="1"/>
      <c r="X219" s="1"/>
      <c r="Y219" s="1"/>
      <c r="Z219" s="1"/>
    </row>
    <row r="220" spans="1:26" x14ac:dyDescent="0.25">
      <c r="A220" s="159" t="s">
        <v>457</v>
      </c>
      <c r="B220" s="399"/>
      <c r="C220" s="211">
        <f>VLOOKUP(A220,'imp-questions'!A:H,5,FALSE)</f>
        <v>2</v>
      </c>
      <c r="D220" s="202" t="str">
        <f>VLOOKUP(A220,'imp-questions'!A:H,6,FALSE)</f>
        <v>Do you maintain a data catalog, including types, sensitivity levels, and processing and storage locations?</v>
      </c>
      <c r="E220" s="164" t="str">
        <f>CHAR(65+VLOOKUP(A220,'imp-questions'!A:H,8,FALSE))</f>
        <v>J</v>
      </c>
      <c r="F220" s="19"/>
      <c r="G220" s="18">
        <f>IFERROR(VLOOKUP(F220,AnsJTBL,2,FALSE),0)</f>
        <v>0</v>
      </c>
      <c r="H220" s="212">
        <f>IFERROR(AVERAGE(G220,G227),0)</f>
        <v>0</v>
      </c>
      <c r="I220" s="325"/>
      <c r="J220" s="215"/>
      <c r="K220" s="205"/>
      <c r="L220" s="131"/>
      <c r="M220" s="131"/>
      <c r="N220" s="131"/>
      <c r="O220" s="131"/>
      <c r="P220" s="131"/>
      <c r="Q220" s="205"/>
      <c r="R220" s="205"/>
      <c r="S220" s="205"/>
      <c r="T220" s="205"/>
      <c r="U220" s="205"/>
      <c r="V220" s="205"/>
      <c r="W220" s="205"/>
      <c r="X220" s="205"/>
      <c r="Y220" s="205"/>
      <c r="Z220" s="205"/>
    </row>
    <row r="221" spans="1:26" ht="63.75" x14ac:dyDescent="0.25">
      <c r="A221"/>
      <c r="B221" s="399"/>
      <c r="C221" s="173"/>
      <c r="D221" s="183" t="str">
        <f>VLOOKUP(A220,'imp-questions'!A:H,7,FALSE)</f>
        <v xml:space="preserve">The data catalog is stored in an accessible location
You have identified data elements subject to specific regulation
You have controls for protecting and preserving data throughout their lifetime
You have retention requirements for data, and you destroy backups in a timely manner after the relevant retention period ends
</v>
      </c>
      <c r="E221" s="169"/>
      <c r="F221" s="174"/>
      <c r="G221" s="170"/>
      <c r="H221" s="216"/>
      <c r="I221" s="326"/>
      <c r="J221" s="215"/>
      <c r="K221" s="205"/>
      <c r="L221" s="131"/>
      <c r="M221" s="131"/>
      <c r="N221" s="131"/>
      <c r="O221" s="131"/>
      <c r="P221" s="131"/>
      <c r="Q221" s="205"/>
      <c r="R221" s="205"/>
      <c r="S221" s="205"/>
      <c r="T221" s="205"/>
      <c r="U221" s="205"/>
      <c r="V221" s="205"/>
      <c r="W221" s="205"/>
      <c r="X221" s="205"/>
      <c r="Y221" s="205"/>
      <c r="Z221" s="205"/>
    </row>
    <row r="222" spans="1:26" x14ac:dyDescent="0.25">
      <c r="A222" s="159" t="s">
        <v>460</v>
      </c>
      <c r="B222" s="399"/>
      <c r="C222" s="211">
        <f>VLOOKUP(A222,'imp-questions'!A:H,5,FALSE)</f>
        <v>3</v>
      </c>
      <c r="D222" s="202" t="str">
        <f>VLOOKUP(A222,'imp-questions'!A:H,6,FALSE)</f>
        <v>Do you regularly review and update the data catalog and your data protection policies and procedures?</v>
      </c>
      <c r="E222" s="164" t="str">
        <f>CHAR(65+VLOOKUP(A222,'imp-questions'!A:H,8,FALSE))</f>
        <v>K</v>
      </c>
      <c r="F222" s="19"/>
      <c r="G222" s="18">
        <f>IFERROR(VLOOKUP(F222,AnsKTBL,2,FALSE),0)</f>
        <v>0</v>
      </c>
      <c r="H222" s="212">
        <f>IFERROR(AVERAGE(G222,G229),0)</f>
        <v>0</v>
      </c>
      <c r="I222" s="353"/>
      <c r="J222" s="215"/>
      <c r="K222" s="1"/>
      <c r="L222" s="131"/>
      <c r="M222" s="131"/>
      <c r="N222" s="131"/>
      <c r="O222" s="131"/>
      <c r="P222" s="131"/>
      <c r="Q222" s="1"/>
      <c r="R222" s="1"/>
      <c r="S222" s="1"/>
      <c r="T222" s="1"/>
      <c r="U222" s="1"/>
      <c r="V222" s="1"/>
      <c r="W222" s="1"/>
      <c r="X222" s="1"/>
      <c r="Y222" s="1"/>
      <c r="Z222" s="1"/>
    </row>
    <row r="223" spans="1:26" ht="51" x14ac:dyDescent="0.25">
      <c r="A223"/>
      <c r="B223" s="400"/>
      <c r="C223" s="173"/>
      <c r="D223" s="183" t="str">
        <f>VLOOKUP(A222,'imp-questions'!A:H,7,FALSE)</f>
        <v xml:space="preserve">You have automated monitoring to detect attempted or actual violations of the Data Protection Policy
You have tools for data loss prevention, access control and tracking, or anomalous behavior detection
You periodically audit the operation of automated mechanisms, including backups and record deletions
</v>
      </c>
      <c r="E223" s="169"/>
      <c r="F223" s="174"/>
      <c r="G223" s="170"/>
      <c r="H223" s="216"/>
      <c r="I223" s="326"/>
      <c r="J223" s="215"/>
      <c r="K223" s="1"/>
      <c r="L223" s="131"/>
      <c r="M223" s="131"/>
      <c r="N223" s="131"/>
      <c r="O223" s="131"/>
      <c r="P223" s="131"/>
      <c r="Q223" s="1"/>
      <c r="R223" s="1"/>
      <c r="S223" s="1"/>
      <c r="T223" s="1"/>
      <c r="U223" s="1"/>
      <c r="V223" s="1"/>
      <c r="W223" s="1"/>
      <c r="X223" s="1"/>
      <c r="Y223" s="1"/>
      <c r="Z223" s="1"/>
    </row>
    <row r="224" spans="1:26" x14ac:dyDescent="0.25">
      <c r="A224"/>
      <c r="B224" s="368"/>
      <c r="C224" s="341"/>
      <c r="D224" s="341"/>
      <c r="E224" s="341"/>
      <c r="F224" s="341"/>
      <c r="G224" s="341"/>
      <c r="H224" s="341"/>
      <c r="I224" s="369"/>
      <c r="J224" s="11"/>
      <c r="K224" s="1"/>
      <c r="L224" s="131"/>
      <c r="M224" s="131"/>
      <c r="N224" s="131"/>
      <c r="O224" s="131"/>
      <c r="P224" s="131"/>
      <c r="Q224" s="1"/>
      <c r="R224" s="1"/>
      <c r="S224" s="1"/>
      <c r="T224" s="1"/>
      <c r="U224" s="1"/>
      <c r="V224" s="1"/>
      <c r="W224" s="1"/>
      <c r="X224" s="1"/>
      <c r="Y224" s="1"/>
      <c r="Z224" s="1"/>
    </row>
    <row r="225" spans="1:26" ht="25.5" x14ac:dyDescent="0.25">
      <c r="A225" s="159" t="s">
        <v>463</v>
      </c>
      <c r="B225" s="398" t="str">
        <f>VLOOKUP(A225,'imp-questions'!A:H,4,FALSE)</f>
        <v>System decommissioning / Legacy management</v>
      </c>
      <c r="C225" s="211">
        <f>VLOOKUP(A225,'imp-questions'!A:H,5,FALSE)</f>
        <v>1</v>
      </c>
      <c r="D225" s="202" t="str">
        <f>VLOOKUP(A225,'imp-questions'!A:H,6,FALSE)</f>
        <v>Do you identify and remove systems, applications, application dependencies, or services that are no longer used, have reached end of life, or are no longer actively developed or supported?</v>
      </c>
      <c r="E225" s="164" t="str">
        <f>CHAR(65+VLOOKUP(A225,'imp-questions'!A:H,8,FALSE))</f>
        <v>A</v>
      </c>
      <c r="F225" s="193"/>
      <c r="G225" s="18">
        <f>IFERROR(VLOOKUP(F225,AnsATBL,2,FALSE),0)</f>
        <v>0</v>
      </c>
      <c r="H225" s="103"/>
      <c r="I225" s="324"/>
      <c r="J225" s="11"/>
      <c r="K225" s="1"/>
      <c r="L225" s="131"/>
      <c r="M225" s="131"/>
      <c r="N225" s="131"/>
      <c r="O225" s="131"/>
      <c r="P225" s="131"/>
      <c r="Q225" s="1"/>
      <c r="R225" s="1"/>
      <c r="S225" s="1"/>
      <c r="T225" s="1"/>
      <c r="U225" s="1"/>
      <c r="V225" s="1"/>
      <c r="W225" s="1"/>
      <c r="X225" s="1"/>
      <c r="Y225" s="1"/>
      <c r="Z225" s="1"/>
    </row>
    <row r="226" spans="1:26" ht="38.25" x14ac:dyDescent="0.25">
      <c r="A226"/>
      <c r="B226" s="399"/>
      <c r="C226" s="173"/>
      <c r="D226" s="183" t="str">
        <f>VLOOKUP(A225,'imp-questions'!A:H,7,FALSE)</f>
        <v xml:space="preserve">You do not use unsupported applications or dependencies
You manage customer/user migration from older versions for each product and customer/user group
</v>
      </c>
      <c r="E226" s="169"/>
      <c r="F226" s="174"/>
      <c r="G226" s="170"/>
      <c r="H226" s="175"/>
      <c r="I226" s="354"/>
      <c r="J226" s="11"/>
      <c r="K226" s="1"/>
      <c r="L226" s="131"/>
      <c r="M226" s="131"/>
      <c r="N226" s="131"/>
      <c r="O226" s="131"/>
      <c r="P226" s="131"/>
      <c r="Q226" s="1"/>
      <c r="R226" s="1"/>
      <c r="S226" s="1"/>
      <c r="T226" s="1"/>
      <c r="U226" s="1"/>
      <c r="V226" s="1"/>
      <c r="W226" s="1"/>
      <c r="X226" s="1"/>
      <c r="Y226" s="1"/>
      <c r="Z226" s="1"/>
    </row>
    <row r="227" spans="1:26" ht="25.5" x14ac:dyDescent="0.25">
      <c r="A227" s="159" t="s">
        <v>467</v>
      </c>
      <c r="B227" s="399"/>
      <c r="C227" s="211">
        <f>VLOOKUP(A227,'imp-questions'!A:H,5,FALSE)</f>
        <v>2</v>
      </c>
      <c r="D227" s="202" t="str">
        <f>VLOOKUP(A227,'imp-questions'!A:H,6,FALSE)</f>
        <v>Do you follow an established process for removing all associated resources, as part of decommissioning of unused systems, applications, application dependencies, or services?</v>
      </c>
      <c r="E227" s="164" t="str">
        <f>CHAR(65+VLOOKUP(A227,'imp-questions'!A:H,8,FALSE))</f>
        <v>E</v>
      </c>
      <c r="F227" s="19"/>
      <c r="G227" s="18">
        <f>IFERROR(VLOOKUP(F227,AnsETBL,2,FALSE),0)</f>
        <v>0</v>
      </c>
      <c r="H227" s="103"/>
      <c r="I227" s="324"/>
      <c r="J227" s="11"/>
      <c r="K227" s="205"/>
      <c r="L227" s="131"/>
      <c r="M227" s="131"/>
      <c r="N227" s="131"/>
      <c r="O227" s="131"/>
      <c r="P227" s="131"/>
      <c r="Q227" s="205"/>
      <c r="R227" s="205"/>
      <c r="S227" s="205"/>
      <c r="T227" s="205"/>
      <c r="U227" s="205"/>
      <c r="V227" s="205"/>
      <c r="W227" s="205"/>
      <c r="X227" s="205"/>
      <c r="Y227" s="205"/>
      <c r="Z227" s="205"/>
    </row>
    <row r="228" spans="1:26" ht="63.75" x14ac:dyDescent="0.25">
      <c r="A228"/>
      <c r="B228" s="399"/>
      <c r="C228" s="173"/>
      <c r="D228" s="183" t="str">
        <f>VLOOKUP(A227,'imp-questions'!A:H,7,FALSE)</f>
        <v xml:space="preserve">You document the status of support for all released versions of your products, in an accessible location
The process includes replacement or upgrade of third-party applications, or application dependencies, that have reached end of life.
Operating environments do not contain orphaned accounts, firewall rules, or other configuration artifacts
</v>
      </c>
      <c r="E228" s="169"/>
      <c r="F228" s="174"/>
      <c r="G228" s="170"/>
      <c r="H228" s="175"/>
      <c r="I228" s="354"/>
      <c r="J228" s="11"/>
      <c r="K228" s="205"/>
      <c r="L228" s="131"/>
      <c r="M228" s="131"/>
      <c r="N228" s="131"/>
      <c r="O228" s="131"/>
      <c r="P228" s="131"/>
      <c r="Q228" s="205"/>
      <c r="R228" s="205"/>
      <c r="S228" s="205"/>
      <c r="T228" s="205"/>
      <c r="U228" s="205"/>
      <c r="V228" s="205"/>
      <c r="W228" s="205"/>
      <c r="X228" s="205"/>
      <c r="Y228" s="205"/>
      <c r="Z228" s="205"/>
    </row>
    <row r="229" spans="1:26" ht="25.5" x14ac:dyDescent="0.25">
      <c r="A229" s="159" t="s">
        <v>470</v>
      </c>
      <c r="B229" s="399"/>
      <c r="C229" s="211">
        <f>VLOOKUP(A229,'imp-questions'!A:H,5,FALSE)</f>
        <v>3</v>
      </c>
      <c r="D229" s="202" t="str">
        <f>VLOOKUP(A229,'imp-questions'!A:H,6,FALSE)</f>
        <v>Do you regularly evaluate the lifecycle state and support status of every software asset and underlying infrastructure component, and estimate their end-of-life?</v>
      </c>
      <c r="E229" s="164" t="str">
        <f>CHAR(65+VLOOKUP(A229,'imp-questions'!A:H,8,FALSE))</f>
        <v>L</v>
      </c>
      <c r="F229" s="19"/>
      <c r="G229" s="18">
        <f>IFERROR(VLOOKUP(F229,AnsLTBL,2,FALSE),0)</f>
        <v>0</v>
      </c>
      <c r="H229" s="103"/>
      <c r="I229" s="324"/>
      <c r="J229" s="11"/>
      <c r="K229" s="1"/>
      <c r="L229" s="131"/>
      <c r="M229" s="131"/>
      <c r="N229" s="131"/>
      <c r="O229" s="131"/>
      <c r="P229" s="131"/>
      <c r="Q229" s="1"/>
      <c r="R229" s="1"/>
      <c r="S229" s="1"/>
      <c r="T229" s="1"/>
      <c r="U229" s="1"/>
      <c r="V229" s="1"/>
      <c r="W229" s="1"/>
      <c r="X229" s="1"/>
      <c r="Y229" s="1"/>
      <c r="Z229" s="1"/>
    </row>
    <row r="230" spans="1:26" ht="51" x14ac:dyDescent="0.25">
      <c r="A230"/>
      <c r="B230" s="400"/>
      <c r="C230" s="173"/>
      <c r="D230" s="183" t="str">
        <f>VLOOKUP(A229,'imp-questions'!A:H,7,FALSE)</f>
        <v xml:space="preserve">Your end-of-life management process is agreed upon.
You inform customers and user groups of product timelines to prevent disruption of service or support.
You review the process at least annually
</v>
      </c>
      <c r="E230" s="169"/>
      <c r="F230" s="174"/>
      <c r="G230" s="170"/>
      <c r="H230" s="175"/>
      <c r="I230" s="354"/>
      <c r="J230" s="11"/>
      <c r="K230" s="1"/>
      <c r="L230" s="131"/>
      <c r="M230" s="131"/>
      <c r="N230" s="131"/>
      <c r="O230" s="131"/>
      <c r="P230" s="131"/>
      <c r="Q230" s="1"/>
      <c r="R230" s="1"/>
      <c r="S230" s="1"/>
      <c r="T230" s="1"/>
      <c r="U230" s="1"/>
      <c r="V230" s="1"/>
      <c r="W230" s="1"/>
      <c r="X230" s="1"/>
      <c r="Y230" s="1"/>
      <c r="Z230" s="1"/>
    </row>
  </sheetData>
  <customSheetViews>
    <customSheetView guid="{9846C184-355C-EA4B-8C35-9561D1AEE31C}" scale="90" hiddenRows="1" topLeftCell="A2">
      <selection activeCell="E2" sqref="E1:E1048576"/>
      <pageMargins left="0.75" right="0.75" top="1" bottom="1" header="0.5" footer="0.5"/>
      <pageSetup paperSize="9" scale="10" firstPageNumber="0" fitToWidth="0" fitToHeight="0" orientation="portrait" horizontalDpi="300" verticalDpi="300" r:id="rId1"/>
      <headerFooter alignWithMargins="0"/>
    </customSheetView>
  </customSheetViews>
  <mergeCells count="181">
    <mergeCell ref="J218:J219"/>
    <mergeCell ref="I222:I223"/>
    <mergeCell ref="J46:J47"/>
    <mergeCell ref="J61:J62"/>
    <mergeCell ref="J89:J90"/>
    <mergeCell ref="B18:B23"/>
    <mergeCell ref="B160:D160"/>
    <mergeCell ref="B146:D146"/>
    <mergeCell ref="B88:D88"/>
    <mergeCell ref="B74:D74"/>
    <mergeCell ref="B60:D60"/>
    <mergeCell ref="B45:D45"/>
    <mergeCell ref="B61:B66"/>
    <mergeCell ref="I77:I78"/>
    <mergeCell ref="I43:I44"/>
    <mergeCell ref="B52:I52"/>
    <mergeCell ref="B102:J102"/>
    <mergeCell ref="B103:D103"/>
    <mergeCell ref="B104:B109"/>
    <mergeCell ref="I104:I105"/>
    <mergeCell ref="I108:I109"/>
    <mergeCell ref="B110:I110"/>
    <mergeCell ref="B111:B116"/>
    <mergeCell ref="I111:I112"/>
    <mergeCell ref="B225:B230"/>
    <mergeCell ref="B218:B223"/>
    <mergeCell ref="B196:I196"/>
    <mergeCell ref="B210:I210"/>
    <mergeCell ref="B224:I224"/>
    <mergeCell ref="B217:D217"/>
    <mergeCell ref="I229:I230"/>
    <mergeCell ref="I215:I216"/>
    <mergeCell ref="I218:I219"/>
    <mergeCell ref="I220:I221"/>
    <mergeCell ref="I225:I226"/>
    <mergeCell ref="I201:I202"/>
    <mergeCell ref="B197:B202"/>
    <mergeCell ref="I211:I212"/>
    <mergeCell ref="I204:I205"/>
    <mergeCell ref="I208:I209"/>
    <mergeCell ref="I213:I214"/>
    <mergeCell ref="I227:I228"/>
    <mergeCell ref="B204:B209"/>
    <mergeCell ref="B211:B216"/>
    <mergeCell ref="B182:B187"/>
    <mergeCell ref="B190:B195"/>
    <mergeCell ref="I206:I207"/>
    <mergeCell ref="I197:I198"/>
    <mergeCell ref="I115:I116"/>
    <mergeCell ref="I120:I121"/>
    <mergeCell ref="B117:D117"/>
    <mergeCell ref="I122:I123"/>
    <mergeCell ref="B124:I124"/>
    <mergeCell ref="B125:B130"/>
    <mergeCell ref="I125:I126"/>
    <mergeCell ref="I129:I130"/>
    <mergeCell ref="I132:I133"/>
    <mergeCell ref="I134:I135"/>
    <mergeCell ref="B131:D131"/>
    <mergeCell ref="B132:B137"/>
    <mergeCell ref="B189:D189"/>
    <mergeCell ref="B203:D203"/>
    <mergeCell ref="I179:I180"/>
    <mergeCell ref="I158:I159"/>
    <mergeCell ref="I161:I162"/>
    <mergeCell ref="I163:I164"/>
    <mergeCell ref="I165:I166"/>
    <mergeCell ref="I168:I169"/>
    <mergeCell ref="B188:J188"/>
    <mergeCell ref="I182:I183"/>
    <mergeCell ref="I186:I187"/>
    <mergeCell ref="I190:I191"/>
    <mergeCell ref="I194:I195"/>
    <mergeCell ref="J204:J205"/>
    <mergeCell ref="J175:J176"/>
    <mergeCell ref="B67:I67"/>
    <mergeCell ref="B81:I81"/>
    <mergeCell ref="I79:I80"/>
    <mergeCell ref="I82:I83"/>
    <mergeCell ref="I86:I87"/>
    <mergeCell ref="I68:I69"/>
    <mergeCell ref="I72:I73"/>
    <mergeCell ref="I75:I76"/>
    <mergeCell ref="I96:I97"/>
    <mergeCell ref="J132:J133"/>
    <mergeCell ref="I136:I137"/>
    <mergeCell ref="B138:I138"/>
    <mergeCell ref="B139:B144"/>
    <mergeCell ref="I139:I140"/>
    <mergeCell ref="I143:I144"/>
    <mergeCell ref="B181:I181"/>
    <mergeCell ref="B154:B159"/>
    <mergeCell ref="B161:B166"/>
    <mergeCell ref="B168:B173"/>
    <mergeCell ref="I192:I193"/>
    <mergeCell ref="I199:I200"/>
    <mergeCell ref="B174:D174"/>
    <mergeCell ref="B1:I1"/>
    <mergeCell ref="B3:I3"/>
    <mergeCell ref="B4:I4"/>
    <mergeCell ref="B5:I5"/>
    <mergeCell ref="B24:I24"/>
    <mergeCell ref="B25:B30"/>
    <mergeCell ref="B11:C11"/>
    <mergeCell ref="B12:C12"/>
    <mergeCell ref="B13:C13"/>
    <mergeCell ref="B14:C14"/>
    <mergeCell ref="I18:I19"/>
    <mergeCell ref="I22:I23"/>
    <mergeCell ref="I25:I26"/>
    <mergeCell ref="I29:I30"/>
    <mergeCell ref="B6:I6"/>
    <mergeCell ref="B7:I7"/>
    <mergeCell ref="B8:I8"/>
    <mergeCell ref="B10:C10"/>
    <mergeCell ref="B16:J16"/>
    <mergeCell ref="J161:J162"/>
    <mergeCell ref="I63:I64"/>
    <mergeCell ref="B175:B180"/>
    <mergeCell ref="I154:I155"/>
    <mergeCell ref="I151:I152"/>
    <mergeCell ref="B89:B94"/>
    <mergeCell ref="B68:B73"/>
    <mergeCell ref="I93:I94"/>
    <mergeCell ref="J18:J19"/>
    <mergeCell ref="I100:I101"/>
    <mergeCell ref="I175:I176"/>
    <mergeCell ref="B75:B80"/>
    <mergeCell ref="I91:I92"/>
    <mergeCell ref="B95:I95"/>
    <mergeCell ref="B96:B101"/>
    <mergeCell ref="I89:I90"/>
    <mergeCell ref="B82:B87"/>
    <mergeCell ref="B118:B123"/>
    <mergeCell ref="I118:I119"/>
    <mergeCell ref="I172:I173"/>
    <mergeCell ref="I20:I21"/>
    <mergeCell ref="I27:I28"/>
    <mergeCell ref="I34:I35"/>
    <mergeCell ref="I41:I42"/>
    <mergeCell ref="B31:D31"/>
    <mergeCell ref="I61:I62"/>
    <mergeCell ref="I65:I66"/>
    <mergeCell ref="I32:I33"/>
    <mergeCell ref="I36:I37"/>
    <mergeCell ref="I39:I40"/>
    <mergeCell ref="B38:I38"/>
    <mergeCell ref="B32:B37"/>
    <mergeCell ref="B39:B44"/>
    <mergeCell ref="B53:B58"/>
    <mergeCell ref="B46:B51"/>
    <mergeCell ref="I46:I47"/>
    <mergeCell ref="I50:I51"/>
    <mergeCell ref="B59:J59"/>
    <mergeCell ref="J32:J33"/>
    <mergeCell ref="I53:I54"/>
    <mergeCell ref="I57:I58"/>
    <mergeCell ref="I70:I71"/>
    <mergeCell ref="I84:I85"/>
    <mergeCell ref="I98:I99"/>
    <mergeCell ref="I106:I107"/>
    <mergeCell ref="I48:I49"/>
    <mergeCell ref="I55:I56"/>
    <mergeCell ref="B153:I153"/>
    <mergeCell ref="I147:I148"/>
    <mergeCell ref="J190:J191"/>
    <mergeCell ref="I170:I171"/>
    <mergeCell ref="I177:I178"/>
    <mergeCell ref="I184:I185"/>
    <mergeCell ref="I113:I114"/>
    <mergeCell ref="I127:I128"/>
    <mergeCell ref="I141:I142"/>
    <mergeCell ref="I149:I150"/>
    <mergeCell ref="I156:I157"/>
    <mergeCell ref="B147:B152"/>
    <mergeCell ref="B167:I167"/>
    <mergeCell ref="B145:J145"/>
    <mergeCell ref="J75:J76"/>
    <mergeCell ref="J104:J105"/>
    <mergeCell ref="J118:J119"/>
    <mergeCell ref="J147:J148"/>
  </mergeCells>
  <phoneticPr fontId="0" type="noConversion"/>
  <conditionalFormatting sqref="F15">
    <cfRule type="expression" dxfId="721" priority="2">
      <formula>$H$25=1</formula>
    </cfRule>
  </conditionalFormatting>
  <dataValidations count="21">
    <dataValidation type="list" allowBlank="1" showInputMessage="1" showErrorMessage="1" sqref="M22:P22 M20:P20">
      <formula1>AnswerB</formula1>
    </dataValidation>
    <dataValidation type="list" allowBlank="1" showInputMessage="1" showErrorMessage="1" sqref="M18:P18">
      <formula1>AnswerA</formula1>
    </dataValidation>
    <dataValidation type="list" allowBlank="1" showInputMessage="1" showErrorMessage="1" sqref="F41 F225 F79 F91 F96 F104 F106 F111 F113 F118 F120 F125 F127 F132 F134 F139 F141 F208 F149 F194 F192 F204 F151 F39 F218 F100 F108 F115 F122 F129 F136 F190 F32 F43 F63 F93 F143 F147">
      <formula1>AnsA</formula1>
    </dataValidation>
    <dataValidation type="list" allowBlank="1" showInputMessage="1" showErrorMessage="1" sqref="F34">
      <formula1>AnsS</formula1>
    </dataValidation>
    <dataValidation type="list" allowBlank="1" showInputMessage="1" showErrorMessage="1" sqref="F18">
      <formula1>AnsN</formula1>
    </dataValidation>
    <dataValidation type="list" allowBlank="1" showInputMessage="1" showErrorMessage="1" sqref="F22 F36">
      <formula1>AnsP</formula1>
    </dataValidation>
    <dataValidation type="list" allowBlank="1" showInputMessage="1" showErrorMessage="1" sqref="F20">
      <formula1>AnsO</formula1>
    </dataValidation>
    <dataValidation type="list" allowBlank="1" showInputMessage="1" showErrorMessage="1" sqref="F27 F46 F82 F61 F70 F161 F84 F77 F154 F156 F158 F163 F165 F184 F179 F177 F168 F182 F175 F68 F86">
      <formula1>AnsB</formula1>
    </dataValidation>
    <dataValidation type="list" allowBlank="1" showInputMessage="1" showErrorMessage="1" sqref="F201 F72 F75 F170 F227 F29 F89 F53 F172 F186">
      <formula1>AnsE</formula1>
    </dataValidation>
    <dataValidation type="list" allowBlank="1" showInputMessage="1" showErrorMessage="1" sqref="F48">
      <formula1>AnsC</formula1>
    </dataValidation>
    <dataValidation type="list" allowBlank="1" showInputMessage="1" showErrorMessage="1" sqref="F55 F57">
      <formula1>AnsF</formula1>
    </dataValidation>
    <dataValidation type="list" allowBlank="1" showInputMessage="1" showErrorMessage="1" sqref="F98">
      <formula1>AnsM</formula1>
    </dataValidation>
    <dataValidation type="list" allowBlank="1" showInputMessage="1" showErrorMessage="1" sqref="F197">
      <formula1>AnsH</formula1>
    </dataValidation>
    <dataValidation type="list" allowBlank="1" showInputMessage="1" showErrorMessage="1" sqref="F199">
      <formula1>AnsI</formula1>
    </dataValidation>
    <dataValidation type="list" allowBlank="1" showInputMessage="1" showErrorMessage="1" sqref="F211 F206 F213 F215">
      <formula1>AnsG</formula1>
    </dataValidation>
    <dataValidation type="list" allowBlank="1" showInputMessage="1" showErrorMessage="1" sqref="F220">
      <formula1>AnsJ</formula1>
    </dataValidation>
    <dataValidation type="list" allowBlank="1" showInputMessage="1" showErrorMessage="1" sqref="F25">
      <formula1>AnsQ</formula1>
    </dataValidation>
    <dataValidation type="list" allowBlank="1" showInputMessage="1" showErrorMessage="1" sqref="F50">
      <formula1>AnsD</formula1>
    </dataValidation>
    <dataValidation type="list" allowBlank="1" showInputMessage="1" showErrorMessage="1" sqref="F65">
      <formula1>AnsR</formula1>
    </dataValidation>
    <dataValidation type="list" allowBlank="1" showInputMessage="1" showErrorMessage="1" sqref="F222">
      <formula1>AnsK</formula1>
    </dataValidation>
    <dataValidation type="list" allowBlank="1" showInputMessage="1" showErrorMessage="1" sqref="F229">
      <formula1>AnsL</formula1>
    </dataValidation>
  </dataValidations>
  <pageMargins left="0.75" right="0.75" top="1" bottom="1" header="0.5" footer="0.5"/>
  <pageSetup paperSize="9" scale="10" firstPageNumber="0" fitToWidth="0" fitToHeight="0" orientation="portrait" horizontalDpi="300" verticalDpi="300" r:id="rId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Z144"/>
  <sheetViews>
    <sheetView zoomScaleNormal="100" workbookViewId="0">
      <selection activeCell="C7" sqref="C7:F7"/>
    </sheetView>
  </sheetViews>
  <sheetFormatPr defaultColWidth="8.85546875" defaultRowHeight="12.75" x14ac:dyDescent="0.2"/>
  <cols>
    <col min="1" max="1" width="14.28515625" customWidth="1"/>
    <col min="2" max="2" width="23.85546875" customWidth="1"/>
    <col min="3" max="3" width="9.140625" customWidth="1"/>
    <col min="4" max="6" width="6.7109375" customWidth="1"/>
    <col min="7" max="7" width="15" hidden="1" customWidth="1"/>
    <col min="8" max="8" width="9.140625" customWidth="1"/>
    <col min="9" max="10" width="15" bestFit="1" customWidth="1"/>
    <col min="11" max="11" width="7.28515625" customWidth="1"/>
    <col min="12" max="14" width="15" bestFit="1" customWidth="1"/>
    <col min="20" max="20" width="13.7109375" bestFit="1" customWidth="1"/>
    <col min="21" max="21" width="20.28515625" bestFit="1" customWidth="1"/>
    <col min="22" max="22" width="10.140625" bestFit="1" customWidth="1"/>
    <col min="23" max="23" width="10.42578125" bestFit="1" customWidth="1"/>
    <col min="24" max="24" width="10.42578125" customWidth="1"/>
    <col min="25" max="25" width="9.28515625" bestFit="1" customWidth="1"/>
  </cols>
  <sheetData>
    <row r="1" spans="1:26" ht="25.5" customHeight="1" x14ac:dyDescent="0.2">
      <c r="A1" s="434" t="str">
        <f>CONCATENATE("SAMM Assessment Scorecard: ",C6," For ",C5)</f>
        <v xml:space="preserve">SAMM Assessment Scorecard:  For </v>
      </c>
      <c r="B1" s="434"/>
      <c r="C1" s="434"/>
      <c r="D1" s="435"/>
      <c r="E1" s="435"/>
      <c r="F1" s="435"/>
      <c r="G1" s="436"/>
      <c r="H1" s="436"/>
      <c r="I1" s="436"/>
      <c r="J1" s="436"/>
      <c r="K1" s="1"/>
      <c r="L1" s="1"/>
      <c r="M1" s="1"/>
      <c r="N1" s="1"/>
    </row>
    <row r="2" spans="1:26" ht="12.75" customHeight="1" thickBot="1" x14ac:dyDescent="0.25">
      <c r="A2" s="2"/>
      <c r="B2" s="2"/>
      <c r="C2" s="2"/>
      <c r="D2" s="2"/>
      <c r="E2" s="2"/>
      <c r="F2" s="2"/>
      <c r="G2" s="2"/>
      <c r="H2" s="2"/>
      <c r="I2" s="2"/>
      <c r="J2" s="2"/>
      <c r="K2" s="1"/>
      <c r="L2" s="1"/>
      <c r="M2" s="1"/>
      <c r="N2" s="1"/>
    </row>
    <row r="3" spans="1:26" ht="54" customHeight="1" thickBot="1" x14ac:dyDescent="0.25">
      <c r="A3" s="440" t="s">
        <v>100</v>
      </c>
      <c r="B3" s="441"/>
      <c r="C3" s="441"/>
      <c r="D3" s="441"/>
      <c r="E3" s="441"/>
      <c r="F3" s="441"/>
      <c r="G3" s="441"/>
      <c r="H3" s="441"/>
      <c r="I3" s="441"/>
      <c r="J3" s="441"/>
      <c r="K3" s="442"/>
      <c r="L3" s="1"/>
      <c r="M3" s="1"/>
      <c r="N3" s="1"/>
    </row>
    <row r="4" spans="1:26" ht="12.75" customHeight="1" x14ac:dyDescent="0.2">
      <c r="A4" s="4"/>
      <c r="B4" s="4"/>
      <c r="C4" s="4"/>
      <c r="D4" s="4"/>
      <c r="E4" s="4"/>
      <c r="F4" s="4"/>
      <c r="G4" s="4"/>
      <c r="H4" s="4"/>
      <c r="I4" s="4"/>
      <c r="J4" s="4"/>
      <c r="K4" s="1"/>
      <c r="L4" s="1"/>
      <c r="M4" s="1"/>
      <c r="N4" s="1"/>
    </row>
    <row r="5" spans="1:26" ht="12.75" customHeight="1" x14ac:dyDescent="0.2">
      <c r="A5" s="437" t="str">
        <f>Interview!B10</f>
        <v>Organization:</v>
      </c>
      <c r="B5" s="438"/>
      <c r="C5" s="438" t="str">
        <f>IF(ISBLANK(Interview!D10),"",Interview!D10)</f>
        <v/>
      </c>
      <c r="D5" s="438"/>
      <c r="E5" s="438"/>
      <c r="F5" s="438"/>
      <c r="G5" s="1"/>
      <c r="H5" s="1"/>
      <c r="I5" s="1"/>
      <c r="J5" s="1"/>
      <c r="K5" s="1"/>
      <c r="L5" s="1"/>
      <c r="M5" s="1"/>
      <c r="N5" s="1"/>
    </row>
    <row r="6" spans="1:26" ht="12.75" customHeight="1" x14ac:dyDescent="0.2">
      <c r="A6" s="437" t="str">
        <f>Interview!B11</f>
        <v>Team/Application:</v>
      </c>
      <c r="B6" s="438"/>
      <c r="C6" s="438" t="str">
        <f>IF(ISBLANK(Interview!D11),"",Interview!D11)</f>
        <v/>
      </c>
      <c r="D6" s="438"/>
      <c r="E6" s="438"/>
      <c r="F6" s="438"/>
      <c r="G6" s="1"/>
      <c r="H6" s="1"/>
      <c r="I6" s="1"/>
      <c r="J6" s="1"/>
      <c r="K6" s="1"/>
      <c r="L6" s="1"/>
      <c r="M6" s="1"/>
      <c r="N6" s="1"/>
    </row>
    <row r="7" spans="1:26" ht="12.75" customHeight="1" x14ac:dyDescent="0.2">
      <c r="A7" s="437" t="str">
        <f>Interview!B12</f>
        <v>Interview Date:</v>
      </c>
      <c r="B7" s="438"/>
      <c r="C7" s="439" t="str">
        <f>IF(ISBLANK(Interview!D12),"",Interview!D12)</f>
        <v/>
      </c>
      <c r="D7" s="439"/>
      <c r="E7" s="439"/>
      <c r="F7" s="439"/>
      <c r="G7" s="1"/>
      <c r="H7" s="1"/>
      <c r="I7" s="1"/>
      <c r="J7" s="1"/>
      <c r="K7" s="1"/>
      <c r="L7" s="1"/>
      <c r="M7" s="1"/>
      <c r="N7" s="1"/>
    </row>
    <row r="8" spans="1:26" ht="12.75" customHeight="1" x14ac:dyDescent="0.2">
      <c r="A8" s="437" t="str">
        <f>Interview!B13</f>
        <v xml:space="preserve">Team Lead: </v>
      </c>
      <c r="B8" s="438"/>
      <c r="C8" s="438" t="str">
        <f>IF(ISBLANK(Interview!D13),"",Interview!D13)</f>
        <v/>
      </c>
      <c r="D8" s="438"/>
      <c r="E8" s="438"/>
      <c r="F8" s="438"/>
      <c r="G8" s="1"/>
      <c r="H8" s="1"/>
      <c r="I8" s="1"/>
      <c r="J8" s="1"/>
      <c r="K8" s="1"/>
      <c r="L8" s="1"/>
      <c r="M8" s="1"/>
      <c r="N8" s="1"/>
    </row>
    <row r="9" spans="1:26" ht="12.75" customHeight="1" x14ac:dyDescent="0.2">
      <c r="A9" s="437" t="str">
        <f>Interview!B14</f>
        <v>Contributors:</v>
      </c>
      <c r="B9" s="438"/>
      <c r="C9" s="443" t="str">
        <f>IF(ISBLANK(Interview!D14),"",Interview!D14)</f>
        <v/>
      </c>
      <c r="D9" s="443"/>
      <c r="E9" s="443"/>
      <c r="F9" s="443"/>
      <c r="G9" s="443"/>
      <c r="H9" s="443"/>
      <c r="I9" s="443"/>
      <c r="J9" s="1"/>
      <c r="K9" s="1"/>
      <c r="L9" s="1"/>
      <c r="M9" s="1"/>
      <c r="N9" s="1"/>
    </row>
    <row r="10" spans="1:26" ht="12.75" customHeight="1" thickBot="1" x14ac:dyDescent="0.25">
      <c r="A10" s="130"/>
      <c r="B10" s="129"/>
      <c r="C10" s="129"/>
      <c r="D10" s="129"/>
      <c r="E10" s="129"/>
      <c r="F10" s="129"/>
      <c r="G10" s="129"/>
      <c r="H10" s="129"/>
      <c r="I10" s="129"/>
      <c r="J10" s="129"/>
      <c r="K10" s="129"/>
      <c r="L10" s="129"/>
      <c r="M10" s="129"/>
      <c r="N10" s="129"/>
    </row>
    <row r="11" spans="1:26" ht="24.95" customHeight="1" thickBot="1" x14ac:dyDescent="0.25">
      <c r="A11" s="428" t="s">
        <v>98</v>
      </c>
      <c r="B11" s="429"/>
      <c r="C11" s="429"/>
      <c r="D11" s="429"/>
      <c r="E11" s="429"/>
      <c r="F11" s="429"/>
      <c r="G11" s="429"/>
      <c r="H11" s="429"/>
      <c r="I11" s="429"/>
      <c r="J11" s="430"/>
      <c r="K11" s="127"/>
      <c r="L11" s="428" t="s">
        <v>98</v>
      </c>
      <c r="M11" s="429"/>
      <c r="N11" s="429"/>
      <c r="O11" s="429"/>
      <c r="P11" s="429"/>
      <c r="Q11" s="429"/>
      <c r="R11" s="430"/>
      <c r="T11" s="431" t="s">
        <v>98</v>
      </c>
      <c r="U11" s="432"/>
      <c r="V11" s="432"/>
      <c r="W11" s="432"/>
      <c r="X11" s="432"/>
      <c r="Y11" s="432"/>
      <c r="Z11" s="433"/>
    </row>
    <row r="12" spans="1:26" ht="12.75" customHeight="1" x14ac:dyDescent="0.2">
      <c r="A12" s="2"/>
      <c r="B12" s="2"/>
      <c r="C12" s="2"/>
      <c r="D12" s="425" t="s">
        <v>91</v>
      </c>
      <c r="E12" s="426"/>
      <c r="F12" s="427"/>
      <c r="G12" s="1"/>
      <c r="H12" s="1"/>
      <c r="I12" s="1"/>
      <c r="J12" s="1"/>
      <c r="K12" s="1"/>
      <c r="L12" s="1"/>
      <c r="M12" s="1"/>
      <c r="N12" s="1"/>
    </row>
    <row r="13" spans="1:26" ht="15" customHeight="1" x14ac:dyDescent="0.2">
      <c r="A13" s="7" t="s">
        <v>1</v>
      </c>
      <c r="B13" s="7" t="s">
        <v>2</v>
      </c>
      <c r="C13" s="7" t="s">
        <v>60</v>
      </c>
      <c r="D13" s="128">
        <v>1</v>
      </c>
      <c r="E13" s="128">
        <v>2</v>
      </c>
      <c r="F13" s="128">
        <v>3</v>
      </c>
      <c r="G13" s="8" t="s">
        <v>6</v>
      </c>
      <c r="H13" s="1"/>
      <c r="I13" s="7" t="s">
        <v>1</v>
      </c>
      <c r="J13" s="7" t="s">
        <v>60</v>
      </c>
      <c r="L13" s="1"/>
      <c r="M13" s="1"/>
      <c r="N13" s="1"/>
      <c r="V13" t="str">
        <f>T14</f>
        <v>Governance</v>
      </c>
      <c r="W13" t="str">
        <f>T17</f>
        <v>Design</v>
      </c>
      <c r="X13" t="str">
        <f>T20</f>
        <v>Implementation</v>
      </c>
      <c r="Y13" t="str">
        <f>T23</f>
        <v>Verification</v>
      </c>
      <c r="Z13" t="str">
        <f>T26</f>
        <v>Operations</v>
      </c>
    </row>
    <row r="14" spans="1:26" ht="24.95" customHeight="1" x14ac:dyDescent="0.2">
      <c r="A14" s="66" t="str">
        <f>Interview!$B$16</f>
        <v>Governance</v>
      </c>
      <c r="B14" s="70" t="str">
        <f>Interview!$D$17</f>
        <v>Strategy &amp; Metrics</v>
      </c>
      <c r="C14" s="101">
        <f>Interview!$J$18</f>
        <v>0</v>
      </c>
      <c r="D14" s="101">
        <f>Interview!H18</f>
        <v>0</v>
      </c>
      <c r="E14" s="101">
        <f>Interview!H20</f>
        <v>0</v>
      </c>
      <c r="F14" s="101">
        <f>Interview!H22</f>
        <v>0</v>
      </c>
      <c r="G14" s="6">
        <f t="shared" ref="G14:G28" si="0">(((((IF((C14="0+"),0.5,0)+IF((C14=1),1,0))+IF((C14="1+"),1.5,0))+IF((C14=2),2,0))+IF((C14="2+"),2.5,0))+IF((C14=3),3,0))+IF((C14="3+"),3.5,0)</f>
        <v>0</v>
      </c>
      <c r="H14" s="3"/>
      <c r="I14" s="66" t="str">
        <f>A14</f>
        <v>Governance</v>
      </c>
      <c r="J14" s="101">
        <f>AVERAGE(C14:C16)</f>
        <v>0</v>
      </c>
      <c r="L14" s="1"/>
      <c r="M14" s="1"/>
      <c r="N14" s="1"/>
      <c r="T14" s="66" t="str">
        <f t="shared" ref="T14:V16" si="1">A14</f>
        <v>Governance</v>
      </c>
      <c r="U14" s="70" t="str">
        <f t="shared" si="1"/>
        <v>Strategy &amp; Metrics</v>
      </c>
      <c r="V14" s="101">
        <f t="shared" si="1"/>
        <v>0</v>
      </c>
      <c r="W14" s="101">
        <v>0</v>
      </c>
      <c r="X14" s="101">
        <v>0</v>
      </c>
      <c r="Y14" s="101">
        <v>0</v>
      </c>
      <c r="Z14" s="101">
        <v>0</v>
      </c>
    </row>
    <row r="15" spans="1:26" ht="24.95" customHeight="1" x14ac:dyDescent="0.2">
      <c r="A15" s="66" t="str">
        <f>Interview!$B$16</f>
        <v>Governance</v>
      </c>
      <c r="B15" s="70" t="str">
        <f>Interview!$B$31</f>
        <v>Policy &amp; Compliance</v>
      </c>
      <c r="C15" s="101">
        <f>Interview!$J$32</f>
        <v>0</v>
      </c>
      <c r="D15" s="101">
        <f>Interview!H32</f>
        <v>0</v>
      </c>
      <c r="E15" s="101">
        <f>Interview!H34</f>
        <v>0</v>
      </c>
      <c r="F15" s="101">
        <f>Interview!H36</f>
        <v>0</v>
      </c>
      <c r="G15" s="6">
        <f t="shared" si="0"/>
        <v>0</v>
      </c>
      <c r="H15" s="3"/>
      <c r="I15" s="71" t="str">
        <f>A17</f>
        <v>Design</v>
      </c>
      <c r="J15" s="101">
        <f>AVERAGE(C17:C19)</f>
        <v>0</v>
      </c>
      <c r="L15" s="1"/>
      <c r="M15" s="1"/>
      <c r="N15" s="1"/>
      <c r="T15" s="66" t="str">
        <f t="shared" si="1"/>
        <v>Governance</v>
      </c>
      <c r="U15" s="70" t="str">
        <f t="shared" si="1"/>
        <v>Policy &amp; Compliance</v>
      </c>
      <c r="V15" s="101">
        <f t="shared" si="1"/>
        <v>0</v>
      </c>
      <c r="W15" s="101">
        <v>0</v>
      </c>
      <c r="X15" s="101">
        <v>0</v>
      </c>
      <c r="Y15" s="101">
        <v>0</v>
      </c>
      <c r="Z15" s="101">
        <v>0</v>
      </c>
    </row>
    <row r="16" spans="1:26" ht="24.95" customHeight="1" x14ac:dyDescent="0.2">
      <c r="A16" s="66" t="str">
        <f>Interview!$B$16</f>
        <v>Governance</v>
      </c>
      <c r="B16" s="70" t="str">
        <f>Interview!$B$45</f>
        <v>Education &amp; Guidance</v>
      </c>
      <c r="C16" s="101">
        <f>Interview!$J$46</f>
        <v>0</v>
      </c>
      <c r="D16" s="101">
        <f>Interview!H46</f>
        <v>0</v>
      </c>
      <c r="E16" s="101">
        <f>Interview!H48</f>
        <v>0</v>
      </c>
      <c r="F16" s="101">
        <f>Interview!H50</f>
        <v>0</v>
      </c>
      <c r="G16" s="6">
        <f t="shared" si="0"/>
        <v>0</v>
      </c>
      <c r="H16" s="3"/>
      <c r="I16" s="238" t="str">
        <f>A20</f>
        <v>Implementation</v>
      </c>
      <c r="J16" s="101">
        <f>AVERAGE(C20:C22)</f>
        <v>0</v>
      </c>
      <c r="L16" s="1"/>
      <c r="M16" s="1"/>
      <c r="N16" s="1"/>
      <c r="T16" s="66" t="str">
        <f t="shared" si="1"/>
        <v>Governance</v>
      </c>
      <c r="U16" s="70" t="str">
        <f t="shared" si="1"/>
        <v>Education &amp; Guidance</v>
      </c>
      <c r="V16" s="101">
        <f t="shared" si="1"/>
        <v>0</v>
      </c>
      <c r="W16" s="101">
        <v>0</v>
      </c>
      <c r="X16" s="101">
        <v>0</v>
      </c>
      <c r="Y16" s="101">
        <v>0</v>
      </c>
      <c r="Z16" s="101">
        <v>0</v>
      </c>
    </row>
    <row r="17" spans="1:26" ht="24.95" customHeight="1" x14ac:dyDescent="0.2">
      <c r="A17" s="71" t="str">
        <f>Interview!$B$59</f>
        <v>Design</v>
      </c>
      <c r="B17" s="75" t="str">
        <f>Interview!$B$60</f>
        <v>Threat Assessment</v>
      </c>
      <c r="C17" s="101">
        <f>Interview!$J$61</f>
        <v>0</v>
      </c>
      <c r="D17" s="101">
        <f>Interview!H61</f>
        <v>0</v>
      </c>
      <c r="E17" s="101">
        <f>Interview!H63</f>
        <v>0</v>
      </c>
      <c r="F17" s="101">
        <f>Interview!H65</f>
        <v>0</v>
      </c>
      <c r="G17" s="6">
        <f t="shared" si="0"/>
        <v>0</v>
      </c>
      <c r="H17" s="3"/>
      <c r="I17" s="76" t="str">
        <f>A23</f>
        <v>Verification</v>
      </c>
      <c r="J17" s="101">
        <f>AVERAGE(C23:C25)</f>
        <v>0</v>
      </c>
      <c r="L17" s="1"/>
      <c r="M17" s="1"/>
      <c r="N17" s="1"/>
      <c r="T17" s="71" t="str">
        <f t="shared" ref="T17:T28" si="2">A17</f>
        <v>Design</v>
      </c>
      <c r="U17" s="75" t="str">
        <f t="shared" ref="U17:U28" si="3">B17</f>
        <v>Threat Assessment</v>
      </c>
      <c r="V17" s="101">
        <v>0</v>
      </c>
      <c r="W17" s="101">
        <f>C17</f>
        <v>0</v>
      </c>
      <c r="X17" s="101">
        <v>0</v>
      </c>
      <c r="Y17" s="101">
        <v>0</v>
      </c>
      <c r="Z17" s="101">
        <v>0</v>
      </c>
    </row>
    <row r="18" spans="1:26" ht="24.95" customHeight="1" x14ac:dyDescent="0.2">
      <c r="A18" s="71" t="str">
        <f>Interview!$B$59</f>
        <v>Design</v>
      </c>
      <c r="B18" s="75" t="str">
        <f>Interview!$B$74</f>
        <v>Security Requirements</v>
      </c>
      <c r="C18" s="101">
        <f>Interview!$J$75</f>
        <v>0</v>
      </c>
      <c r="D18" s="101">
        <f>Interview!H75</f>
        <v>0</v>
      </c>
      <c r="E18" s="101">
        <f>Interview!H77</f>
        <v>0</v>
      </c>
      <c r="F18" s="101">
        <f>Interview!H79</f>
        <v>0</v>
      </c>
      <c r="G18" s="6">
        <f t="shared" si="0"/>
        <v>0</v>
      </c>
      <c r="H18" s="3"/>
      <c r="I18" s="81" t="str">
        <f>A26</f>
        <v>Operations</v>
      </c>
      <c r="J18" s="101">
        <f>AVERAGE(C26:C28)</f>
        <v>0</v>
      </c>
      <c r="K18" s="1"/>
      <c r="L18" s="1"/>
      <c r="M18" s="1"/>
      <c r="N18" s="1"/>
      <c r="T18" s="71" t="str">
        <f t="shared" si="2"/>
        <v>Design</v>
      </c>
      <c r="U18" s="75" t="str">
        <f t="shared" si="3"/>
        <v>Security Requirements</v>
      </c>
      <c r="V18" s="101">
        <v>0</v>
      </c>
      <c r="W18" s="101">
        <f>C18</f>
        <v>0</v>
      </c>
      <c r="X18" s="101">
        <v>0</v>
      </c>
      <c r="Y18" s="101">
        <v>0</v>
      </c>
      <c r="Z18" s="101">
        <v>0</v>
      </c>
    </row>
    <row r="19" spans="1:26" ht="24.95" customHeight="1" x14ac:dyDescent="0.2">
      <c r="A19" s="71" t="str">
        <f>Interview!$B$59</f>
        <v>Design</v>
      </c>
      <c r="B19" s="75" t="str">
        <f>Interview!$B$88</f>
        <v>Secure Architecture</v>
      </c>
      <c r="C19" s="101">
        <f>Interview!$J$89</f>
        <v>0</v>
      </c>
      <c r="D19" s="101">
        <f>Interview!H89</f>
        <v>0</v>
      </c>
      <c r="E19" s="101">
        <f>Interview!H91</f>
        <v>0</v>
      </c>
      <c r="F19" s="101">
        <f>Interview!H93</f>
        <v>0</v>
      </c>
      <c r="G19" s="6">
        <f t="shared" si="0"/>
        <v>0</v>
      </c>
      <c r="H19" s="3"/>
      <c r="I19" s="1"/>
      <c r="J19" s="1"/>
      <c r="K19" s="1"/>
      <c r="L19" s="1"/>
      <c r="M19" s="1"/>
      <c r="N19" s="1"/>
      <c r="T19" s="71" t="str">
        <f t="shared" si="2"/>
        <v>Design</v>
      </c>
      <c r="U19" s="75" t="str">
        <f t="shared" si="3"/>
        <v>Secure Architecture</v>
      </c>
      <c r="V19" s="101">
        <v>0</v>
      </c>
      <c r="W19" s="101">
        <f>C19</f>
        <v>0</v>
      </c>
      <c r="X19" s="101">
        <v>0</v>
      </c>
      <c r="Y19" s="101">
        <v>0</v>
      </c>
      <c r="Z19" s="101">
        <v>0</v>
      </c>
    </row>
    <row r="20" spans="1:26" ht="24.95" customHeight="1" x14ac:dyDescent="0.2">
      <c r="A20" s="238" t="str">
        <f>Interview!$B$102</f>
        <v>Implementation</v>
      </c>
      <c r="B20" s="237" t="str">
        <f>Interview!$B$103</f>
        <v>Secure Build</v>
      </c>
      <c r="C20" s="101">
        <f>Interview!$J$104</f>
        <v>0</v>
      </c>
      <c r="D20" s="101">
        <f>Interview!H104</f>
        <v>0</v>
      </c>
      <c r="E20" s="101">
        <f>Interview!H106</f>
        <v>0</v>
      </c>
      <c r="F20" s="101">
        <f>Interview!H108</f>
        <v>0</v>
      </c>
      <c r="G20" s="6"/>
      <c r="H20" s="3"/>
      <c r="I20" s="217"/>
      <c r="J20" s="217"/>
      <c r="K20" s="217"/>
      <c r="L20" s="217"/>
      <c r="M20" s="217"/>
      <c r="N20" s="217"/>
      <c r="T20" s="238" t="str">
        <f t="shared" si="2"/>
        <v>Implementation</v>
      </c>
      <c r="U20" s="239" t="str">
        <f t="shared" si="3"/>
        <v>Secure Build</v>
      </c>
      <c r="V20" s="101">
        <v>0</v>
      </c>
      <c r="W20" s="101">
        <v>0</v>
      </c>
      <c r="X20" s="101">
        <f>C20</f>
        <v>0</v>
      </c>
      <c r="Y20" s="101">
        <v>0</v>
      </c>
      <c r="Z20" s="101">
        <v>0</v>
      </c>
    </row>
    <row r="21" spans="1:26" ht="24.95" customHeight="1" x14ac:dyDescent="0.2">
      <c r="A21" s="238" t="str">
        <f>Interview!$B$102</f>
        <v>Implementation</v>
      </c>
      <c r="B21" s="237" t="str">
        <f>Interview!$B$117</f>
        <v>Secure Deployment</v>
      </c>
      <c r="C21" s="101">
        <f>Interview!$J$118</f>
        <v>0</v>
      </c>
      <c r="D21" s="101">
        <f>Interview!H118</f>
        <v>0</v>
      </c>
      <c r="E21" s="101">
        <f>Interview!H120</f>
        <v>0</v>
      </c>
      <c r="F21" s="101">
        <f>Interview!H122</f>
        <v>0</v>
      </c>
      <c r="G21" s="6"/>
      <c r="H21" s="3"/>
      <c r="I21" s="217"/>
      <c r="J21" s="217"/>
      <c r="K21" s="217"/>
      <c r="L21" s="217"/>
      <c r="M21" s="217"/>
      <c r="N21" s="217"/>
      <c r="T21" s="238" t="str">
        <f t="shared" si="2"/>
        <v>Implementation</v>
      </c>
      <c r="U21" s="239" t="str">
        <f t="shared" si="3"/>
        <v>Secure Deployment</v>
      </c>
      <c r="V21" s="101">
        <v>0</v>
      </c>
      <c r="W21" s="101">
        <v>0</v>
      </c>
      <c r="X21" s="101">
        <f>C21</f>
        <v>0</v>
      </c>
      <c r="Y21" s="101">
        <v>0</v>
      </c>
      <c r="Z21" s="101">
        <v>0</v>
      </c>
    </row>
    <row r="22" spans="1:26" ht="24.95" customHeight="1" x14ac:dyDescent="0.2">
      <c r="A22" s="238" t="str">
        <f>Interview!$B$102</f>
        <v>Implementation</v>
      </c>
      <c r="B22" s="237" t="str">
        <f>Interview!$B$131</f>
        <v>Defect Management</v>
      </c>
      <c r="C22" s="101">
        <f>Interview!$J$132</f>
        <v>0</v>
      </c>
      <c r="D22" s="101">
        <f>Interview!H132</f>
        <v>0</v>
      </c>
      <c r="E22" s="101">
        <f>Interview!H134</f>
        <v>0</v>
      </c>
      <c r="F22" s="101">
        <f>Interview!H136</f>
        <v>0</v>
      </c>
      <c r="G22" s="6"/>
      <c r="H22" s="3"/>
      <c r="I22" s="217"/>
      <c r="J22" s="217"/>
      <c r="K22" s="217"/>
      <c r="L22" s="217"/>
      <c r="M22" s="217"/>
      <c r="N22" s="217"/>
      <c r="T22" s="238" t="str">
        <f t="shared" si="2"/>
        <v>Implementation</v>
      </c>
      <c r="U22" s="239" t="str">
        <f t="shared" si="3"/>
        <v>Defect Management</v>
      </c>
      <c r="V22" s="101">
        <v>0</v>
      </c>
      <c r="W22" s="101">
        <v>0</v>
      </c>
      <c r="X22" s="101">
        <f>C22</f>
        <v>0</v>
      </c>
      <c r="Y22" s="101">
        <v>0</v>
      </c>
      <c r="Z22" s="101">
        <v>0</v>
      </c>
    </row>
    <row r="23" spans="1:26" ht="24.95" customHeight="1" x14ac:dyDescent="0.2">
      <c r="A23" s="76" t="str">
        <f>Interview!$B$145</f>
        <v>Verification</v>
      </c>
      <c r="B23" s="80" t="str">
        <f>Interview!$B$146</f>
        <v>Architecture Assessment</v>
      </c>
      <c r="C23" s="101">
        <f>Interview!$J$147</f>
        <v>0</v>
      </c>
      <c r="D23" s="101">
        <f>Interview!H147</f>
        <v>0</v>
      </c>
      <c r="E23" s="101">
        <f>Interview!H149</f>
        <v>0</v>
      </c>
      <c r="F23" s="101">
        <f>Interview!H151</f>
        <v>0</v>
      </c>
      <c r="G23" s="6">
        <f t="shared" si="0"/>
        <v>0</v>
      </c>
      <c r="H23" s="3"/>
      <c r="I23" s="1"/>
      <c r="J23" s="1"/>
      <c r="K23" s="1"/>
      <c r="L23" s="1"/>
      <c r="M23" s="1"/>
      <c r="N23" s="1"/>
      <c r="T23" s="76" t="str">
        <f t="shared" si="2"/>
        <v>Verification</v>
      </c>
      <c r="U23" s="80" t="str">
        <f t="shared" si="3"/>
        <v>Architecture Assessment</v>
      </c>
      <c r="V23" s="101">
        <v>0</v>
      </c>
      <c r="W23" s="101">
        <v>0</v>
      </c>
      <c r="X23" s="101">
        <v>0</v>
      </c>
      <c r="Y23" s="101">
        <f>C23</f>
        <v>0</v>
      </c>
      <c r="Z23" s="101">
        <v>0</v>
      </c>
    </row>
    <row r="24" spans="1:26" ht="24.95" customHeight="1" x14ac:dyDescent="0.2">
      <c r="A24" s="76" t="str">
        <f>Interview!$B$145</f>
        <v>Verification</v>
      </c>
      <c r="B24" s="80" t="str">
        <f>Interview!$B$160</f>
        <v>Requirements Driven Testing</v>
      </c>
      <c r="C24" s="101">
        <f>Interview!$J$161</f>
        <v>0</v>
      </c>
      <c r="D24" s="101">
        <f>Interview!H161</f>
        <v>0</v>
      </c>
      <c r="E24" s="101">
        <f>Interview!H163</f>
        <v>0</v>
      </c>
      <c r="F24" s="101">
        <f>Interview!H165</f>
        <v>0</v>
      </c>
      <c r="G24" s="6">
        <f t="shared" si="0"/>
        <v>0</v>
      </c>
      <c r="H24" s="3"/>
      <c r="I24" s="1"/>
      <c r="J24" s="1"/>
      <c r="K24" s="1"/>
      <c r="L24" s="1"/>
      <c r="M24" s="1"/>
      <c r="N24" s="1"/>
      <c r="T24" s="76" t="str">
        <f t="shared" si="2"/>
        <v>Verification</v>
      </c>
      <c r="U24" s="80" t="str">
        <f t="shared" si="3"/>
        <v>Requirements Driven Testing</v>
      </c>
      <c r="V24" s="101">
        <v>0</v>
      </c>
      <c r="W24" s="101">
        <v>0</v>
      </c>
      <c r="X24" s="101">
        <v>0</v>
      </c>
      <c r="Y24" s="101">
        <f>C24</f>
        <v>0</v>
      </c>
      <c r="Z24" s="101">
        <v>0</v>
      </c>
    </row>
    <row r="25" spans="1:26" ht="24.95" customHeight="1" x14ac:dyDescent="0.2">
      <c r="A25" s="76" t="str">
        <f>Interview!$B$145</f>
        <v>Verification</v>
      </c>
      <c r="B25" s="80" t="str">
        <f>Interview!$B$174</f>
        <v>Security Testing</v>
      </c>
      <c r="C25" s="101">
        <f>Interview!$J$175</f>
        <v>0</v>
      </c>
      <c r="D25" s="101">
        <f>Interview!H175</f>
        <v>0</v>
      </c>
      <c r="E25" s="101">
        <f>Interview!H177</f>
        <v>0</v>
      </c>
      <c r="F25" s="101">
        <f>Interview!H179</f>
        <v>0</v>
      </c>
      <c r="G25" s="6">
        <f t="shared" si="0"/>
        <v>0</v>
      </c>
      <c r="H25" s="3"/>
      <c r="I25" s="1"/>
      <c r="J25" s="1"/>
      <c r="K25" s="1"/>
      <c r="L25" s="1"/>
      <c r="M25" s="1"/>
      <c r="N25" s="1"/>
      <c r="T25" s="76" t="str">
        <f t="shared" si="2"/>
        <v>Verification</v>
      </c>
      <c r="U25" s="80" t="str">
        <f t="shared" si="3"/>
        <v>Security Testing</v>
      </c>
      <c r="V25" s="101">
        <v>0</v>
      </c>
      <c r="W25" s="101">
        <v>0</v>
      </c>
      <c r="X25" s="101">
        <v>0</v>
      </c>
      <c r="Y25" s="101">
        <f>C25</f>
        <v>0</v>
      </c>
      <c r="Z25" s="101">
        <v>0</v>
      </c>
    </row>
    <row r="26" spans="1:26" ht="24.95" customHeight="1" x14ac:dyDescent="0.2">
      <c r="A26" s="81" t="str">
        <f>Interview!$B$188</f>
        <v>Operations</v>
      </c>
      <c r="B26" s="85" t="str">
        <f>Interview!$B$189</f>
        <v>Incident Management</v>
      </c>
      <c r="C26" s="101">
        <f>Interview!$J$190</f>
        <v>0</v>
      </c>
      <c r="D26" s="101">
        <f>Interview!H190</f>
        <v>0</v>
      </c>
      <c r="E26" s="101">
        <f>Interview!H192</f>
        <v>0</v>
      </c>
      <c r="F26" s="101">
        <f>Interview!H194</f>
        <v>0</v>
      </c>
      <c r="G26" s="6">
        <f t="shared" si="0"/>
        <v>0</v>
      </c>
      <c r="H26" s="3"/>
      <c r="I26" s="1"/>
      <c r="J26" s="1"/>
      <c r="K26" s="1"/>
      <c r="L26" s="1"/>
      <c r="M26" s="1"/>
      <c r="N26" s="1"/>
      <c r="T26" s="81" t="str">
        <f t="shared" si="2"/>
        <v>Operations</v>
      </c>
      <c r="U26" s="85" t="str">
        <f t="shared" si="3"/>
        <v>Incident Management</v>
      </c>
      <c r="V26" s="101">
        <v>0</v>
      </c>
      <c r="W26" s="101">
        <v>0</v>
      </c>
      <c r="X26" s="101">
        <v>0</v>
      </c>
      <c r="Y26" s="101">
        <v>0</v>
      </c>
      <c r="Z26" s="101">
        <f>C26</f>
        <v>0</v>
      </c>
    </row>
    <row r="27" spans="1:26" ht="24.95" customHeight="1" x14ac:dyDescent="0.2">
      <c r="A27" s="81" t="str">
        <f>Interview!$B$188</f>
        <v>Operations</v>
      </c>
      <c r="B27" s="85" t="str">
        <f>Interview!$B$203</f>
        <v>Environment Management</v>
      </c>
      <c r="C27" s="101">
        <f>Interview!$J$204</f>
        <v>0</v>
      </c>
      <c r="D27" s="101">
        <f>Interview!H204</f>
        <v>0</v>
      </c>
      <c r="E27" s="101">
        <f>Interview!H206</f>
        <v>0</v>
      </c>
      <c r="F27" s="101">
        <f>Interview!H208</f>
        <v>0</v>
      </c>
      <c r="G27" s="6">
        <f t="shared" si="0"/>
        <v>0</v>
      </c>
      <c r="H27" s="3"/>
      <c r="I27" s="1"/>
      <c r="J27" s="1"/>
      <c r="K27" s="1"/>
      <c r="L27" s="1"/>
      <c r="M27" s="1"/>
      <c r="N27" s="1"/>
      <c r="T27" s="81" t="str">
        <f t="shared" si="2"/>
        <v>Operations</v>
      </c>
      <c r="U27" s="85" t="str">
        <f t="shared" si="3"/>
        <v>Environment Management</v>
      </c>
      <c r="V27" s="101">
        <v>0</v>
      </c>
      <c r="W27" s="101">
        <v>0</v>
      </c>
      <c r="X27" s="101">
        <v>0</v>
      </c>
      <c r="Y27" s="101">
        <v>0</v>
      </c>
      <c r="Z27" s="101">
        <f>C27</f>
        <v>0</v>
      </c>
    </row>
    <row r="28" spans="1:26" ht="24.95" customHeight="1" x14ac:dyDescent="0.2">
      <c r="A28" s="81" t="str">
        <f>Interview!$B$188</f>
        <v>Operations</v>
      </c>
      <c r="B28" s="85" t="str">
        <f>Interview!$B$217</f>
        <v>Operational Management</v>
      </c>
      <c r="C28" s="101">
        <f>Interview!$J$218</f>
        <v>0</v>
      </c>
      <c r="D28" s="101">
        <f>Interview!H218</f>
        <v>0</v>
      </c>
      <c r="E28" s="101">
        <f>Interview!H220</f>
        <v>0</v>
      </c>
      <c r="F28" s="101">
        <f>Interview!H222</f>
        <v>0</v>
      </c>
      <c r="G28" s="6">
        <f t="shared" si="0"/>
        <v>0</v>
      </c>
      <c r="H28" s="3"/>
      <c r="I28" s="1"/>
      <c r="J28" s="1"/>
      <c r="K28" s="1"/>
      <c r="L28" s="1"/>
      <c r="M28" s="1"/>
      <c r="N28" s="1"/>
      <c r="T28" s="81" t="str">
        <f t="shared" si="2"/>
        <v>Operations</v>
      </c>
      <c r="U28" s="85" t="str">
        <f t="shared" si="3"/>
        <v>Operational Management</v>
      </c>
      <c r="V28" s="101">
        <v>0</v>
      </c>
      <c r="W28" s="101">
        <v>0</v>
      </c>
      <c r="X28" s="101">
        <v>0</v>
      </c>
      <c r="Y28" s="101">
        <v>0</v>
      </c>
      <c r="Z28" s="101">
        <f>C28</f>
        <v>0</v>
      </c>
    </row>
    <row r="29" spans="1:26" ht="12.75" customHeight="1" x14ac:dyDescent="0.2">
      <c r="A29" s="4"/>
      <c r="B29" s="4"/>
      <c r="C29" s="4"/>
      <c r="D29" s="4"/>
      <c r="E29" s="4"/>
      <c r="F29" s="4"/>
      <c r="G29" s="1"/>
      <c r="H29" s="1"/>
      <c r="I29" s="1"/>
      <c r="J29" s="1"/>
      <c r="K29" s="1"/>
      <c r="L29" s="1"/>
      <c r="M29" s="1"/>
      <c r="N29" s="1"/>
    </row>
    <row r="30" spans="1:26" ht="12.75" customHeight="1" thickBot="1" x14ac:dyDescent="0.25">
      <c r="K30" s="147"/>
    </row>
    <row r="31" spans="1:26" ht="24.95" customHeight="1" thickBot="1" x14ac:dyDescent="0.25">
      <c r="A31" s="428" t="s">
        <v>125</v>
      </c>
      <c r="B31" s="429"/>
      <c r="C31" s="429"/>
      <c r="D31" s="429"/>
      <c r="E31" s="429"/>
      <c r="F31" s="429"/>
      <c r="G31" s="429"/>
      <c r="H31" s="429"/>
      <c r="I31" s="429"/>
      <c r="J31" s="430"/>
      <c r="K31" s="147"/>
      <c r="L31" s="428" t="s">
        <v>125</v>
      </c>
      <c r="M31" s="429"/>
      <c r="N31" s="429"/>
      <c r="O31" s="429"/>
      <c r="P31" s="429"/>
      <c r="Q31" s="429"/>
      <c r="R31" s="430"/>
      <c r="T31" s="431" t="s">
        <v>125</v>
      </c>
      <c r="U31" s="432"/>
      <c r="V31" s="432"/>
      <c r="W31" s="432"/>
      <c r="X31" s="432"/>
      <c r="Y31" s="432"/>
      <c r="Z31" s="433"/>
    </row>
    <row r="32" spans="1:26" ht="12" customHeight="1" x14ac:dyDescent="0.2">
      <c r="A32" s="2"/>
      <c r="B32" s="2"/>
      <c r="C32" s="2"/>
      <c r="D32" s="425" t="s">
        <v>91</v>
      </c>
      <c r="E32" s="426"/>
      <c r="F32" s="427"/>
      <c r="G32" s="147"/>
      <c r="H32" s="147"/>
      <c r="I32" s="147"/>
      <c r="J32" s="147"/>
      <c r="K32" s="147"/>
      <c r="L32" s="147"/>
      <c r="M32" s="147"/>
      <c r="N32" s="147"/>
    </row>
    <row r="33" spans="1:26" ht="24.95" customHeight="1" x14ac:dyDescent="0.2">
      <c r="A33" s="7" t="s">
        <v>1</v>
      </c>
      <c r="B33" s="7" t="s">
        <v>2</v>
      </c>
      <c r="C33" s="7" t="s">
        <v>60</v>
      </c>
      <c r="D33" s="128">
        <v>1</v>
      </c>
      <c r="E33" s="128">
        <v>2</v>
      </c>
      <c r="F33" s="128">
        <v>3</v>
      </c>
      <c r="G33" s="8" t="s">
        <v>6</v>
      </c>
      <c r="H33" s="147"/>
      <c r="I33" s="7" t="s">
        <v>1</v>
      </c>
      <c r="J33" s="7" t="s">
        <v>60</v>
      </c>
      <c r="K33" s="147"/>
      <c r="L33" s="147"/>
      <c r="M33" s="147"/>
      <c r="N33" s="147"/>
      <c r="V33" t="str">
        <f>T34</f>
        <v>Governance</v>
      </c>
      <c r="W33" t="str">
        <f>T37</f>
        <v>Design</v>
      </c>
      <c r="X33" t="str">
        <f>T40</f>
        <v>Implementation</v>
      </c>
      <c r="Y33" t="str">
        <f>T43</f>
        <v>Verification</v>
      </c>
      <c r="Z33" t="str">
        <f>T46</f>
        <v>Operations</v>
      </c>
    </row>
    <row r="34" spans="1:26" ht="24.95" customHeight="1" x14ac:dyDescent="0.2">
      <c r="A34" s="66" t="str">
        <f>Interview!$B$16</f>
        <v>Governance</v>
      </c>
      <c r="B34" s="70" t="str">
        <f>Interview!$D$17</f>
        <v>Strategy &amp; Metrics</v>
      </c>
      <c r="C34" s="101">
        <f>Roadmap!M18</f>
        <v>0</v>
      </c>
      <c r="D34" s="101">
        <f>Roadmap!L18</f>
        <v>0</v>
      </c>
      <c r="E34" s="101">
        <f>Roadmap!L19</f>
        <v>0</v>
      </c>
      <c r="F34" s="101">
        <f>Roadmap!L20</f>
        <v>0</v>
      </c>
      <c r="G34" s="6">
        <f t="shared" ref="G34:G48" si="4">(((((IF((C34="0+"),0.5,0)+IF((C34=1),1,0))+IF((C34="1+"),1.5,0))+IF((C34=2),2,0))+IF((C34="2+"),2.5,0))+IF((C34=3),3,0))+IF((C34="3+"),3.5,0)</f>
        <v>0</v>
      </c>
      <c r="H34" s="3"/>
      <c r="I34" s="66" t="str">
        <f>A34</f>
        <v>Governance</v>
      </c>
      <c r="J34" s="101">
        <f>AVERAGE(C34:C36)</f>
        <v>0</v>
      </c>
      <c r="K34" s="147"/>
      <c r="L34" s="147"/>
      <c r="M34" s="147"/>
      <c r="N34" s="147"/>
      <c r="T34" s="66" t="str">
        <f>Interview!$B$16</f>
        <v>Governance</v>
      </c>
      <c r="U34" s="70" t="str">
        <f>Interview!$D$17</f>
        <v>Strategy &amp; Metrics</v>
      </c>
      <c r="V34" s="101">
        <f>C34</f>
        <v>0</v>
      </c>
      <c r="W34" s="101">
        <v>0</v>
      </c>
      <c r="X34" s="101">
        <v>0</v>
      </c>
      <c r="Y34" s="101">
        <v>0</v>
      </c>
      <c r="Z34" s="101">
        <v>0</v>
      </c>
    </row>
    <row r="35" spans="1:26" ht="24.95" customHeight="1" x14ac:dyDescent="0.2">
      <c r="A35" s="66" t="str">
        <f>Interview!$B$16</f>
        <v>Governance</v>
      </c>
      <c r="B35" s="70" t="str">
        <f>Interview!$B$31</f>
        <v>Policy &amp; Compliance</v>
      </c>
      <c r="C35" s="101">
        <f>Roadmap!M27</f>
        <v>0</v>
      </c>
      <c r="D35" s="101">
        <f>Roadmap!L27</f>
        <v>0</v>
      </c>
      <c r="E35" s="101">
        <f>Roadmap!L28</f>
        <v>0</v>
      </c>
      <c r="F35" s="101">
        <f>Roadmap!L29</f>
        <v>0</v>
      </c>
      <c r="G35" s="6">
        <f t="shared" si="4"/>
        <v>0</v>
      </c>
      <c r="H35" s="3"/>
      <c r="I35" s="71" t="str">
        <f>A37</f>
        <v>Design</v>
      </c>
      <c r="J35" s="101">
        <f>AVERAGE(C37:C39)</f>
        <v>0</v>
      </c>
      <c r="K35" s="147"/>
      <c r="L35" s="147"/>
      <c r="M35" s="147"/>
      <c r="N35" s="147"/>
      <c r="T35" s="66" t="str">
        <f>Interview!$B$16</f>
        <v>Governance</v>
      </c>
      <c r="U35" s="70" t="str">
        <f>Interview!$B$31</f>
        <v>Policy &amp; Compliance</v>
      </c>
      <c r="V35" s="101">
        <f>C35</f>
        <v>0</v>
      </c>
      <c r="W35" s="101">
        <v>0</v>
      </c>
      <c r="X35" s="101">
        <v>0</v>
      </c>
      <c r="Y35" s="101">
        <v>0</v>
      </c>
      <c r="Z35" s="101">
        <v>0</v>
      </c>
    </row>
    <row r="36" spans="1:26" ht="24.95" customHeight="1" x14ac:dyDescent="0.2">
      <c r="A36" s="66" t="str">
        <f>Interview!$B$16</f>
        <v>Governance</v>
      </c>
      <c r="B36" s="70" t="str">
        <f>Interview!$B$45</f>
        <v>Education &amp; Guidance</v>
      </c>
      <c r="C36" s="101">
        <f>Roadmap!M36</f>
        <v>0</v>
      </c>
      <c r="D36" s="101">
        <f>Roadmap!L36</f>
        <v>0</v>
      </c>
      <c r="E36" s="101">
        <f>Roadmap!L37</f>
        <v>0</v>
      </c>
      <c r="F36" s="101">
        <f>Roadmap!L38</f>
        <v>0</v>
      </c>
      <c r="G36" s="6">
        <f t="shared" si="4"/>
        <v>0</v>
      </c>
      <c r="H36" s="3"/>
      <c r="I36" s="238" t="str">
        <f>A40</f>
        <v>Implementation</v>
      </c>
      <c r="J36" s="101">
        <f>AVERAGE(C40:C42)</f>
        <v>0</v>
      </c>
      <c r="K36" s="147"/>
      <c r="L36" s="147"/>
      <c r="M36" s="147"/>
      <c r="N36" s="147"/>
      <c r="T36" s="66" t="str">
        <f>Interview!$B$16</f>
        <v>Governance</v>
      </c>
      <c r="U36" s="70" t="str">
        <f>Interview!$B$45</f>
        <v>Education &amp; Guidance</v>
      </c>
      <c r="V36" s="101">
        <f>C36</f>
        <v>0</v>
      </c>
      <c r="W36" s="101">
        <v>0</v>
      </c>
      <c r="X36" s="101">
        <v>0</v>
      </c>
      <c r="Y36" s="101">
        <v>0</v>
      </c>
      <c r="Z36" s="101">
        <v>0</v>
      </c>
    </row>
    <row r="37" spans="1:26" ht="24.95" customHeight="1" x14ac:dyDescent="0.2">
      <c r="A37" s="71" t="str">
        <f>Interview!$B$59</f>
        <v>Design</v>
      </c>
      <c r="B37" s="75" t="str">
        <f>Interview!$B$60</f>
        <v>Threat Assessment</v>
      </c>
      <c r="C37" s="101">
        <f>Roadmap!M46</f>
        <v>0</v>
      </c>
      <c r="D37" s="101">
        <f>Roadmap!L46</f>
        <v>0</v>
      </c>
      <c r="E37" s="101">
        <f>Roadmap!L47</f>
        <v>0</v>
      </c>
      <c r="F37" s="101">
        <f>Roadmap!L48</f>
        <v>0</v>
      </c>
      <c r="G37" s="6">
        <f t="shared" si="4"/>
        <v>0</v>
      </c>
      <c r="H37" s="3"/>
      <c r="I37" s="76" t="str">
        <f>A43</f>
        <v>Verification</v>
      </c>
      <c r="J37" s="101">
        <f>AVERAGE(C43:C45)</f>
        <v>0</v>
      </c>
      <c r="K37" s="147"/>
      <c r="L37" s="147"/>
      <c r="M37" s="147"/>
      <c r="N37" s="147"/>
      <c r="T37" s="71" t="str">
        <f>Interview!$B$59</f>
        <v>Design</v>
      </c>
      <c r="U37" s="75" t="str">
        <f>Interview!$B$60</f>
        <v>Threat Assessment</v>
      </c>
      <c r="V37" s="101">
        <v>0</v>
      </c>
      <c r="W37" s="101">
        <f>C37</f>
        <v>0</v>
      </c>
      <c r="X37" s="101">
        <v>0</v>
      </c>
      <c r="Y37" s="101">
        <v>0</v>
      </c>
      <c r="Z37" s="101">
        <v>0</v>
      </c>
    </row>
    <row r="38" spans="1:26" ht="24.95" customHeight="1" x14ac:dyDescent="0.2">
      <c r="A38" s="71" t="str">
        <f>Interview!$B$59</f>
        <v>Design</v>
      </c>
      <c r="B38" s="75" t="str">
        <f>Interview!$B$74</f>
        <v>Security Requirements</v>
      </c>
      <c r="C38" s="101">
        <f>Roadmap!M55</f>
        <v>0</v>
      </c>
      <c r="D38" s="101">
        <f>Roadmap!L55</f>
        <v>0</v>
      </c>
      <c r="E38" s="101">
        <f>Roadmap!L56</f>
        <v>0</v>
      </c>
      <c r="F38" s="101">
        <f>Roadmap!L57</f>
        <v>0</v>
      </c>
      <c r="G38" s="6">
        <f t="shared" si="4"/>
        <v>0</v>
      </c>
      <c r="H38" s="3"/>
      <c r="I38" s="81" t="str">
        <f>A46</f>
        <v>Operations</v>
      </c>
      <c r="J38" s="101">
        <f>AVERAGE(C46:C48)</f>
        <v>0</v>
      </c>
      <c r="K38" s="147"/>
      <c r="L38" s="147"/>
      <c r="M38" s="147"/>
      <c r="N38" s="147"/>
      <c r="T38" s="71" t="str">
        <f>Interview!$B$59</f>
        <v>Design</v>
      </c>
      <c r="U38" s="75" t="str">
        <f>Interview!$B$74</f>
        <v>Security Requirements</v>
      </c>
      <c r="V38" s="101">
        <v>0</v>
      </c>
      <c r="W38" s="101">
        <f>C38</f>
        <v>0</v>
      </c>
      <c r="X38" s="101">
        <v>0</v>
      </c>
      <c r="Y38" s="101">
        <v>0</v>
      </c>
      <c r="Z38" s="101">
        <v>0</v>
      </c>
    </row>
    <row r="39" spans="1:26" ht="24.95" customHeight="1" x14ac:dyDescent="0.2">
      <c r="A39" s="71" t="str">
        <f>Interview!$B$59</f>
        <v>Design</v>
      </c>
      <c r="B39" s="75" t="str">
        <f>Interview!$B$88</f>
        <v>Secure Architecture</v>
      </c>
      <c r="C39" s="101">
        <f>Roadmap!M64</f>
        <v>0</v>
      </c>
      <c r="D39" s="101">
        <f>Roadmap!L64</f>
        <v>0</v>
      </c>
      <c r="E39" s="101">
        <f>Roadmap!L65</f>
        <v>0</v>
      </c>
      <c r="F39" s="101">
        <f>Roadmap!L66</f>
        <v>0</v>
      </c>
      <c r="G39" s="6">
        <f t="shared" si="4"/>
        <v>0</v>
      </c>
      <c r="H39" s="3"/>
      <c r="I39" s="147"/>
      <c r="J39" s="147"/>
      <c r="K39" s="147"/>
      <c r="L39" s="147"/>
      <c r="M39" s="147"/>
      <c r="N39" s="147"/>
      <c r="T39" s="71" t="str">
        <f>Interview!$B$59</f>
        <v>Design</v>
      </c>
      <c r="U39" s="75" t="str">
        <f>Interview!$B$88</f>
        <v>Secure Architecture</v>
      </c>
      <c r="V39" s="101">
        <v>0</v>
      </c>
      <c r="W39" s="101">
        <f>C39</f>
        <v>0</v>
      </c>
      <c r="X39" s="101">
        <v>0</v>
      </c>
      <c r="Y39" s="101">
        <v>0</v>
      </c>
      <c r="Z39" s="101">
        <v>0</v>
      </c>
    </row>
    <row r="40" spans="1:26" ht="24.95" customHeight="1" x14ac:dyDescent="0.2">
      <c r="A40" s="238" t="str">
        <f>Interview!$B$102</f>
        <v>Implementation</v>
      </c>
      <c r="B40" s="237" t="str">
        <f>Interview!$B$103</f>
        <v>Secure Build</v>
      </c>
      <c r="C40" s="101">
        <f>Roadmap!M74</f>
        <v>0</v>
      </c>
      <c r="D40" s="101">
        <f>Roadmap!L74</f>
        <v>0</v>
      </c>
      <c r="E40" s="101">
        <f>Roadmap!L75</f>
        <v>0</v>
      </c>
      <c r="F40" s="101">
        <f>Roadmap!L76</f>
        <v>0</v>
      </c>
      <c r="G40" s="6"/>
      <c r="H40" s="3"/>
      <c r="I40" s="235"/>
      <c r="J40" s="235"/>
      <c r="K40" s="235"/>
      <c r="L40" s="235"/>
      <c r="M40" s="235"/>
      <c r="N40" s="235"/>
      <c r="T40" s="238" t="str">
        <f>Interview!$B$102</f>
        <v>Implementation</v>
      </c>
      <c r="U40" s="237" t="str">
        <f>Interview!$B$103</f>
        <v>Secure Build</v>
      </c>
      <c r="V40" s="101">
        <v>0</v>
      </c>
      <c r="W40" s="101">
        <v>0</v>
      </c>
      <c r="X40" s="101">
        <f>C40</f>
        <v>0</v>
      </c>
      <c r="Y40" s="101">
        <v>0</v>
      </c>
      <c r="Z40" s="101">
        <v>0</v>
      </c>
    </row>
    <row r="41" spans="1:26" ht="24.95" customHeight="1" x14ac:dyDescent="0.2">
      <c r="A41" s="238" t="str">
        <f>Interview!$B$102</f>
        <v>Implementation</v>
      </c>
      <c r="B41" s="237" t="str">
        <f>Interview!$B$117</f>
        <v>Secure Deployment</v>
      </c>
      <c r="C41" s="101">
        <f>Roadmap!M83</f>
        <v>0</v>
      </c>
      <c r="D41" s="101">
        <f>Roadmap!L83</f>
        <v>0</v>
      </c>
      <c r="E41" s="101">
        <f>Roadmap!L84</f>
        <v>0</v>
      </c>
      <c r="F41" s="101">
        <f>Roadmap!L85</f>
        <v>0</v>
      </c>
      <c r="G41" s="6"/>
      <c r="H41" s="3"/>
      <c r="I41" s="235"/>
      <c r="J41" s="235"/>
      <c r="K41" s="235"/>
      <c r="L41" s="235"/>
      <c r="M41" s="235"/>
      <c r="N41" s="235"/>
      <c r="T41" s="238" t="str">
        <f>Interview!$B$102</f>
        <v>Implementation</v>
      </c>
      <c r="U41" s="237" t="str">
        <f>Interview!$B$117</f>
        <v>Secure Deployment</v>
      </c>
      <c r="V41" s="101">
        <v>0</v>
      </c>
      <c r="W41" s="101">
        <v>0</v>
      </c>
      <c r="X41" s="101">
        <f>C41</f>
        <v>0</v>
      </c>
      <c r="Y41" s="101">
        <v>0</v>
      </c>
      <c r="Z41" s="101">
        <v>0</v>
      </c>
    </row>
    <row r="42" spans="1:26" ht="24.95" customHeight="1" x14ac:dyDescent="0.2">
      <c r="A42" s="238" t="str">
        <f>Interview!$B$102</f>
        <v>Implementation</v>
      </c>
      <c r="B42" s="237" t="str">
        <f>Interview!$B$131</f>
        <v>Defect Management</v>
      </c>
      <c r="C42" s="101">
        <f>Roadmap!M92</f>
        <v>0</v>
      </c>
      <c r="D42" s="101">
        <f>Roadmap!L92</f>
        <v>0</v>
      </c>
      <c r="E42" s="101">
        <f>Roadmap!L93</f>
        <v>0</v>
      </c>
      <c r="F42" s="101">
        <f>Roadmap!L94</f>
        <v>0</v>
      </c>
      <c r="G42" s="6"/>
      <c r="H42" s="3"/>
      <c r="I42" s="235"/>
      <c r="J42" s="235"/>
      <c r="K42" s="235"/>
      <c r="L42" s="235"/>
      <c r="M42" s="235"/>
      <c r="N42" s="235"/>
      <c r="T42" s="238" t="str">
        <f>Interview!$B$102</f>
        <v>Implementation</v>
      </c>
      <c r="U42" s="237" t="str">
        <f>Interview!$B$131</f>
        <v>Defect Management</v>
      </c>
      <c r="V42" s="101">
        <v>0</v>
      </c>
      <c r="W42" s="101">
        <v>0</v>
      </c>
      <c r="X42" s="101">
        <f>C42</f>
        <v>0</v>
      </c>
      <c r="Y42" s="101">
        <v>0</v>
      </c>
      <c r="Z42" s="101">
        <v>0</v>
      </c>
    </row>
    <row r="43" spans="1:26" ht="24.95" customHeight="1" x14ac:dyDescent="0.2">
      <c r="A43" s="76" t="str">
        <f>Interview!$B$145</f>
        <v>Verification</v>
      </c>
      <c r="B43" s="80" t="str">
        <f>Interview!$B$146</f>
        <v>Architecture Assessment</v>
      </c>
      <c r="C43" s="101">
        <f>Roadmap!M102</f>
        <v>0</v>
      </c>
      <c r="D43" s="101">
        <f>Roadmap!L102</f>
        <v>0</v>
      </c>
      <c r="E43" s="101">
        <f>Roadmap!L103</f>
        <v>0</v>
      </c>
      <c r="F43" s="101">
        <f>Roadmap!L104</f>
        <v>0</v>
      </c>
      <c r="G43" s="6">
        <f t="shared" si="4"/>
        <v>0</v>
      </c>
      <c r="H43" s="3"/>
      <c r="I43" s="147"/>
      <c r="J43" s="147"/>
      <c r="K43" s="147"/>
      <c r="L43" s="147"/>
      <c r="M43" s="147"/>
      <c r="N43" s="147"/>
      <c r="T43" s="76" t="str">
        <f>Interview!$B$145</f>
        <v>Verification</v>
      </c>
      <c r="U43" s="80" t="str">
        <f>Interview!$B$146</f>
        <v>Architecture Assessment</v>
      </c>
      <c r="V43" s="101">
        <v>0</v>
      </c>
      <c r="W43" s="101">
        <v>0</v>
      </c>
      <c r="X43" s="101">
        <v>0</v>
      </c>
      <c r="Y43" s="101">
        <f>C43</f>
        <v>0</v>
      </c>
      <c r="Z43" s="101">
        <v>0</v>
      </c>
    </row>
    <row r="44" spans="1:26" ht="24.95" customHeight="1" x14ac:dyDescent="0.2">
      <c r="A44" s="76" t="str">
        <f>Interview!$B$145</f>
        <v>Verification</v>
      </c>
      <c r="B44" s="80" t="str">
        <f>Interview!$B$160</f>
        <v>Requirements Driven Testing</v>
      </c>
      <c r="C44" s="101">
        <f>Roadmap!M111</f>
        <v>0</v>
      </c>
      <c r="D44" s="101">
        <f>Roadmap!L111</f>
        <v>0</v>
      </c>
      <c r="E44" s="101">
        <f>Roadmap!L112</f>
        <v>0</v>
      </c>
      <c r="F44" s="101">
        <f>Roadmap!L113</f>
        <v>0</v>
      </c>
      <c r="G44" s="6">
        <f t="shared" si="4"/>
        <v>0</v>
      </c>
      <c r="H44" s="3"/>
      <c r="I44" s="147"/>
      <c r="J44" s="147"/>
      <c r="K44" s="147"/>
      <c r="L44" s="147"/>
      <c r="M44" s="147"/>
      <c r="N44" s="147"/>
      <c r="T44" s="76" t="str">
        <f>Interview!$B$145</f>
        <v>Verification</v>
      </c>
      <c r="U44" s="80" t="str">
        <f>Interview!$B$160</f>
        <v>Requirements Driven Testing</v>
      </c>
      <c r="V44" s="101">
        <v>0</v>
      </c>
      <c r="W44" s="101">
        <v>0</v>
      </c>
      <c r="X44" s="101">
        <v>0</v>
      </c>
      <c r="Y44" s="101">
        <f>C44</f>
        <v>0</v>
      </c>
      <c r="Z44" s="101">
        <v>0</v>
      </c>
    </row>
    <row r="45" spans="1:26" ht="24.95" customHeight="1" x14ac:dyDescent="0.2">
      <c r="A45" s="76" t="str">
        <f>Interview!$B$145</f>
        <v>Verification</v>
      </c>
      <c r="B45" s="80" t="str">
        <f>Interview!$B$174</f>
        <v>Security Testing</v>
      </c>
      <c r="C45" s="101">
        <f>Roadmap!M120</f>
        <v>0</v>
      </c>
      <c r="D45" s="101">
        <f>Roadmap!L120</f>
        <v>0</v>
      </c>
      <c r="E45" s="101">
        <f>Roadmap!L121</f>
        <v>0</v>
      </c>
      <c r="F45" s="101">
        <f>Roadmap!L122</f>
        <v>0</v>
      </c>
      <c r="G45" s="6">
        <f t="shared" si="4"/>
        <v>0</v>
      </c>
      <c r="H45" s="3"/>
      <c r="I45" s="147"/>
      <c r="J45" s="147"/>
      <c r="K45" s="147"/>
      <c r="L45" s="147"/>
      <c r="M45" s="147"/>
      <c r="N45" s="147"/>
      <c r="T45" s="76" t="str">
        <f>Interview!$B$145</f>
        <v>Verification</v>
      </c>
      <c r="U45" s="80" t="str">
        <f>Interview!$B$174</f>
        <v>Security Testing</v>
      </c>
      <c r="V45" s="101">
        <v>0</v>
      </c>
      <c r="W45" s="101">
        <v>0</v>
      </c>
      <c r="X45" s="101">
        <v>0</v>
      </c>
      <c r="Y45" s="101">
        <f>C45</f>
        <v>0</v>
      </c>
      <c r="Z45" s="101">
        <v>0</v>
      </c>
    </row>
    <row r="46" spans="1:26" ht="24.95" customHeight="1" x14ac:dyDescent="0.2">
      <c r="A46" s="81" t="str">
        <f>Interview!$B$188</f>
        <v>Operations</v>
      </c>
      <c r="B46" s="85" t="str">
        <f>Interview!$B$189</f>
        <v>Incident Management</v>
      </c>
      <c r="C46" s="101">
        <f>Roadmap!M130</f>
        <v>0</v>
      </c>
      <c r="D46" s="101">
        <f>Roadmap!L130</f>
        <v>0</v>
      </c>
      <c r="E46" s="101">
        <f>Roadmap!L131</f>
        <v>0</v>
      </c>
      <c r="F46" s="101">
        <f>Roadmap!L132</f>
        <v>0</v>
      </c>
      <c r="G46" s="6">
        <f t="shared" si="4"/>
        <v>0</v>
      </c>
      <c r="H46" s="3"/>
      <c r="I46" s="147"/>
      <c r="J46" s="147"/>
      <c r="K46" s="147"/>
      <c r="L46" s="147"/>
      <c r="M46" s="147"/>
      <c r="N46" s="147"/>
      <c r="T46" s="81" t="str">
        <f>Interview!$B$188</f>
        <v>Operations</v>
      </c>
      <c r="U46" s="85" t="str">
        <f>Interview!$B$189</f>
        <v>Incident Management</v>
      </c>
      <c r="V46" s="101">
        <v>0</v>
      </c>
      <c r="W46" s="101">
        <v>0</v>
      </c>
      <c r="X46" s="101">
        <v>0</v>
      </c>
      <c r="Y46" s="101">
        <v>0</v>
      </c>
      <c r="Z46" s="101">
        <f>C46</f>
        <v>0</v>
      </c>
    </row>
    <row r="47" spans="1:26" ht="24.95" customHeight="1" x14ac:dyDescent="0.2">
      <c r="A47" s="81" t="str">
        <f>Interview!$B$188</f>
        <v>Operations</v>
      </c>
      <c r="B47" s="85" t="str">
        <f>Interview!$B$203</f>
        <v>Environment Management</v>
      </c>
      <c r="C47" s="101">
        <f>Roadmap!M139</f>
        <v>0</v>
      </c>
      <c r="D47" s="101">
        <f>Roadmap!L139</f>
        <v>0</v>
      </c>
      <c r="E47" s="101">
        <f>Roadmap!L140</f>
        <v>0</v>
      </c>
      <c r="F47" s="101">
        <f>Roadmap!L141</f>
        <v>0</v>
      </c>
      <c r="G47" s="6">
        <f t="shared" si="4"/>
        <v>0</v>
      </c>
      <c r="H47" s="3"/>
      <c r="I47" s="147"/>
      <c r="J47" s="147"/>
      <c r="K47" s="147"/>
      <c r="L47" s="147"/>
      <c r="M47" s="147"/>
      <c r="N47" s="147"/>
      <c r="T47" s="81" t="str">
        <f>Interview!$B$188</f>
        <v>Operations</v>
      </c>
      <c r="U47" s="85" t="str">
        <f>Interview!$B$203</f>
        <v>Environment Management</v>
      </c>
      <c r="V47" s="101">
        <v>0</v>
      </c>
      <c r="W47" s="101">
        <v>0</v>
      </c>
      <c r="X47" s="101">
        <v>0</v>
      </c>
      <c r="Y47" s="101">
        <v>0</v>
      </c>
      <c r="Z47" s="101">
        <f>C47</f>
        <v>0</v>
      </c>
    </row>
    <row r="48" spans="1:26" ht="24.95" customHeight="1" x14ac:dyDescent="0.2">
      <c r="A48" s="81" t="str">
        <f>Interview!$B$188</f>
        <v>Operations</v>
      </c>
      <c r="B48" s="85" t="str">
        <f>Interview!$B$217</f>
        <v>Operational Management</v>
      </c>
      <c r="C48" s="101">
        <f>Roadmap!M148</f>
        <v>0</v>
      </c>
      <c r="D48" s="101">
        <f>Roadmap!L148</f>
        <v>0</v>
      </c>
      <c r="E48" s="101">
        <f>Roadmap!L149</f>
        <v>0</v>
      </c>
      <c r="F48" s="101">
        <f>Roadmap!L150</f>
        <v>0</v>
      </c>
      <c r="G48" s="6">
        <f t="shared" si="4"/>
        <v>0</v>
      </c>
      <c r="H48" s="3"/>
      <c r="I48" s="147"/>
      <c r="J48" s="147"/>
      <c r="K48" s="147"/>
      <c r="L48" s="147"/>
      <c r="M48" s="147"/>
      <c r="N48" s="147"/>
      <c r="T48" s="81" t="str">
        <f>Interview!$B$188</f>
        <v>Operations</v>
      </c>
      <c r="U48" s="85" t="str">
        <f>Interview!$B$217</f>
        <v>Operational Management</v>
      </c>
      <c r="V48" s="101">
        <v>0</v>
      </c>
      <c r="W48" s="101">
        <v>0</v>
      </c>
      <c r="X48" s="101">
        <v>0</v>
      </c>
      <c r="Y48" s="101">
        <v>0</v>
      </c>
      <c r="Z48" s="101">
        <f>C48</f>
        <v>0</v>
      </c>
    </row>
    <row r="49" spans="1:26" ht="12.75" customHeight="1" x14ac:dyDescent="0.2">
      <c r="A49" s="147"/>
      <c r="B49" s="147"/>
      <c r="C49" s="147"/>
      <c r="D49" s="147"/>
      <c r="E49" s="147"/>
      <c r="F49" s="147"/>
      <c r="G49" s="147"/>
      <c r="H49" s="147"/>
      <c r="I49" s="147"/>
      <c r="J49" s="147"/>
      <c r="K49" s="147"/>
      <c r="L49" s="147"/>
      <c r="M49" s="147"/>
      <c r="N49" s="147"/>
    </row>
    <row r="50" spans="1:26" ht="12.75" customHeight="1" thickBot="1" x14ac:dyDescent="0.25">
      <c r="K50" s="1"/>
    </row>
    <row r="51" spans="1:26" ht="24.95" customHeight="1" thickBot="1" x14ac:dyDescent="0.25">
      <c r="A51" s="428" t="s">
        <v>124</v>
      </c>
      <c r="B51" s="429"/>
      <c r="C51" s="429"/>
      <c r="D51" s="429"/>
      <c r="E51" s="429"/>
      <c r="F51" s="429"/>
      <c r="G51" s="429"/>
      <c r="H51" s="429"/>
      <c r="I51" s="429"/>
      <c r="J51" s="430"/>
      <c r="K51" s="1"/>
      <c r="L51" s="428" t="s">
        <v>124</v>
      </c>
      <c r="M51" s="429"/>
      <c r="N51" s="429"/>
      <c r="O51" s="429"/>
      <c r="P51" s="429"/>
      <c r="Q51" s="429"/>
      <c r="R51" s="430"/>
      <c r="T51" s="431" t="s">
        <v>124</v>
      </c>
      <c r="U51" s="432"/>
      <c r="V51" s="432"/>
      <c r="W51" s="432"/>
      <c r="X51" s="432"/>
      <c r="Y51" s="432"/>
      <c r="Z51" s="433"/>
    </row>
    <row r="52" spans="1:26" ht="12" customHeight="1" x14ac:dyDescent="0.2">
      <c r="A52" s="2"/>
      <c r="B52" s="2"/>
      <c r="C52" s="2"/>
      <c r="D52" s="425" t="s">
        <v>91</v>
      </c>
      <c r="E52" s="426"/>
      <c r="F52" s="427"/>
      <c r="G52" s="129"/>
      <c r="H52" s="129"/>
      <c r="I52" s="129"/>
      <c r="J52" s="129"/>
      <c r="K52" s="1"/>
      <c r="L52" s="1"/>
      <c r="M52" s="1"/>
      <c r="N52" s="1"/>
    </row>
    <row r="53" spans="1:26" ht="24.95" customHeight="1" x14ac:dyDescent="0.2">
      <c r="A53" s="7" t="s">
        <v>1</v>
      </c>
      <c r="B53" s="7" t="s">
        <v>2</v>
      </c>
      <c r="C53" s="7" t="s">
        <v>60</v>
      </c>
      <c r="D53" s="128">
        <v>1</v>
      </c>
      <c r="E53" s="128">
        <v>2</v>
      </c>
      <c r="F53" s="128">
        <v>3</v>
      </c>
      <c r="G53" s="8" t="s">
        <v>6</v>
      </c>
      <c r="H53" s="129"/>
      <c r="I53" s="7" t="s">
        <v>1</v>
      </c>
      <c r="J53" s="7" t="s">
        <v>60</v>
      </c>
      <c r="K53" s="1"/>
      <c r="L53" s="1"/>
      <c r="M53" s="1"/>
      <c r="N53" s="1"/>
      <c r="V53" t="str">
        <f>T54</f>
        <v>Governance</v>
      </c>
      <c r="W53" t="str">
        <f>T57</f>
        <v>Design</v>
      </c>
      <c r="X53" t="str">
        <f>T60</f>
        <v>Implementation</v>
      </c>
      <c r="Y53" t="str">
        <f>T63</f>
        <v>Verification</v>
      </c>
      <c r="Z53" t="str">
        <f>T66</f>
        <v>Operations</v>
      </c>
    </row>
    <row r="54" spans="1:26" ht="24.95" customHeight="1" x14ac:dyDescent="0.2">
      <c r="A54" s="66" t="str">
        <f>Interview!$B$16</f>
        <v>Governance</v>
      </c>
      <c r="B54" s="70" t="str">
        <f>Interview!$D$17</f>
        <v>Strategy &amp; Metrics</v>
      </c>
      <c r="C54" s="101">
        <f>Roadmap!Q18</f>
        <v>0</v>
      </c>
      <c r="D54" s="101">
        <f>Roadmap!P18</f>
        <v>0</v>
      </c>
      <c r="E54" s="101">
        <f>Roadmap!P19</f>
        <v>0</v>
      </c>
      <c r="F54" s="101">
        <f>Roadmap!P20</f>
        <v>0</v>
      </c>
      <c r="G54" s="6">
        <f t="shared" ref="G54:G68" si="5">(((((IF((C54="0+"),0.5,0)+IF((C54=1),1,0))+IF((C54="1+"),1.5,0))+IF((C54=2),2,0))+IF((C54="2+"),2.5,0))+IF((C54=3),3,0))+IF((C54="3+"),3.5,0)</f>
        <v>0</v>
      </c>
      <c r="H54" s="3"/>
      <c r="I54" s="66" t="str">
        <f>A54</f>
        <v>Governance</v>
      </c>
      <c r="J54" s="101">
        <f>AVERAGE(C54:C56)</f>
        <v>0</v>
      </c>
      <c r="K54" s="1"/>
      <c r="L54" s="1"/>
      <c r="M54" s="1"/>
      <c r="N54" s="1"/>
      <c r="T54" s="66" t="str">
        <f>Interview!$B$16</f>
        <v>Governance</v>
      </c>
      <c r="U54" s="70" t="str">
        <f>Interview!$D$17</f>
        <v>Strategy &amp; Metrics</v>
      </c>
      <c r="V54" s="101">
        <f>C54</f>
        <v>0</v>
      </c>
      <c r="W54" s="101">
        <v>0</v>
      </c>
      <c r="X54" s="101">
        <v>0</v>
      </c>
      <c r="Y54" s="101">
        <v>0</v>
      </c>
      <c r="Z54" s="101">
        <v>0</v>
      </c>
    </row>
    <row r="55" spans="1:26" ht="24.95" customHeight="1" x14ac:dyDescent="0.2">
      <c r="A55" s="66" t="str">
        <f>Interview!$B$16</f>
        <v>Governance</v>
      </c>
      <c r="B55" s="70" t="str">
        <f>Interview!$B$31</f>
        <v>Policy &amp; Compliance</v>
      </c>
      <c r="C55" s="101">
        <f>Roadmap!Q27</f>
        <v>0</v>
      </c>
      <c r="D55" s="101">
        <f>Roadmap!P27</f>
        <v>0</v>
      </c>
      <c r="E55" s="101">
        <f>Roadmap!P28</f>
        <v>0</v>
      </c>
      <c r="F55" s="101">
        <f>Roadmap!P29</f>
        <v>0</v>
      </c>
      <c r="G55" s="6">
        <f t="shared" si="5"/>
        <v>0</v>
      </c>
      <c r="H55" s="3"/>
      <c r="I55" s="71" t="str">
        <f>A57</f>
        <v>Design</v>
      </c>
      <c r="J55" s="101">
        <f>AVERAGE(C57:C59)</f>
        <v>0</v>
      </c>
      <c r="K55" s="1"/>
      <c r="L55" s="1"/>
      <c r="M55" s="1"/>
      <c r="N55" s="1"/>
      <c r="T55" s="66" t="str">
        <f>Interview!$B$16</f>
        <v>Governance</v>
      </c>
      <c r="U55" s="70" t="str">
        <f>Interview!$B$31</f>
        <v>Policy &amp; Compliance</v>
      </c>
      <c r="V55" s="101">
        <f>C55</f>
        <v>0</v>
      </c>
      <c r="W55" s="101">
        <v>0</v>
      </c>
      <c r="X55" s="101">
        <v>0</v>
      </c>
      <c r="Y55" s="101">
        <v>0</v>
      </c>
      <c r="Z55" s="101">
        <v>0</v>
      </c>
    </row>
    <row r="56" spans="1:26" ht="24.95" customHeight="1" x14ac:dyDescent="0.2">
      <c r="A56" s="66" t="str">
        <f>Interview!$B$16</f>
        <v>Governance</v>
      </c>
      <c r="B56" s="70" t="str">
        <f>Interview!$B$45</f>
        <v>Education &amp; Guidance</v>
      </c>
      <c r="C56" s="101">
        <f>Roadmap!Q36</f>
        <v>0</v>
      </c>
      <c r="D56" s="101">
        <f>Roadmap!P36</f>
        <v>0</v>
      </c>
      <c r="E56" s="101">
        <f>Roadmap!P37</f>
        <v>0</v>
      </c>
      <c r="F56" s="101">
        <f>Roadmap!P38</f>
        <v>0</v>
      </c>
      <c r="G56" s="6">
        <f t="shared" si="5"/>
        <v>0</v>
      </c>
      <c r="H56" s="3"/>
      <c r="I56" s="238" t="str">
        <f>A60</f>
        <v>Implementation</v>
      </c>
      <c r="J56" s="101">
        <f>AVERAGE(C60:C62)</f>
        <v>0</v>
      </c>
      <c r="K56" s="1"/>
      <c r="L56" s="1"/>
      <c r="M56" s="1"/>
      <c r="N56" s="1"/>
      <c r="T56" s="66" t="str">
        <f>Interview!$B$16</f>
        <v>Governance</v>
      </c>
      <c r="U56" s="70" t="str">
        <f>Interview!$B$45</f>
        <v>Education &amp; Guidance</v>
      </c>
      <c r="V56" s="101">
        <f>C56</f>
        <v>0</v>
      </c>
      <c r="W56" s="101">
        <v>0</v>
      </c>
      <c r="X56" s="101">
        <v>0</v>
      </c>
      <c r="Y56" s="101">
        <v>0</v>
      </c>
      <c r="Z56" s="101">
        <v>0</v>
      </c>
    </row>
    <row r="57" spans="1:26" ht="24.95" customHeight="1" x14ac:dyDescent="0.2">
      <c r="A57" s="71" t="str">
        <f>Interview!$B$59</f>
        <v>Design</v>
      </c>
      <c r="B57" s="75" t="str">
        <f>Interview!$B$60</f>
        <v>Threat Assessment</v>
      </c>
      <c r="C57" s="101">
        <f>Roadmap!Q46</f>
        <v>0</v>
      </c>
      <c r="D57" s="101">
        <f>Roadmap!P46</f>
        <v>0</v>
      </c>
      <c r="E57" s="101">
        <f>Roadmap!P47</f>
        <v>0</v>
      </c>
      <c r="F57" s="101">
        <f>Roadmap!P48</f>
        <v>0</v>
      </c>
      <c r="G57" s="6">
        <f t="shared" si="5"/>
        <v>0</v>
      </c>
      <c r="H57" s="3"/>
      <c r="I57" s="76" t="str">
        <f>A63</f>
        <v>Verification</v>
      </c>
      <c r="J57" s="101">
        <f>AVERAGE(C63:C65)</f>
        <v>0</v>
      </c>
      <c r="K57" s="1"/>
      <c r="L57" s="1"/>
      <c r="M57" s="1"/>
      <c r="N57" s="1"/>
      <c r="T57" s="71" t="str">
        <f>Interview!$B$59</f>
        <v>Design</v>
      </c>
      <c r="U57" s="75" t="str">
        <f>Interview!$B$60</f>
        <v>Threat Assessment</v>
      </c>
      <c r="V57" s="101">
        <v>0</v>
      </c>
      <c r="W57" s="101">
        <f>C57</f>
        <v>0</v>
      </c>
      <c r="X57" s="101">
        <v>0</v>
      </c>
      <c r="Y57" s="101">
        <v>0</v>
      </c>
      <c r="Z57" s="101">
        <v>0</v>
      </c>
    </row>
    <row r="58" spans="1:26" ht="24.95" customHeight="1" x14ac:dyDescent="0.2">
      <c r="A58" s="71" t="str">
        <f>Interview!$B$59</f>
        <v>Design</v>
      </c>
      <c r="B58" s="75" t="str">
        <f>Interview!$B$74</f>
        <v>Security Requirements</v>
      </c>
      <c r="C58" s="101">
        <f>Roadmap!Q55</f>
        <v>0</v>
      </c>
      <c r="D58" s="101">
        <f>Roadmap!P55</f>
        <v>0</v>
      </c>
      <c r="E58" s="101">
        <f>Roadmap!P56</f>
        <v>0</v>
      </c>
      <c r="F58" s="101">
        <f>Roadmap!P57</f>
        <v>0</v>
      </c>
      <c r="G58" s="6">
        <f t="shared" si="5"/>
        <v>0</v>
      </c>
      <c r="H58" s="3"/>
      <c r="I58" s="81" t="str">
        <f>A66</f>
        <v>Operations</v>
      </c>
      <c r="J58" s="101">
        <f>AVERAGE(C66:C68)</f>
        <v>0</v>
      </c>
      <c r="K58" s="1"/>
      <c r="L58" s="1"/>
      <c r="M58" s="1"/>
      <c r="N58" s="1"/>
      <c r="T58" s="71" t="str">
        <f>Interview!$B$59</f>
        <v>Design</v>
      </c>
      <c r="U58" s="75" t="str">
        <f>Interview!$B$74</f>
        <v>Security Requirements</v>
      </c>
      <c r="V58" s="101">
        <v>0</v>
      </c>
      <c r="W58" s="101">
        <f>C58</f>
        <v>0</v>
      </c>
      <c r="X58" s="101">
        <v>0</v>
      </c>
      <c r="Y58" s="101">
        <v>0</v>
      </c>
      <c r="Z58" s="101">
        <v>0</v>
      </c>
    </row>
    <row r="59" spans="1:26" ht="24.95" customHeight="1" x14ac:dyDescent="0.2">
      <c r="A59" s="71" t="str">
        <f>Interview!$B$59</f>
        <v>Design</v>
      </c>
      <c r="B59" s="75" t="str">
        <f>Interview!$B$88</f>
        <v>Secure Architecture</v>
      </c>
      <c r="C59" s="101">
        <f>Roadmap!Q64</f>
        <v>0</v>
      </c>
      <c r="D59" s="101">
        <f>Roadmap!P64</f>
        <v>0</v>
      </c>
      <c r="E59" s="101">
        <f>Roadmap!P65</f>
        <v>0</v>
      </c>
      <c r="F59" s="101">
        <f>Roadmap!P66</f>
        <v>0</v>
      </c>
      <c r="G59" s="6">
        <f t="shared" si="5"/>
        <v>0</v>
      </c>
      <c r="H59" s="3"/>
      <c r="I59" s="129"/>
      <c r="J59" s="129"/>
      <c r="K59" s="1"/>
      <c r="L59" s="1"/>
      <c r="M59" s="1"/>
      <c r="N59" s="1"/>
      <c r="T59" s="71" t="str">
        <f>Interview!$B$59</f>
        <v>Design</v>
      </c>
      <c r="U59" s="75" t="str">
        <f>Interview!$B$88</f>
        <v>Secure Architecture</v>
      </c>
      <c r="V59" s="101">
        <v>0</v>
      </c>
      <c r="W59" s="101">
        <f>C59</f>
        <v>0</v>
      </c>
      <c r="X59" s="101">
        <v>0</v>
      </c>
      <c r="Y59" s="101">
        <v>0</v>
      </c>
      <c r="Z59" s="101">
        <v>0</v>
      </c>
    </row>
    <row r="60" spans="1:26" ht="24.95" customHeight="1" x14ac:dyDescent="0.2">
      <c r="A60" s="238" t="str">
        <f>Interview!$B$102</f>
        <v>Implementation</v>
      </c>
      <c r="B60" s="237" t="str">
        <f>Interview!$B$103</f>
        <v>Secure Build</v>
      </c>
      <c r="C60" s="101">
        <f>Roadmap!Q74</f>
        <v>0</v>
      </c>
      <c r="D60" s="101">
        <f>Roadmap!P74</f>
        <v>0</v>
      </c>
      <c r="E60" s="101">
        <f>Roadmap!P75</f>
        <v>0</v>
      </c>
      <c r="F60" s="101">
        <f>Roadmap!P76</f>
        <v>0</v>
      </c>
      <c r="G60" s="6"/>
      <c r="H60" s="3"/>
      <c r="I60" s="235"/>
      <c r="J60" s="235"/>
      <c r="K60" s="235"/>
      <c r="L60" s="235"/>
      <c r="M60" s="235"/>
      <c r="N60" s="235"/>
      <c r="T60" s="238" t="str">
        <f>Interview!$B$102</f>
        <v>Implementation</v>
      </c>
      <c r="U60" s="237" t="str">
        <f>Interview!$B$103</f>
        <v>Secure Build</v>
      </c>
      <c r="V60" s="101">
        <v>0</v>
      </c>
      <c r="W60" s="101">
        <v>0</v>
      </c>
      <c r="X60" s="101">
        <f>C60</f>
        <v>0</v>
      </c>
      <c r="Y60" s="101">
        <v>0</v>
      </c>
      <c r="Z60" s="101">
        <v>0</v>
      </c>
    </row>
    <row r="61" spans="1:26" ht="24.95" customHeight="1" x14ac:dyDescent="0.2">
      <c r="A61" s="238" t="str">
        <f>Interview!$B$102</f>
        <v>Implementation</v>
      </c>
      <c r="B61" s="237" t="str">
        <f>Interview!$B$117</f>
        <v>Secure Deployment</v>
      </c>
      <c r="C61" s="101">
        <f>Roadmap!Q83</f>
        <v>0</v>
      </c>
      <c r="D61" s="101">
        <f>Roadmap!P83</f>
        <v>0</v>
      </c>
      <c r="E61" s="101">
        <f>Roadmap!P84</f>
        <v>0</v>
      </c>
      <c r="F61" s="101">
        <f>Roadmap!P85</f>
        <v>0</v>
      </c>
      <c r="G61" s="6"/>
      <c r="H61" s="3"/>
      <c r="I61" s="235"/>
      <c r="J61" s="235"/>
      <c r="K61" s="235"/>
      <c r="L61" s="235"/>
      <c r="M61" s="235"/>
      <c r="N61" s="235"/>
      <c r="T61" s="238" t="str">
        <f>Interview!$B$102</f>
        <v>Implementation</v>
      </c>
      <c r="U61" s="237" t="str">
        <f>Interview!$B$117</f>
        <v>Secure Deployment</v>
      </c>
      <c r="V61" s="101">
        <v>0</v>
      </c>
      <c r="W61" s="101">
        <v>0</v>
      </c>
      <c r="X61" s="101">
        <f>C61</f>
        <v>0</v>
      </c>
      <c r="Y61" s="101">
        <v>0</v>
      </c>
      <c r="Z61" s="101">
        <v>0</v>
      </c>
    </row>
    <row r="62" spans="1:26" ht="24.95" customHeight="1" x14ac:dyDescent="0.2">
      <c r="A62" s="238" t="str">
        <f>Interview!$B$102</f>
        <v>Implementation</v>
      </c>
      <c r="B62" s="237" t="str">
        <f>Interview!$B$131</f>
        <v>Defect Management</v>
      </c>
      <c r="C62" s="101">
        <f>Roadmap!Q92</f>
        <v>0</v>
      </c>
      <c r="D62" s="101">
        <f>Roadmap!P92</f>
        <v>0</v>
      </c>
      <c r="E62" s="101">
        <f>Roadmap!P93</f>
        <v>0</v>
      </c>
      <c r="F62" s="101">
        <f>Roadmap!P94</f>
        <v>0</v>
      </c>
      <c r="G62" s="6"/>
      <c r="H62" s="3"/>
      <c r="I62" s="235"/>
      <c r="J62" s="235"/>
      <c r="K62" s="235"/>
      <c r="L62" s="235"/>
      <c r="M62" s="235"/>
      <c r="N62" s="235"/>
      <c r="T62" s="238" t="str">
        <f>Interview!$B$102</f>
        <v>Implementation</v>
      </c>
      <c r="U62" s="237" t="str">
        <f>Interview!$B$131</f>
        <v>Defect Management</v>
      </c>
      <c r="V62" s="101">
        <v>0</v>
      </c>
      <c r="W62" s="101">
        <v>0</v>
      </c>
      <c r="X62" s="101">
        <f>C62</f>
        <v>0</v>
      </c>
      <c r="Y62" s="101">
        <v>0</v>
      </c>
      <c r="Z62" s="101">
        <v>0</v>
      </c>
    </row>
    <row r="63" spans="1:26" ht="24.95" customHeight="1" x14ac:dyDescent="0.2">
      <c r="A63" s="76" t="str">
        <f>Interview!$B$145</f>
        <v>Verification</v>
      </c>
      <c r="B63" s="80" t="str">
        <f>Interview!$B$146</f>
        <v>Architecture Assessment</v>
      </c>
      <c r="C63" s="101">
        <f>Roadmap!Q102</f>
        <v>0</v>
      </c>
      <c r="D63" s="101">
        <f>Roadmap!P102</f>
        <v>0</v>
      </c>
      <c r="E63" s="101">
        <f>Roadmap!P103</f>
        <v>0</v>
      </c>
      <c r="F63" s="101">
        <f>Roadmap!P104</f>
        <v>0</v>
      </c>
      <c r="G63" s="6">
        <f t="shared" si="5"/>
        <v>0</v>
      </c>
      <c r="H63" s="3"/>
      <c r="I63" s="129"/>
      <c r="J63" s="129"/>
      <c r="K63" s="1"/>
      <c r="L63" s="1"/>
      <c r="M63" s="1"/>
      <c r="N63" s="1"/>
      <c r="T63" s="76" t="str">
        <f>Interview!$B$145</f>
        <v>Verification</v>
      </c>
      <c r="U63" s="80" t="str">
        <f>Interview!$B$146</f>
        <v>Architecture Assessment</v>
      </c>
      <c r="V63" s="101">
        <v>0</v>
      </c>
      <c r="W63" s="101">
        <v>0</v>
      </c>
      <c r="X63" s="101">
        <v>0</v>
      </c>
      <c r="Y63" s="101">
        <f>C63</f>
        <v>0</v>
      </c>
      <c r="Z63" s="101">
        <v>0</v>
      </c>
    </row>
    <row r="64" spans="1:26" ht="24.95" customHeight="1" x14ac:dyDescent="0.2">
      <c r="A64" s="76" t="str">
        <f>Interview!$B$145</f>
        <v>Verification</v>
      </c>
      <c r="B64" s="80" t="str">
        <f>Interview!$B$160</f>
        <v>Requirements Driven Testing</v>
      </c>
      <c r="C64" s="101">
        <f>Roadmap!Q111</f>
        <v>0</v>
      </c>
      <c r="D64" s="101">
        <f>Roadmap!P111</f>
        <v>0</v>
      </c>
      <c r="E64" s="101">
        <f>Roadmap!P112</f>
        <v>0</v>
      </c>
      <c r="F64" s="101">
        <f>Roadmap!P113</f>
        <v>0</v>
      </c>
      <c r="G64" s="6">
        <f t="shared" si="5"/>
        <v>0</v>
      </c>
      <c r="H64" s="3"/>
      <c r="I64" s="129"/>
      <c r="J64" s="129"/>
      <c r="K64" s="1"/>
      <c r="L64" s="1"/>
      <c r="M64" s="1"/>
      <c r="N64" s="1"/>
      <c r="T64" s="76" t="str">
        <f>Interview!$B$145</f>
        <v>Verification</v>
      </c>
      <c r="U64" s="80" t="str">
        <f>Interview!$B$160</f>
        <v>Requirements Driven Testing</v>
      </c>
      <c r="V64" s="101">
        <v>0</v>
      </c>
      <c r="W64" s="101">
        <v>0</v>
      </c>
      <c r="X64" s="101">
        <v>0</v>
      </c>
      <c r="Y64" s="101">
        <f>C64</f>
        <v>0</v>
      </c>
      <c r="Z64" s="101">
        <v>0</v>
      </c>
    </row>
    <row r="65" spans="1:26" ht="24.95" customHeight="1" x14ac:dyDescent="0.2">
      <c r="A65" s="76" t="str">
        <f>Interview!$B$145</f>
        <v>Verification</v>
      </c>
      <c r="B65" s="80" t="str">
        <f>Interview!$B$174</f>
        <v>Security Testing</v>
      </c>
      <c r="C65" s="101">
        <f>Roadmap!Q120</f>
        <v>0</v>
      </c>
      <c r="D65" s="101">
        <f>Roadmap!P120</f>
        <v>0</v>
      </c>
      <c r="E65" s="101">
        <f>Roadmap!P121</f>
        <v>0</v>
      </c>
      <c r="F65" s="101">
        <f>Roadmap!P122</f>
        <v>0</v>
      </c>
      <c r="G65" s="6">
        <f t="shared" si="5"/>
        <v>0</v>
      </c>
      <c r="H65" s="3"/>
      <c r="I65" s="129"/>
      <c r="J65" s="129"/>
      <c r="K65" s="1"/>
      <c r="L65" s="1"/>
      <c r="M65" s="1"/>
      <c r="N65" s="1"/>
      <c r="T65" s="76" t="str">
        <f>Interview!$B$145</f>
        <v>Verification</v>
      </c>
      <c r="U65" s="80" t="str">
        <f>Interview!$B$174</f>
        <v>Security Testing</v>
      </c>
      <c r="V65" s="101">
        <v>0</v>
      </c>
      <c r="W65" s="101">
        <v>0</v>
      </c>
      <c r="X65" s="101">
        <v>0</v>
      </c>
      <c r="Y65" s="101">
        <f>C65</f>
        <v>0</v>
      </c>
      <c r="Z65" s="101">
        <v>0</v>
      </c>
    </row>
    <row r="66" spans="1:26" ht="24.95" customHeight="1" x14ac:dyDescent="0.2">
      <c r="A66" s="81" t="str">
        <f>Interview!$B$188</f>
        <v>Operations</v>
      </c>
      <c r="B66" s="85" t="str">
        <f>Interview!$B$189</f>
        <v>Incident Management</v>
      </c>
      <c r="C66" s="101">
        <f>Roadmap!Q130</f>
        <v>0</v>
      </c>
      <c r="D66" s="101">
        <f>Roadmap!P130</f>
        <v>0</v>
      </c>
      <c r="E66" s="101">
        <f>Roadmap!P131</f>
        <v>0</v>
      </c>
      <c r="F66" s="101">
        <f>Roadmap!P132</f>
        <v>0</v>
      </c>
      <c r="G66" s="6">
        <f t="shared" si="5"/>
        <v>0</v>
      </c>
      <c r="H66" s="3"/>
      <c r="I66" s="129"/>
      <c r="J66" s="129"/>
      <c r="K66" s="1"/>
      <c r="L66" s="1"/>
      <c r="M66" s="1"/>
      <c r="N66" s="1"/>
      <c r="T66" s="81" t="str">
        <f>Interview!$B$188</f>
        <v>Operations</v>
      </c>
      <c r="U66" s="85" t="str">
        <f>Interview!$B$189</f>
        <v>Incident Management</v>
      </c>
      <c r="V66" s="101">
        <v>0</v>
      </c>
      <c r="W66" s="101">
        <v>0</v>
      </c>
      <c r="X66" s="101">
        <v>0</v>
      </c>
      <c r="Y66" s="101">
        <v>0</v>
      </c>
      <c r="Z66" s="101">
        <f>C66</f>
        <v>0</v>
      </c>
    </row>
    <row r="67" spans="1:26" ht="24.95" customHeight="1" x14ac:dyDescent="0.2">
      <c r="A67" s="81" t="str">
        <f>Interview!$B$188</f>
        <v>Operations</v>
      </c>
      <c r="B67" s="85" t="str">
        <f>Interview!$B$203</f>
        <v>Environment Management</v>
      </c>
      <c r="C67" s="101">
        <f>Roadmap!Q139</f>
        <v>0</v>
      </c>
      <c r="D67" s="101">
        <f>Roadmap!P139</f>
        <v>0</v>
      </c>
      <c r="E67" s="101">
        <f>Roadmap!P140</f>
        <v>0</v>
      </c>
      <c r="F67" s="101">
        <f>Roadmap!P141</f>
        <v>0</v>
      </c>
      <c r="G67" s="6">
        <f t="shared" si="5"/>
        <v>0</v>
      </c>
      <c r="H67" s="3"/>
      <c r="I67" s="129"/>
      <c r="J67" s="129"/>
      <c r="K67" s="1"/>
      <c r="L67" s="1"/>
      <c r="M67" s="1"/>
      <c r="N67" s="1"/>
      <c r="T67" s="81" t="str">
        <f>Interview!$B$188</f>
        <v>Operations</v>
      </c>
      <c r="U67" s="85" t="str">
        <f>Interview!$B$203</f>
        <v>Environment Management</v>
      </c>
      <c r="V67" s="101">
        <v>0</v>
      </c>
      <c r="W67" s="101">
        <v>0</v>
      </c>
      <c r="X67" s="101">
        <v>0</v>
      </c>
      <c r="Y67" s="101">
        <v>0</v>
      </c>
      <c r="Z67" s="101">
        <f>C67</f>
        <v>0</v>
      </c>
    </row>
    <row r="68" spans="1:26" ht="24.95" customHeight="1" x14ac:dyDescent="0.2">
      <c r="A68" s="81" t="str">
        <f>Interview!$B$188</f>
        <v>Operations</v>
      </c>
      <c r="B68" s="85" t="str">
        <f>Interview!$B$217</f>
        <v>Operational Management</v>
      </c>
      <c r="C68" s="101">
        <f>Roadmap!Q148</f>
        <v>0</v>
      </c>
      <c r="D68" s="101">
        <f>Roadmap!P148</f>
        <v>0</v>
      </c>
      <c r="E68" s="101">
        <f>Roadmap!P149</f>
        <v>0</v>
      </c>
      <c r="F68" s="101">
        <f>Roadmap!P150</f>
        <v>0</v>
      </c>
      <c r="G68" s="6">
        <f t="shared" si="5"/>
        <v>0</v>
      </c>
      <c r="H68" s="3"/>
      <c r="I68" s="129"/>
      <c r="J68" s="129"/>
      <c r="K68" s="1"/>
      <c r="L68" s="1"/>
      <c r="M68" s="1"/>
      <c r="N68" s="1"/>
      <c r="T68" s="81" t="str">
        <f>Interview!$B$188</f>
        <v>Operations</v>
      </c>
      <c r="U68" s="85" t="str">
        <f>Interview!$B$217</f>
        <v>Operational Management</v>
      </c>
      <c r="V68" s="101">
        <v>0</v>
      </c>
      <c r="W68" s="101">
        <v>0</v>
      </c>
      <c r="X68" s="101">
        <v>0</v>
      </c>
      <c r="Y68" s="101">
        <v>0</v>
      </c>
      <c r="Z68" s="101">
        <f>C68</f>
        <v>0</v>
      </c>
    </row>
    <row r="69" spans="1:26" ht="12.75" customHeight="1" thickBot="1" x14ac:dyDescent="0.25">
      <c r="K69" s="147"/>
    </row>
    <row r="70" spans="1:26" ht="24.95" customHeight="1" thickBot="1" x14ac:dyDescent="0.25">
      <c r="A70" s="428" t="s">
        <v>123</v>
      </c>
      <c r="B70" s="429"/>
      <c r="C70" s="429"/>
      <c r="D70" s="429"/>
      <c r="E70" s="429"/>
      <c r="F70" s="429"/>
      <c r="G70" s="429"/>
      <c r="H70" s="429"/>
      <c r="I70" s="429"/>
      <c r="J70" s="430"/>
      <c r="K70" s="147"/>
      <c r="L70" s="428" t="s">
        <v>123</v>
      </c>
      <c r="M70" s="429"/>
      <c r="N70" s="429"/>
      <c r="O70" s="429"/>
      <c r="P70" s="429"/>
      <c r="Q70" s="429"/>
      <c r="R70" s="430"/>
      <c r="T70" s="431" t="s">
        <v>123</v>
      </c>
      <c r="U70" s="432"/>
      <c r="V70" s="432"/>
      <c r="W70" s="432"/>
      <c r="X70" s="432"/>
      <c r="Y70" s="432"/>
      <c r="Z70" s="433"/>
    </row>
    <row r="71" spans="1:26" ht="12" customHeight="1" x14ac:dyDescent="0.2">
      <c r="A71" s="2"/>
      <c r="B71" s="2"/>
      <c r="C71" s="2"/>
      <c r="D71" s="425" t="s">
        <v>91</v>
      </c>
      <c r="E71" s="426"/>
      <c r="F71" s="427"/>
      <c r="G71" s="147"/>
      <c r="H71" s="147"/>
      <c r="I71" s="147"/>
      <c r="J71" s="147"/>
      <c r="K71" s="147"/>
      <c r="L71" s="147"/>
      <c r="M71" s="147"/>
      <c r="N71" s="147"/>
    </row>
    <row r="72" spans="1:26" ht="24.95" customHeight="1" x14ac:dyDescent="0.2">
      <c r="A72" s="7" t="s">
        <v>1</v>
      </c>
      <c r="B72" s="7" t="s">
        <v>2</v>
      </c>
      <c r="C72" s="7" t="s">
        <v>60</v>
      </c>
      <c r="D72" s="128">
        <v>1</v>
      </c>
      <c r="E72" s="128">
        <v>2</v>
      </c>
      <c r="F72" s="128">
        <v>3</v>
      </c>
      <c r="G72" s="8" t="s">
        <v>6</v>
      </c>
      <c r="H72" s="147"/>
      <c r="I72" s="7" t="s">
        <v>1</v>
      </c>
      <c r="J72" s="7" t="s">
        <v>60</v>
      </c>
      <c r="K72" s="147"/>
      <c r="L72" s="147"/>
      <c r="M72" s="147"/>
      <c r="N72" s="147"/>
      <c r="V72" t="str">
        <f>T73</f>
        <v>Governance</v>
      </c>
      <c r="W72" t="str">
        <f>T76</f>
        <v>Design</v>
      </c>
      <c r="X72" t="str">
        <f>T79</f>
        <v>Implementation</v>
      </c>
      <c r="Y72" t="str">
        <f>T82</f>
        <v>Verification</v>
      </c>
      <c r="Z72" t="str">
        <f>T85</f>
        <v>Operations</v>
      </c>
    </row>
    <row r="73" spans="1:26" ht="24.95" customHeight="1" x14ac:dyDescent="0.2">
      <c r="A73" s="66" t="str">
        <f>Interview!$B$16</f>
        <v>Governance</v>
      </c>
      <c r="B73" s="70" t="str">
        <f>Interview!$D$17</f>
        <v>Strategy &amp; Metrics</v>
      </c>
      <c r="C73" s="101">
        <f>Roadmap!U18</f>
        <v>0</v>
      </c>
      <c r="D73" s="101">
        <f>Roadmap!T18</f>
        <v>0</v>
      </c>
      <c r="E73" s="101">
        <f>Roadmap!T19</f>
        <v>0</v>
      </c>
      <c r="F73" s="101">
        <f>Roadmap!T20</f>
        <v>0</v>
      </c>
      <c r="G73" s="6">
        <f t="shared" ref="G73:G87" si="6">(((((IF((C73="0+"),0.5,0)+IF((C73=1),1,0))+IF((C73="1+"),1.5,0))+IF((C73=2),2,0))+IF((C73="2+"),2.5,0))+IF((C73=3),3,0))+IF((C73="3+"),3.5,0)</f>
        <v>0</v>
      </c>
      <c r="H73" s="3"/>
      <c r="I73" s="66" t="str">
        <f>A73</f>
        <v>Governance</v>
      </c>
      <c r="J73" s="101">
        <f>AVERAGE(C73:C75)</f>
        <v>0</v>
      </c>
      <c r="K73" s="147"/>
      <c r="L73" s="147"/>
      <c r="M73" s="147"/>
      <c r="N73" s="147"/>
      <c r="T73" s="66" t="str">
        <f>Interview!$B$16</f>
        <v>Governance</v>
      </c>
      <c r="U73" s="70" t="str">
        <f>Interview!$D$17</f>
        <v>Strategy &amp; Metrics</v>
      </c>
      <c r="V73" s="101">
        <f>C73</f>
        <v>0</v>
      </c>
      <c r="W73" s="101">
        <v>0</v>
      </c>
      <c r="X73" s="101">
        <v>0</v>
      </c>
      <c r="Y73" s="101">
        <v>0</v>
      </c>
      <c r="Z73" s="101">
        <v>0</v>
      </c>
    </row>
    <row r="74" spans="1:26" ht="24.95" customHeight="1" x14ac:dyDescent="0.2">
      <c r="A74" s="66" t="str">
        <f>Interview!$B$16</f>
        <v>Governance</v>
      </c>
      <c r="B74" s="70" t="str">
        <f>Interview!$B$31</f>
        <v>Policy &amp; Compliance</v>
      </c>
      <c r="C74" s="101">
        <f>Roadmap!U27</f>
        <v>0</v>
      </c>
      <c r="D74" s="101">
        <f>Roadmap!T27</f>
        <v>0</v>
      </c>
      <c r="E74" s="101">
        <f>Roadmap!T28</f>
        <v>0</v>
      </c>
      <c r="F74" s="101">
        <f>Roadmap!T29</f>
        <v>0</v>
      </c>
      <c r="G74" s="6">
        <f t="shared" si="6"/>
        <v>0</v>
      </c>
      <c r="H74" s="3"/>
      <c r="I74" s="71" t="str">
        <f>A76</f>
        <v>Design</v>
      </c>
      <c r="J74" s="101">
        <f>AVERAGE(C76:C78)</f>
        <v>0</v>
      </c>
      <c r="K74" s="147"/>
      <c r="L74" s="147"/>
      <c r="M74" s="147"/>
      <c r="N74" s="147"/>
      <c r="T74" s="66" t="str">
        <f>Interview!$B$16</f>
        <v>Governance</v>
      </c>
      <c r="U74" s="70" t="str">
        <f>Interview!$B$31</f>
        <v>Policy &amp; Compliance</v>
      </c>
      <c r="V74" s="101">
        <f>C74</f>
        <v>0</v>
      </c>
      <c r="W74" s="101">
        <v>0</v>
      </c>
      <c r="X74" s="101">
        <v>0</v>
      </c>
      <c r="Y74" s="101">
        <v>0</v>
      </c>
      <c r="Z74" s="101">
        <v>0</v>
      </c>
    </row>
    <row r="75" spans="1:26" ht="24.95" customHeight="1" x14ac:dyDescent="0.2">
      <c r="A75" s="66" t="str">
        <f>Interview!$B$16</f>
        <v>Governance</v>
      </c>
      <c r="B75" s="70" t="str">
        <f>Interview!$B$45</f>
        <v>Education &amp; Guidance</v>
      </c>
      <c r="C75" s="101">
        <f>Roadmap!U36</f>
        <v>0</v>
      </c>
      <c r="D75" s="101">
        <f>Roadmap!T36</f>
        <v>0</v>
      </c>
      <c r="E75" s="101">
        <f>Roadmap!T37</f>
        <v>0</v>
      </c>
      <c r="F75" s="101">
        <f>Roadmap!T38</f>
        <v>0</v>
      </c>
      <c r="G75" s="6">
        <f t="shared" si="6"/>
        <v>0</v>
      </c>
      <c r="H75" s="3"/>
      <c r="I75" s="238" t="str">
        <f>A79</f>
        <v>Implementation</v>
      </c>
      <c r="J75" s="101">
        <f>AVERAGE(C79:C81)</f>
        <v>0</v>
      </c>
      <c r="K75" s="147"/>
      <c r="L75" s="147"/>
      <c r="M75" s="147"/>
      <c r="N75" s="147"/>
      <c r="T75" s="66" t="str">
        <f>Interview!$B$16</f>
        <v>Governance</v>
      </c>
      <c r="U75" s="70" t="str">
        <f>Interview!$B$45</f>
        <v>Education &amp; Guidance</v>
      </c>
      <c r="V75" s="101">
        <f>C75</f>
        <v>0</v>
      </c>
      <c r="W75" s="101">
        <v>0</v>
      </c>
      <c r="X75" s="101">
        <v>0</v>
      </c>
      <c r="Y75" s="101">
        <v>0</v>
      </c>
      <c r="Z75" s="101">
        <v>0</v>
      </c>
    </row>
    <row r="76" spans="1:26" ht="24.95" customHeight="1" x14ac:dyDescent="0.2">
      <c r="A76" s="71" t="str">
        <f>Interview!$B$59</f>
        <v>Design</v>
      </c>
      <c r="B76" s="75" t="str">
        <f>Interview!$B$60</f>
        <v>Threat Assessment</v>
      </c>
      <c r="C76" s="101">
        <f>Roadmap!U46</f>
        <v>0</v>
      </c>
      <c r="D76" s="101">
        <f>Roadmap!T46</f>
        <v>0</v>
      </c>
      <c r="E76" s="101">
        <f>Roadmap!T47</f>
        <v>0</v>
      </c>
      <c r="F76" s="101">
        <f>Roadmap!T48</f>
        <v>0</v>
      </c>
      <c r="G76" s="6">
        <f t="shared" si="6"/>
        <v>0</v>
      </c>
      <c r="H76" s="3"/>
      <c r="I76" s="76" t="str">
        <f>A82</f>
        <v>Verification</v>
      </c>
      <c r="J76" s="101">
        <f>AVERAGE(C82:C84)</f>
        <v>0</v>
      </c>
      <c r="K76" s="147"/>
      <c r="L76" s="147"/>
      <c r="M76" s="147"/>
      <c r="N76" s="147"/>
      <c r="T76" s="71" t="str">
        <f>Interview!$B$59</f>
        <v>Design</v>
      </c>
      <c r="U76" s="75" t="str">
        <f>Interview!$B$60</f>
        <v>Threat Assessment</v>
      </c>
      <c r="V76" s="101">
        <v>0</v>
      </c>
      <c r="W76" s="101">
        <f>C76</f>
        <v>0</v>
      </c>
      <c r="X76" s="101">
        <v>0</v>
      </c>
      <c r="Y76" s="101">
        <v>0</v>
      </c>
      <c r="Z76" s="101">
        <v>0</v>
      </c>
    </row>
    <row r="77" spans="1:26" ht="24.95" customHeight="1" x14ac:dyDescent="0.2">
      <c r="A77" s="71" t="str">
        <f>Interview!$B$59</f>
        <v>Design</v>
      </c>
      <c r="B77" s="75" t="str">
        <f>Interview!$B$74</f>
        <v>Security Requirements</v>
      </c>
      <c r="C77" s="101">
        <f>Roadmap!U55</f>
        <v>0</v>
      </c>
      <c r="D77" s="101">
        <f>Roadmap!T55</f>
        <v>0</v>
      </c>
      <c r="E77" s="101">
        <f>Roadmap!T56</f>
        <v>0</v>
      </c>
      <c r="F77" s="101">
        <f>Roadmap!T57</f>
        <v>0</v>
      </c>
      <c r="G77" s="6">
        <f t="shared" si="6"/>
        <v>0</v>
      </c>
      <c r="H77" s="3"/>
      <c r="I77" s="81" t="str">
        <f>A85</f>
        <v>Operations</v>
      </c>
      <c r="J77" s="101">
        <f>AVERAGE(C85:C87)</f>
        <v>0</v>
      </c>
      <c r="K77" s="147"/>
      <c r="L77" s="147"/>
      <c r="M77" s="147"/>
      <c r="N77" s="147"/>
      <c r="T77" s="71" t="str">
        <f>Interview!$B$59</f>
        <v>Design</v>
      </c>
      <c r="U77" s="75" t="str">
        <f>Interview!$B$74</f>
        <v>Security Requirements</v>
      </c>
      <c r="V77" s="101">
        <v>0</v>
      </c>
      <c r="W77" s="101">
        <f>C77</f>
        <v>0</v>
      </c>
      <c r="X77" s="101">
        <v>0</v>
      </c>
      <c r="Y77" s="101">
        <v>0</v>
      </c>
      <c r="Z77" s="101">
        <v>0</v>
      </c>
    </row>
    <row r="78" spans="1:26" ht="24.95" customHeight="1" x14ac:dyDescent="0.2">
      <c r="A78" s="71" t="str">
        <f>Interview!$B$59</f>
        <v>Design</v>
      </c>
      <c r="B78" s="75" t="str">
        <f>Interview!$B$88</f>
        <v>Secure Architecture</v>
      </c>
      <c r="C78" s="101">
        <f>Roadmap!U64</f>
        <v>0</v>
      </c>
      <c r="D78" s="101">
        <f>Roadmap!T64</f>
        <v>0</v>
      </c>
      <c r="E78" s="101">
        <f>Roadmap!T65</f>
        <v>0</v>
      </c>
      <c r="F78" s="101">
        <f>Roadmap!T66</f>
        <v>0</v>
      </c>
      <c r="G78" s="6">
        <f t="shared" si="6"/>
        <v>0</v>
      </c>
      <c r="H78" s="3"/>
      <c r="I78" s="147"/>
      <c r="J78" s="147"/>
      <c r="K78" s="147"/>
      <c r="L78" s="147"/>
      <c r="M78" s="147"/>
      <c r="N78" s="147"/>
      <c r="T78" s="71" t="str">
        <f>Interview!$B$59</f>
        <v>Design</v>
      </c>
      <c r="U78" s="75" t="str">
        <f>Interview!$B$88</f>
        <v>Secure Architecture</v>
      </c>
      <c r="V78" s="101">
        <v>0</v>
      </c>
      <c r="W78" s="101">
        <f>C78</f>
        <v>0</v>
      </c>
      <c r="X78" s="101">
        <v>0</v>
      </c>
      <c r="Y78" s="101">
        <v>0</v>
      </c>
      <c r="Z78" s="101">
        <v>0</v>
      </c>
    </row>
    <row r="79" spans="1:26" ht="24.95" customHeight="1" x14ac:dyDescent="0.2">
      <c r="A79" s="238" t="str">
        <f>Interview!$B$102</f>
        <v>Implementation</v>
      </c>
      <c r="B79" s="237" t="str">
        <f>Interview!$B$103</f>
        <v>Secure Build</v>
      </c>
      <c r="C79" s="101">
        <f>Roadmap!U74</f>
        <v>0</v>
      </c>
      <c r="D79" s="101">
        <f>Roadmap!T74</f>
        <v>0</v>
      </c>
      <c r="E79" s="101">
        <f>Roadmap!T75</f>
        <v>0</v>
      </c>
      <c r="F79" s="101">
        <f>Roadmap!T76</f>
        <v>0</v>
      </c>
      <c r="G79" s="6"/>
      <c r="H79" s="3"/>
      <c r="I79" s="235"/>
      <c r="J79" s="235"/>
      <c r="K79" s="235"/>
      <c r="L79" s="235"/>
      <c r="M79" s="235"/>
      <c r="N79" s="235"/>
      <c r="T79" s="238" t="str">
        <f>Interview!$B$102</f>
        <v>Implementation</v>
      </c>
      <c r="U79" s="237" t="str">
        <f>Interview!$B$103</f>
        <v>Secure Build</v>
      </c>
      <c r="V79" s="101">
        <v>0</v>
      </c>
      <c r="W79" s="101">
        <v>0</v>
      </c>
      <c r="X79" s="101">
        <f>C79</f>
        <v>0</v>
      </c>
      <c r="Y79" s="101">
        <v>0</v>
      </c>
      <c r="Z79" s="101">
        <v>0</v>
      </c>
    </row>
    <row r="80" spans="1:26" ht="24.95" customHeight="1" x14ac:dyDescent="0.2">
      <c r="A80" s="238" t="str">
        <f>Interview!$B$102</f>
        <v>Implementation</v>
      </c>
      <c r="B80" s="237" t="str">
        <f>Interview!$B$117</f>
        <v>Secure Deployment</v>
      </c>
      <c r="C80" s="101">
        <f>Roadmap!U83</f>
        <v>0</v>
      </c>
      <c r="D80" s="101">
        <f>Roadmap!T83</f>
        <v>0</v>
      </c>
      <c r="E80" s="101">
        <f>Roadmap!T84</f>
        <v>0</v>
      </c>
      <c r="F80" s="101">
        <f>Roadmap!T85</f>
        <v>0</v>
      </c>
      <c r="G80" s="6"/>
      <c r="H80" s="3"/>
      <c r="I80" s="235"/>
      <c r="J80" s="235"/>
      <c r="K80" s="235"/>
      <c r="L80" s="235"/>
      <c r="M80" s="235"/>
      <c r="N80" s="235"/>
      <c r="T80" s="238" t="str">
        <f>Interview!$B$102</f>
        <v>Implementation</v>
      </c>
      <c r="U80" s="237" t="str">
        <f>Interview!$B$117</f>
        <v>Secure Deployment</v>
      </c>
      <c r="V80" s="101">
        <v>0</v>
      </c>
      <c r="W80" s="101">
        <v>0</v>
      </c>
      <c r="X80" s="101">
        <f>C80</f>
        <v>0</v>
      </c>
      <c r="Y80" s="101">
        <v>0</v>
      </c>
      <c r="Z80" s="101">
        <v>0</v>
      </c>
    </row>
    <row r="81" spans="1:26" ht="24.95" customHeight="1" x14ac:dyDescent="0.2">
      <c r="A81" s="238" t="str">
        <f>Interview!$B$102</f>
        <v>Implementation</v>
      </c>
      <c r="B81" s="237" t="str">
        <f>Interview!$B$131</f>
        <v>Defect Management</v>
      </c>
      <c r="C81" s="101">
        <f>Roadmap!U92</f>
        <v>0</v>
      </c>
      <c r="D81" s="101">
        <f>Roadmap!T92</f>
        <v>0</v>
      </c>
      <c r="E81" s="101">
        <f>Roadmap!T93</f>
        <v>0</v>
      </c>
      <c r="F81" s="101">
        <f>Roadmap!T94</f>
        <v>0</v>
      </c>
      <c r="G81" s="6"/>
      <c r="H81" s="3"/>
      <c r="I81" s="235"/>
      <c r="J81" s="235"/>
      <c r="K81" s="235"/>
      <c r="L81" s="235"/>
      <c r="M81" s="235"/>
      <c r="N81" s="235"/>
      <c r="T81" s="238" t="str">
        <f>Interview!$B$102</f>
        <v>Implementation</v>
      </c>
      <c r="U81" s="237" t="str">
        <f>Interview!$B$131</f>
        <v>Defect Management</v>
      </c>
      <c r="V81" s="101">
        <v>0</v>
      </c>
      <c r="W81" s="101">
        <v>0</v>
      </c>
      <c r="X81" s="101">
        <f>C81</f>
        <v>0</v>
      </c>
      <c r="Y81" s="101">
        <v>0</v>
      </c>
      <c r="Z81" s="101">
        <v>0</v>
      </c>
    </row>
    <row r="82" spans="1:26" ht="24.95" customHeight="1" x14ac:dyDescent="0.2">
      <c r="A82" s="76" t="str">
        <f>Interview!$B$145</f>
        <v>Verification</v>
      </c>
      <c r="B82" s="80" t="str">
        <f>Interview!$B$146</f>
        <v>Architecture Assessment</v>
      </c>
      <c r="C82" s="101">
        <f>Roadmap!U102</f>
        <v>0</v>
      </c>
      <c r="D82" s="101">
        <f>Roadmap!T102</f>
        <v>0</v>
      </c>
      <c r="E82" s="101">
        <f>Roadmap!T103</f>
        <v>0</v>
      </c>
      <c r="F82" s="101">
        <f>Roadmap!T104</f>
        <v>0</v>
      </c>
      <c r="G82" s="6">
        <f t="shared" si="6"/>
        <v>0</v>
      </c>
      <c r="H82" s="3"/>
      <c r="I82" s="147"/>
      <c r="J82" s="147"/>
      <c r="K82" s="147"/>
      <c r="L82" s="147"/>
      <c r="M82" s="147"/>
      <c r="N82" s="147"/>
      <c r="T82" s="76" t="str">
        <f>Interview!$B$145</f>
        <v>Verification</v>
      </c>
      <c r="U82" s="80" t="str">
        <f>Interview!$B$146</f>
        <v>Architecture Assessment</v>
      </c>
      <c r="V82" s="101">
        <v>0</v>
      </c>
      <c r="W82" s="101">
        <v>0</v>
      </c>
      <c r="X82" s="101">
        <v>0</v>
      </c>
      <c r="Y82" s="101">
        <f>C82</f>
        <v>0</v>
      </c>
      <c r="Z82" s="101">
        <v>0</v>
      </c>
    </row>
    <row r="83" spans="1:26" ht="24.95" customHeight="1" x14ac:dyDescent="0.2">
      <c r="A83" s="76" t="str">
        <f>Interview!$B$145</f>
        <v>Verification</v>
      </c>
      <c r="B83" s="80" t="str">
        <f>Interview!$B$160</f>
        <v>Requirements Driven Testing</v>
      </c>
      <c r="C83" s="101">
        <f>Roadmap!U111</f>
        <v>0</v>
      </c>
      <c r="D83" s="101">
        <f>Roadmap!T111</f>
        <v>0</v>
      </c>
      <c r="E83" s="101">
        <f>Roadmap!T112</f>
        <v>0</v>
      </c>
      <c r="F83" s="101">
        <f>Roadmap!T113</f>
        <v>0</v>
      </c>
      <c r="G83" s="6">
        <f t="shared" si="6"/>
        <v>0</v>
      </c>
      <c r="H83" s="3"/>
      <c r="I83" s="147"/>
      <c r="J83" s="147"/>
      <c r="K83" s="147"/>
      <c r="L83" s="147"/>
      <c r="M83" s="147"/>
      <c r="N83" s="147"/>
      <c r="T83" s="76" t="str">
        <f>Interview!$B$145</f>
        <v>Verification</v>
      </c>
      <c r="U83" s="80" t="str">
        <f>Interview!$B$160</f>
        <v>Requirements Driven Testing</v>
      </c>
      <c r="V83" s="101">
        <v>0</v>
      </c>
      <c r="W83" s="101">
        <v>0</v>
      </c>
      <c r="X83" s="101">
        <v>0</v>
      </c>
      <c r="Y83" s="101">
        <f>C83</f>
        <v>0</v>
      </c>
      <c r="Z83" s="101">
        <v>0</v>
      </c>
    </row>
    <row r="84" spans="1:26" ht="24.95" customHeight="1" x14ac:dyDescent="0.2">
      <c r="A84" s="76" t="str">
        <f>Interview!$B$145</f>
        <v>Verification</v>
      </c>
      <c r="B84" s="80" t="str">
        <f>Interview!$B$174</f>
        <v>Security Testing</v>
      </c>
      <c r="C84" s="101">
        <f>Roadmap!U120</f>
        <v>0</v>
      </c>
      <c r="D84" s="101">
        <f>Roadmap!T120</f>
        <v>0</v>
      </c>
      <c r="E84" s="101">
        <f>Roadmap!T121</f>
        <v>0</v>
      </c>
      <c r="F84" s="101">
        <f>Roadmap!T122</f>
        <v>0</v>
      </c>
      <c r="G84" s="6">
        <f t="shared" si="6"/>
        <v>0</v>
      </c>
      <c r="H84" s="3"/>
      <c r="I84" s="147"/>
      <c r="J84" s="147"/>
      <c r="K84" s="147"/>
      <c r="L84" s="147"/>
      <c r="M84" s="147"/>
      <c r="N84" s="147"/>
      <c r="T84" s="76" t="str">
        <f>Interview!$B$145</f>
        <v>Verification</v>
      </c>
      <c r="U84" s="80" t="str">
        <f>Interview!$B$174</f>
        <v>Security Testing</v>
      </c>
      <c r="V84" s="101">
        <v>0</v>
      </c>
      <c r="W84" s="101">
        <v>0</v>
      </c>
      <c r="X84" s="101">
        <v>0</v>
      </c>
      <c r="Y84" s="101">
        <f>C84</f>
        <v>0</v>
      </c>
      <c r="Z84" s="101">
        <v>0</v>
      </c>
    </row>
    <row r="85" spans="1:26" ht="24.95" customHeight="1" x14ac:dyDescent="0.2">
      <c r="A85" s="81" t="str">
        <f>Interview!$B$188</f>
        <v>Operations</v>
      </c>
      <c r="B85" s="85" t="str">
        <f>Interview!$B$189</f>
        <v>Incident Management</v>
      </c>
      <c r="C85" s="101">
        <f>Roadmap!U130</f>
        <v>0</v>
      </c>
      <c r="D85" s="101">
        <f>Roadmap!T130</f>
        <v>0</v>
      </c>
      <c r="E85" s="101">
        <f>Roadmap!T131</f>
        <v>0</v>
      </c>
      <c r="F85" s="101">
        <f>Roadmap!T132</f>
        <v>0</v>
      </c>
      <c r="G85" s="6">
        <f t="shared" si="6"/>
        <v>0</v>
      </c>
      <c r="H85" s="3"/>
      <c r="I85" s="147"/>
      <c r="J85" s="147"/>
      <c r="K85" s="147"/>
      <c r="L85" s="147"/>
      <c r="M85" s="147"/>
      <c r="N85" s="147"/>
      <c r="T85" s="81" t="str">
        <f>Interview!$B$188</f>
        <v>Operations</v>
      </c>
      <c r="U85" s="85" t="str">
        <f>Interview!$B$189</f>
        <v>Incident Management</v>
      </c>
      <c r="V85" s="101">
        <v>0</v>
      </c>
      <c r="W85" s="101">
        <v>0</v>
      </c>
      <c r="X85" s="101">
        <v>0</v>
      </c>
      <c r="Y85" s="101">
        <v>0</v>
      </c>
      <c r="Z85" s="101">
        <f>C85</f>
        <v>0</v>
      </c>
    </row>
    <row r="86" spans="1:26" ht="24.95" customHeight="1" x14ac:dyDescent="0.2">
      <c r="A86" s="81" t="str">
        <f>Interview!$B$188</f>
        <v>Operations</v>
      </c>
      <c r="B86" s="85" t="str">
        <f>Interview!$B$203</f>
        <v>Environment Management</v>
      </c>
      <c r="C86" s="101">
        <f>Roadmap!U139</f>
        <v>0</v>
      </c>
      <c r="D86" s="101">
        <f>Roadmap!T139</f>
        <v>0</v>
      </c>
      <c r="E86" s="101">
        <f>Roadmap!T140</f>
        <v>0</v>
      </c>
      <c r="F86" s="101">
        <f>Roadmap!T141</f>
        <v>0</v>
      </c>
      <c r="G86" s="6">
        <f t="shared" si="6"/>
        <v>0</v>
      </c>
      <c r="H86" s="3"/>
      <c r="I86" s="147"/>
      <c r="J86" s="147"/>
      <c r="K86" s="147"/>
      <c r="L86" s="147"/>
      <c r="M86" s="147"/>
      <c r="N86" s="147"/>
      <c r="T86" s="81" t="str">
        <f>Interview!$B$188</f>
        <v>Operations</v>
      </c>
      <c r="U86" s="85" t="str">
        <f>Interview!$B$203</f>
        <v>Environment Management</v>
      </c>
      <c r="V86" s="101">
        <v>0</v>
      </c>
      <c r="W86" s="101">
        <v>0</v>
      </c>
      <c r="X86" s="101">
        <v>0</v>
      </c>
      <c r="Y86" s="101">
        <v>0</v>
      </c>
      <c r="Z86" s="101">
        <f>C86</f>
        <v>0</v>
      </c>
    </row>
    <row r="87" spans="1:26" ht="24.95" customHeight="1" x14ac:dyDescent="0.2">
      <c r="A87" s="81" t="str">
        <f>Interview!$B$188</f>
        <v>Operations</v>
      </c>
      <c r="B87" s="85" t="str">
        <f>Interview!$B$217</f>
        <v>Operational Management</v>
      </c>
      <c r="C87" s="101">
        <f>Roadmap!U148</f>
        <v>0</v>
      </c>
      <c r="D87" s="101">
        <f>Roadmap!T148</f>
        <v>0</v>
      </c>
      <c r="E87" s="101">
        <f>Roadmap!T149</f>
        <v>0</v>
      </c>
      <c r="F87" s="101">
        <f>Roadmap!T150</f>
        <v>0</v>
      </c>
      <c r="G87" s="6">
        <f t="shared" si="6"/>
        <v>0</v>
      </c>
      <c r="H87" s="3"/>
      <c r="I87" s="147"/>
      <c r="J87" s="147"/>
      <c r="K87" s="147"/>
      <c r="L87" s="147"/>
      <c r="M87" s="147"/>
      <c r="N87" s="147"/>
      <c r="T87" s="81" t="str">
        <f>Interview!$B$188</f>
        <v>Operations</v>
      </c>
      <c r="U87" s="85" t="str">
        <f>Interview!$B$217</f>
        <v>Operational Management</v>
      </c>
      <c r="V87" s="101">
        <v>0</v>
      </c>
      <c r="W87" s="101">
        <v>0</v>
      </c>
      <c r="X87" s="101">
        <v>0</v>
      </c>
      <c r="Y87" s="101">
        <v>0</v>
      </c>
      <c r="Z87" s="101">
        <f>C87</f>
        <v>0</v>
      </c>
    </row>
    <row r="88" spans="1:26" ht="12.75" customHeight="1" x14ac:dyDescent="0.2">
      <c r="A88" s="147"/>
      <c r="B88" s="147"/>
      <c r="C88" s="147"/>
      <c r="D88" s="147"/>
      <c r="E88" s="147"/>
      <c r="F88" s="147"/>
      <c r="G88" s="147"/>
      <c r="H88" s="147"/>
      <c r="I88" s="147"/>
      <c r="J88" s="147"/>
      <c r="K88" s="147"/>
      <c r="L88" s="147"/>
      <c r="M88" s="147"/>
      <c r="N88" s="147"/>
    </row>
    <row r="89" spans="1:26" ht="12.75" customHeight="1" x14ac:dyDescent="0.2">
      <c r="A89" s="1"/>
      <c r="B89" s="1"/>
      <c r="C89" s="1"/>
      <c r="D89" s="1"/>
      <c r="E89" s="1"/>
      <c r="F89" s="1"/>
      <c r="G89" s="1"/>
      <c r="H89" s="1"/>
      <c r="I89" s="1"/>
      <c r="J89" s="1"/>
      <c r="K89" s="1"/>
      <c r="L89" s="1"/>
      <c r="M89" s="1"/>
      <c r="N89" s="1"/>
    </row>
    <row r="90" spans="1:26" ht="12.75" customHeight="1" thickBot="1" x14ac:dyDescent="0.25">
      <c r="K90" s="147"/>
    </row>
    <row r="91" spans="1:26" ht="24.95" customHeight="1" thickBot="1" x14ac:dyDescent="0.25">
      <c r="A91" s="428" t="s">
        <v>99</v>
      </c>
      <c r="B91" s="429"/>
      <c r="C91" s="429"/>
      <c r="D91" s="429"/>
      <c r="E91" s="429"/>
      <c r="F91" s="429"/>
      <c r="G91" s="429"/>
      <c r="H91" s="429"/>
      <c r="I91" s="429"/>
      <c r="J91" s="430"/>
      <c r="K91" s="147"/>
      <c r="L91" s="428" t="s">
        <v>99</v>
      </c>
      <c r="M91" s="429"/>
      <c r="N91" s="429"/>
      <c r="O91" s="429"/>
      <c r="P91" s="429"/>
      <c r="Q91" s="429"/>
      <c r="R91" s="430"/>
      <c r="T91" s="431" t="s">
        <v>99</v>
      </c>
      <c r="U91" s="432"/>
      <c r="V91" s="432"/>
      <c r="W91" s="432"/>
      <c r="X91" s="432"/>
      <c r="Y91" s="432"/>
      <c r="Z91" s="433"/>
    </row>
    <row r="92" spans="1:26" ht="12" customHeight="1" x14ac:dyDescent="0.2">
      <c r="A92" s="2"/>
      <c r="B92" s="2"/>
      <c r="C92" s="2"/>
      <c r="D92" s="425" t="s">
        <v>91</v>
      </c>
      <c r="E92" s="426"/>
      <c r="F92" s="427"/>
      <c r="G92" s="147"/>
      <c r="H92" s="147"/>
      <c r="I92" s="147"/>
      <c r="J92" s="147"/>
      <c r="K92" s="147"/>
      <c r="L92" s="147"/>
      <c r="M92" s="147"/>
      <c r="N92" s="147"/>
    </row>
    <row r="93" spans="1:26" ht="24.95" customHeight="1" x14ac:dyDescent="0.2">
      <c r="A93" s="7" t="s">
        <v>1</v>
      </c>
      <c r="B93" s="7" t="s">
        <v>2</v>
      </c>
      <c r="C93" s="7" t="s">
        <v>60</v>
      </c>
      <c r="D93" s="128">
        <v>1</v>
      </c>
      <c r="E93" s="128">
        <v>2</v>
      </c>
      <c r="F93" s="128">
        <v>3</v>
      </c>
      <c r="G93" s="8" t="s">
        <v>6</v>
      </c>
      <c r="H93" s="147"/>
      <c r="I93" s="7" t="s">
        <v>1</v>
      </c>
      <c r="J93" s="7" t="s">
        <v>60</v>
      </c>
      <c r="K93" s="147"/>
      <c r="L93" s="147"/>
      <c r="M93" s="147"/>
      <c r="N93" s="147"/>
      <c r="V93" t="str">
        <f>T94</f>
        <v>Governance</v>
      </c>
      <c r="W93" t="str">
        <f>T97</f>
        <v>Design</v>
      </c>
      <c r="X93" t="str">
        <f>T100</f>
        <v>Implementation</v>
      </c>
      <c r="Y93" t="str">
        <f>T103</f>
        <v>Verification</v>
      </c>
      <c r="Z93" t="str">
        <f>T106</f>
        <v>Operations</v>
      </c>
    </row>
    <row r="94" spans="1:26" ht="24.95" customHeight="1" x14ac:dyDescent="0.2">
      <c r="A94" s="66" t="str">
        <f>Interview!$B$16</f>
        <v>Governance</v>
      </c>
      <c r="B94" s="70" t="str">
        <f>Interview!$D$17</f>
        <v>Strategy &amp; Metrics</v>
      </c>
      <c r="C94" s="101">
        <f>Roadmap!Y18</f>
        <v>0</v>
      </c>
      <c r="D94" s="101">
        <f>Roadmap!X18</f>
        <v>0</v>
      </c>
      <c r="E94" s="101">
        <f>Roadmap!X19</f>
        <v>0</v>
      </c>
      <c r="F94" s="101">
        <f>Roadmap!X20</f>
        <v>0</v>
      </c>
      <c r="G94" s="6">
        <f t="shared" ref="G94:G108" si="7">(((((IF((C94="0+"),0.5,0)+IF((C94=1),1,0))+IF((C94="1+"),1.5,0))+IF((C94=2),2,0))+IF((C94="2+"),2.5,0))+IF((C94=3),3,0))+IF((C94="3+"),3.5,0)</f>
        <v>0</v>
      </c>
      <c r="H94" s="3"/>
      <c r="I94" s="66" t="str">
        <f>A94</f>
        <v>Governance</v>
      </c>
      <c r="J94" s="101">
        <f>AVERAGE(C94:C96)</f>
        <v>0</v>
      </c>
      <c r="K94" s="147"/>
      <c r="L94" s="147"/>
      <c r="M94" s="147"/>
      <c r="N94" s="147"/>
      <c r="T94" s="66" t="str">
        <f>Interview!$B$16</f>
        <v>Governance</v>
      </c>
      <c r="U94" s="70" t="str">
        <f>Interview!$D$17</f>
        <v>Strategy &amp; Metrics</v>
      </c>
      <c r="V94" s="101">
        <f>C94</f>
        <v>0</v>
      </c>
      <c r="W94" s="101">
        <v>0</v>
      </c>
      <c r="X94" s="101">
        <v>0</v>
      </c>
      <c r="Y94" s="101">
        <v>0</v>
      </c>
      <c r="Z94" s="101">
        <v>0</v>
      </c>
    </row>
    <row r="95" spans="1:26" ht="24.95" customHeight="1" x14ac:dyDescent="0.2">
      <c r="A95" s="66" t="str">
        <f>Interview!$B$16</f>
        <v>Governance</v>
      </c>
      <c r="B95" s="70" t="str">
        <f>Interview!$B$31</f>
        <v>Policy &amp; Compliance</v>
      </c>
      <c r="C95" s="101">
        <f>Roadmap!Y27</f>
        <v>0</v>
      </c>
      <c r="D95" s="101">
        <f>Roadmap!X27</f>
        <v>0</v>
      </c>
      <c r="E95" s="101">
        <f>Roadmap!X28</f>
        <v>0</v>
      </c>
      <c r="F95" s="101">
        <f>Roadmap!X29</f>
        <v>0</v>
      </c>
      <c r="G95" s="6">
        <f t="shared" si="7"/>
        <v>0</v>
      </c>
      <c r="H95" s="3"/>
      <c r="I95" s="71" t="str">
        <f>A97</f>
        <v>Design</v>
      </c>
      <c r="J95" s="101">
        <f>AVERAGE(C97:C99)</f>
        <v>0</v>
      </c>
      <c r="K95" s="147"/>
      <c r="L95" s="147"/>
      <c r="M95" s="147"/>
      <c r="N95" s="147"/>
      <c r="T95" s="66" t="str">
        <f>Interview!$B$16</f>
        <v>Governance</v>
      </c>
      <c r="U95" s="70" t="str">
        <f>Interview!$B$31</f>
        <v>Policy &amp; Compliance</v>
      </c>
      <c r="V95" s="101">
        <f>C95</f>
        <v>0</v>
      </c>
      <c r="W95" s="101">
        <v>0</v>
      </c>
      <c r="X95" s="101">
        <v>0</v>
      </c>
      <c r="Y95" s="101">
        <v>0</v>
      </c>
      <c r="Z95" s="101">
        <v>0</v>
      </c>
    </row>
    <row r="96" spans="1:26" ht="24.95" customHeight="1" x14ac:dyDescent="0.2">
      <c r="A96" s="66" t="str">
        <f>Interview!$B$16</f>
        <v>Governance</v>
      </c>
      <c r="B96" s="70" t="str">
        <f>Interview!$B$45</f>
        <v>Education &amp; Guidance</v>
      </c>
      <c r="C96" s="101">
        <f>Roadmap!Y36</f>
        <v>0</v>
      </c>
      <c r="D96" s="101">
        <f>Roadmap!X36</f>
        <v>0</v>
      </c>
      <c r="E96" s="101">
        <f>Roadmap!X37</f>
        <v>0</v>
      </c>
      <c r="F96" s="101">
        <f>Roadmap!X38</f>
        <v>0</v>
      </c>
      <c r="G96" s="6">
        <f t="shared" si="7"/>
        <v>0</v>
      </c>
      <c r="H96" s="3"/>
      <c r="I96" s="238" t="str">
        <f>A100</f>
        <v>Implementation</v>
      </c>
      <c r="J96" s="101">
        <f>AVERAGE(C100:C102)</f>
        <v>0</v>
      </c>
      <c r="K96" s="147"/>
      <c r="L96" s="147"/>
      <c r="M96" s="147"/>
      <c r="N96" s="147"/>
      <c r="T96" s="66" t="str">
        <f>Interview!$B$16</f>
        <v>Governance</v>
      </c>
      <c r="U96" s="70" t="str">
        <f>Interview!$B$45</f>
        <v>Education &amp; Guidance</v>
      </c>
      <c r="V96" s="101">
        <f>C96</f>
        <v>0</v>
      </c>
      <c r="W96" s="101">
        <v>0</v>
      </c>
      <c r="X96" s="101">
        <v>0</v>
      </c>
      <c r="Y96" s="101">
        <v>0</v>
      </c>
      <c r="Z96" s="101">
        <v>0</v>
      </c>
    </row>
    <row r="97" spans="1:26" ht="24.95" customHeight="1" x14ac:dyDescent="0.2">
      <c r="A97" s="71" t="str">
        <f>Interview!$B$59</f>
        <v>Design</v>
      </c>
      <c r="B97" s="75" t="str">
        <f>Interview!$B$60</f>
        <v>Threat Assessment</v>
      </c>
      <c r="C97" s="101">
        <f>Roadmap!Y46</f>
        <v>0</v>
      </c>
      <c r="D97" s="101">
        <f>Roadmap!X46</f>
        <v>0</v>
      </c>
      <c r="E97" s="101">
        <f>Roadmap!X47</f>
        <v>0</v>
      </c>
      <c r="F97" s="101">
        <f>Roadmap!X48</f>
        <v>0</v>
      </c>
      <c r="G97" s="6">
        <f t="shared" si="7"/>
        <v>0</v>
      </c>
      <c r="H97" s="3"/>
      <c r="I97" s="76" t="str">
        <f>A103</f>
        <v>Verification</v>
      </c>
      <c r="J97" s="101">
        <f>AVERAGE(C103:C105)</f>
        <v>0</v>
      </c>
      <c r="K97" s="147"/>
      <c r="L97" s="147"/>
      <c r="M97" s="147"/>
      <c r="N97" s="147"/>
      <c r="T97" s="71" t="str">
        <f>Interview!$B$59</f>
        <v>Design</v>
      </c>
      <c r="U97" s="75" t="str">
        <f>Interview!$B$60</f>
        <v>Threat Assessment</v>
      </c>
      <c r="V97" s="101">
        <v>0</v>
      </c>
      <c r="W97" s="101">
        <f>C97</f>
        <v>0</v>
      </c>
      <c r="X97" s="101">
        <v>0</v>
      </c>
      <c r="Y97" s="101">
        <v>0</v>
      </c>
      <c r="Z97" s="101">
        <v>0</v>
      </c>
    </row>
    <row r="98" spans="1:26" ht="24.95" customHeight="1" x14ac:dyDescent="0.2">
      <c r="A98" s="71" t="str">
        <f>Interview!$B$59</f>
        <v>Design</v>
      </c>
      <c r="B98" s="75" t="str">
        <f>Interview!$B$74</f>
        <v>Security Requirements</v>
      </c>
      <c r="C98" s="101">
        <f>Roadmap!Y55</f>
        <v>0</v>
      </c>
      <c r="D98" s="101">
        <f>Roadmap!X55</f>
        <v>0</v>
      </c>
      <c r="E98" s="101">
        <f>Roadmap!X56</f>
        <v>0</v>
      </c>
      <c r="F98" s="101">
        <f>Roadmap!X57</f>
        <v>0</v>
      </c>
      <c r="G98" s="6">
        <f t="shared" si="7"/>
        <v>0</v>
      </c>
      <c r="H98" s="3"/>
      <c r="I98" s="81" t="str">
        <f>A106</f>
        <v>Operations</v>
      </c>
      <c r="J98" s="101">
        <f>AVERAGE(C106:C108)</f>
        <v>0</v>
      </c>
      <c r="K98" s="147"/>
      <c r="L98" s="147"/>
      <c r="M98" s="147"/>
      <c r="N98" s="147"/>
      <c r="T98" s="71" t="str">
        <f>Interview!$B$59</f>
        <v>Design</v>
      </c>
      <c r="U98" s="75" t="str">
        <f>Interview!$B$74</f>
        <v>Security Requirements</v>
      </c>
      <c r="V98" s="101">
        <v>0</v>
      </c>
      <c r="W98" s="101">
        <f>C98</f>
        <v>0</v>
      </c>
      <c r="X98" s="101">
        <v>0</v>
      </c>
      <c r="Y98" s="101">
        <v>0</v>
      </c>
      <c r="Z98" s="101">
        <v>0</v>
      </c>
    </row>
    <row r="99" spans="1:26" ht="24.95" customHeight="1" x14ac:dyDescent="0.2">
      <c r="A99" s="71" t="str">
        <f>Interview!$B$59</f>
        <v>Design</v>
      </c>
      <c r="B99" s="75" t="str">
        <f>Interview!$B$88</f>
        <v>Secure Architecture</v>
      </c>
      <c r="C99" s="101">
        <f>Roadmap!Y64</f>
        <v>0</v>
      </c>
      <c r="D99" s="101">
        <f>Roadmap!X64</f>
        <v>0</v>
      </c>
      <c r="E99" s="101">
        <f>Roadmap!X65</f>
        <v>0</v>
      </c>
      <c r="F99" s="101">
        <f>Roadmap!X66</f>
        <v>0</v>
      </c>
      <c r="G99" s="6">
        <f t="shared" si="7"/>
        <v>0</v>
      </c>
      <c r="H99" s="3"/>
      <c r="I99" s="147"/>
      <c r="J99" s="147"/>
      <c r="K99" s="147"/>
      <c r="L99" s="147"/>
      <c r="M99" s="147"/>
      <c r="N99" s="147"/>
      <c r="T99" s="71" t="str">
        <f>Interview!$B$59</f>
        <v>Design</v>
      </c>
      <c r="U99" s="75" t="str">
        <f>Interview!$B$88</f>
        <v>Secure Architecture</v>
      </c>
      <c r="V99" s="101">
        <v>0</v>
      </c>
      <c r="W99" s="101">
        <f>C99</f>
        <v>0</v>
      </c>
      <c r="X99" s="101">
        <v>0</v>
      </c>
      <c r="Y99" s="101">
        <v>0</v>
      </c>
      <c r="Z99" s="101">
        <v>0</v>
      </c>
    </row>
    <row r="100" spans="1:26" ht="24.95" customHeight="1" x14ac:dyDescent="0.2">
      <c r="A100" s="238" t="str">
        <f>Interview!$B$102</f>
        <v>Implementation</v>
      </c>
      <c r="B100" s="237" t="str">
        <f>Interview!$B$103</f>
        <v>Secure Build</v>
      </c>
      <c r="C100" s="101">
        <f>Roadmap!Y74</f>
        <v>0</v>
      </c>
      <c r="D100" s="101">
        <f>Roadmap!X74</f>
        <v>0</v>
      </c>
      <c r="E100" s="101">
        <f>Roadmap!X75</f>
        <v>0</v>
      </c>
      <c r="F100" s="101">
        <f>Roadmap!X76</f>
        <v>0</v>
      </c>
      <c r="G100" s="6"/>
      <c r="H100" s="3"/>
      <c r="I100" s="235"/>
      <c r="J100" s="235"/>
      <c r="K100" s="235"/>
      <c r="L100" s="235"/>
      <c r="M100" s="235"/>
      <c r="N100" s="235"/>
      <c r="T100" s="238" t="str">
        <f>Interview!$B$102</f>
        <v>Implementation</v>
      </c>
      <c r="U100" s="237" t="str">
        <f>Interview!$B$103</f>
        <v>Secure Build</v>
      </c>
      <c r="V100" s="101">
        <v>0</v>
      </c>
      <c r="W100" s="101">
        <v>0</v>
      </c>
      <c r="X100" s="101">
        <f>C100</f>
        <v>0</v>
      </c>
      <c r="Y100" s="101">
        <v>0</v>
      </c>
      <c r="Z100" s="101">
        <v>0</v>
      </c>
    </row>
    <row r="101" spans="1:26" ht="24.95" customHeight="1" x14ac:dyDescent="0.2">
      <c r="A101" s="238" t="str">
        <f>Interview!$B$102</f>
        <v>Implementation</v>
      </c>
      <c r="B101" s="237" t="str">
        <f>Interview!$B$117</f>
        <v>Secure Deployment</v>
      </c>
      <c r="C101" s="101">
        <f>Roadmap!Y83</f>
        <v>0</v>
      </c>
      <c r="D101" s="101">
        <f>Roadmap!X83</f>
        <v>0</v>
      </c>
      <c r="E101" s="101">
        <f>Roadmap!X84</f>
        <v>0</v>
      </c>
      <c r="F101" s="101">
        <f>Roadmap!X85</f>
        <v>0</v>
      </c>
      <c r="G101" s="6"/>
      <c r="H101" s="3"/>
      <c r="I101" s="235"/>
      <c r="J101" s="235"/>
      <c r="K101" s="235"/>
      <c r="L101" s="235"/>
      <c r="M101" s="235"/>
      <c r="N101" s="235"/>
      <c r="T101" s="238" t="str">
        <f>Interview!$B$102</f>
        <v>Implementation</v>
      </c>
      <c r="U101" s="237" t="str">
        <f>Interview!$B$117</f>
        <v>Secure Deployment</v>
      </c>
      <c r="V101" s="101">
        <v>0</v>
      </c>
      <c r="W101" s="101">
        <v>0</v>
      </c>
      <c r="X101" s="101">
        <f>C101</f>
        <v>0</v>
      </c>
      <c r="Y101" s="101">
        <v>0</v>
      </c>
      <c r="Z101" s="101">
        <v>0</v>
      </c>
    </row>
    <row r="102" spans="1:26" ht="24.95" customHeight="1" x14ac:dyDescent="0.2">
      <c r="A102" s="238" t="str">
        <f>Interview!$B$102</f>
        <v>Implementation</v>
      </c>
      <c r="B102" s="237" t="str">
        <f>Interview!$B$131</f>
        <v>Defect Management</v>
      </c>
      <c r="C102" s="101">
        <f>Roadmap!Y92</f>
        <v>0</v>
      </c>
      <c r="D102" s="101">
        <f>Roadmap!X92</f>
        <v>0</v>
      </c>
      <c r="E102" s="101">
        <f>Roadmap!X93</f>
        <v>0</v>
      </c>
      <c r="F102" s="101">
        <f>Roadmap!X94</f>
        <v>0</v>
      </c>
      <c r="G102" s="6"/>
      <c r="H102" s="3"/>
      <c r="I102" s="235"/>
      <c r="J102" s="235"/>
      <c r="K102" s="235"/>
      <c r="L102" s="235"/>
      <c r="M102" s="235"/>
      <c r="N102" s="235"/>
      <c r="T102" s="238" t="str">
        <f>Interview!$B$102</f>
        <v>Implementation</v>
      </c>
      <c r="U102" s="237" t="str">
        <f>Interview!$B$131</f>
        <v>Defect Management</v>
      </c>
      <c r="V102" s="101">
        <v>0</v>
      </c>
      <c r="W102" s="101">
        <v>0</v>
      </c>
      <c r="X102" s="101">
        <f>C102</f>
        <v>0</v>
      </c>
      <c r="Y102" s="101">
        <v>0</v>
      </c>
      <c r="Z102" s="101">
        <v>0</v>
      </c>
    </row>
    <row r="103" spans="1:26" ht="24.95" customHeight="1" x14ac:dyDescent="0.2">
      <c r="A103" s="76" t="str">
        <f>Interview!$B$145</f>
        <v>Verification</v>
      </c>
      <c r="B103" s="80" t="str">
        <f>Interview!$B$146</f>
        <v>Architecture Assessment</v>
      </c>
      <c r="C103" s="101">
        <f>Roadmap!Y102</f>
        <v>0</v>
      </c>
      <c r="D103" s="101">
        <f>Roadmap!X102</f>
        <v>0</v>
      </c>
      <c r="E103" s="101">
        <f>Roadmap!X103</f>
        <v>0</v>
      </c>
      <c r="F103" s="101">
        <f>Roadmap!X104</f>
        <v>0</v>
      </c>
      <c r="G103" s="6">
        <f t="shared" si="7"/>
        <v>0</v>
      </c>
      <c r="H103" s="3"/>
      <c r="I103" s="147"/>
      <c r="J103" s="147"/>
      <c r="K103" s="147"/>
      <c r="L103" s="147"/>
      <c r="M103" s="147"/>
      <c r="N103" s="147"/>
      <c r="T103" s="76" t="str">
        <f>Interview!$B$145</f>
        <v>Verification</v>
      </c>
      <c r="U103" s="80" t="str">
        <f>Interview!$B$146</f>
        <v>Architecture Assessment</v>
      </c>
      <c r="V103" s="101">
        <v>0</v>
      </c>
      <c r="W103" s="101">
        <v>0</v>
      </c>
      <c r="X103" s="101">
        <v>0</v>
      </c>
      <c r="Y103" s="101">
        <f>C103</f>
        <v>0</v>
      </c>
      <c r="Z103" s="101">
        <v>0</v>
      </c>
    </row>
    <row r="104" spans="1:26" ht="24.95" customHeight="1" x14ac:dyDescent="0.2">
      <c r="A104" s="76" t="str">
        <f>Interview!$B$145</f>
        <v>Verification</v>
      </c>
      <c r="B104" s="80" t="str">
        <f>Interview!$B$160</f>
        <v>Requirements Driven Testing</v>
      </c>
      <c r="C104" s="101">
        <f>Roadmap!Y111</f>
        <v>0</v>
      </c>
      <c r="D104" s="101">
        <f>Roadmap!X111</f>
        <v>0</v>
      </c>
      <c r="E104" s="101">
        <f>Roadmap!X112</f>
        <v>0</v>
      </c>
      <c r="F104" s="101">
        <f>Roadmap!X113</f>
        <v>0</v>
      </c>
      <c r="G104" s="6">
        <f t="shared" si="7"/>
        <v>0</v>
      </c>
      <c r="H104" s="3"/>
      <c r="I104" s="147"/>
      <c r="J104" s="147"/>
      <c r="K104" s="147"/>
      <c r="L104" s="147"/>
      <c r="M104" s="147"/>
      <c r="N104" s="147"/>
      <c r="T104" s="76" t="str">
        <f>Interview!$B$145</f>
        <v>Verification</v>
      </c>
      <c r="U104" s="80" t="str">
        <f>Interview!$B$160</f>
        <v>Requirements Driven Testing</v>
      </c>
      <c r="V104" s="101">
        <v>0</v>
      </c>
      <c r="W104" s="101">
        <v>0</v>
      </c>
      <c r="X104" s="101">
        <v>0</v>
      </c>
      <c r="Y104" s="101">
        <f>C104</f>
        <v>0</v>
      </c>
      <c r="Z104" s="101">
        <v>0</v>
      </c>
    </row>
    <row r="105" spans="1:26" ht="24.95" customHeight="1" x14ac:dyDescent="0.2">
      <c r="A105" s="76" t="str">
        <f>Interview!$B$145</f>
        <v>Verification</v>
      </c>
      <c r="B105" s="80" t="str">
        <f>Interview!$B$174</f>
        <v>Security Testing</v>
      </c>
      <c r="C105" s="101">
        <f>Roadmap!Y120</f>
        <v>0</v>
      </c>
      <c r="D105" s="101">
        <f>Roadmap!X120</f>
        <v>0</v>
      </c>
      <c r="E105" s="101">
        <f>Roadmap!X121</f>
        <v>0</v>
      </c>
      <c r="F105" s="101">
        <f>Roadmap!X122</f>
        <v>0</v>
      </c>
      <c r="G105" s="6">
        <f t="shared" si="7"/>
        <v>0</v>
      </c>
      <c r="H105" s="3"/>
      <c r="I105" s="147"/>
      <c r="J105" s="147"/>
      <c r="K105" s="147"/>
      <c r="L105" s="147"/>
      <c r="M105" s="147"/>
      <c r="N105" s="147"/>
      <c r="T105" s="76" t="str">
        <f>Interview!$B$145</f>
        <v>Verification</v>
      </c>
      <c r="U105" s="80" t="str">
        <f>Interview!$B$174</f>
        <v>Security Testing</v>
      </c>
      <c r="V105" s="101">
        <v>0</v>
      </c>
      <c r="W105" s="101">
        <v>0</v>
      </c>
      <c r="X105" s="101">
        <v>0</v>
      </c>
      <c r="Y105" s="101">
        <f>C105</f>
        <v>0</v>
      </c>
      <c r="Z105" s="101">
        <v>0</v>
      </c>
    </row>
    <row r="106" spans="1:26" ht="24.95" customHeight="1" x14ac:dyDescent="0.2">
      <c r="A106" s="81" t="str">
        <f>Interview!$B$188</f>
        <v>Operations</v>
      </c>
      <c r="B106" s="85" t="str">
        <f>Interview!$B$189</f>
        <v>Incident Management</v>
      </c>
      <c r="C106" s="101">
        <f>Roadmap!Y130</f>
        <v>0</v>
      </c>
      <c r="D106" s="101">
        <f>Roadmap!X130</f>
        <v>0</v>
      </c>
      <c r="E106" s="101">
        <f>Roadmap!X131</f>
        <v>0</v>
      </c>
      <c r="F106" s="101">
        <f>Roadmap!X132</f>
        <v>0</v>
      </c>
      <c r="G106" s="6">
        <f t="shared" si="7"/>
        <v>0</v>
      </c>
      <c r="H106" s="3"/>
      <c r="I106" s="147"/>
      <c r="J106" s="147"/>
      <c r="K106" s="147"/>
      <c r="L106" s="147"/>
      <c r="M106" s="147"/>
      <c r="N106" s="147"/>
      <c r="T106" s="81" t="str">
        <f>Interview!$B$188</f>
        <v>Operations</v>
      </c>
      <c r="U106" s="85" t="str">
        <f>Interview!$B$189</f>
        <v>Incident Management</v>
      </c>
      <c r="V106" s="101">
        <v>0</v>
      </c>
      <c r="W106" s="101">
        <v>0</v>
      </c>
      <c r="X106" s="101">
        <v>0</v>
      </c>
      <c r="Y106" s="101">
        <v>0</v>
      </c>
      <c r="Z106" s="101">
        <f>C106</f>
        <v>0</v>
      </c>
    </row>
    <row r="107" spans="1:26" ht="24.95" customHeight="1" x14ac:dyDescent="0.2">
      <c r="A107" s="81" t="str">
        <f>Interview!$B$188</f>
        <v>Operations</v>
      </c>
      <c r="B107" s="85" t="str">
        <f>Interview!$B$203</f>
        <v>Environment Management</v>
      </c>
      <c r="C107" s="101">
        <f>Roadmap!Y139</f>
        <v>0</v>
      </c>
      <c r="D107" s="101">
        <f>Roadmap!X139</f>
        <v>0</v>
      </c>
      <c r="E107" s="101">
        <f>Roadmap!X140</f>
        <v>0</v>
      </c>
      <c r="F107" s="101">
        <f>Roadmap!X141</f>
        <v>0</v>
      </c>
      <c r="G107" s="6">
        <f t="shared" si="7"/>
        <v>0</v>
      </c>
      <c r="H107" s="3"/>
      <c r="I107" s="147"/>
      <c r="J107" s="147"/>
      <c r="K107" s="147"/>
      <c r="L107" s="147"/>
      <c r="M107" s="147"/>
      <c r="N107" s="147"/>
      <c r="T107" s="81" t="str">
        <f>Interview!$B$188</f>
        <v>Operations</v>
      </c>
      <c r="U107" s="85" t="str">
        <f>Interview!$B$203</f>
        <v>Environment Management</v>
      </c>
      <c r="V107" s="101">
        <v>0</v>
      </c>
      <c r="W107" s="101">
        <v>0</v>
      </c>
      <c r="X107" s="101">
        <v>0</v>
      </c>
      <c r="Y107" s="101">
        <v>0</v>
      </c>
      <c r="Z107" s="101">
        <f>C107</f>
        <v>0</v>
      </c>
    </row>
    <row r="108" spans="1:26" ht="24.95" customHeight="1" x14ac:dyDescent="0.2">
      <c r="A108" s="81" t="str">
        <f>Interview!$B$188</f>
        <v>Operations</v>
      </c>
      <c r="B108" s="85" t="str">
        <f>Interview!$B$217</f>
        <v>Operational Management</v>
      </c>
      <c r="C108" s="101">
        <f>Roadmap!Y148</f>
        <v>0</v>
      </c>
      <c r="D108" s="101">
        <f>Roadmap!X148</f>
        <v>0</v>
      </c>
      <c r="E108" s="101">
        <f>Roadmap!X149</f>
        <v>0</v>
      </c>
      <c r="F108" s="101">
        <f>Roadmap!X150</f>
        <v>0</v>
      </c>
      <c r="G108" s="6">
        <f t="shared" si="7"/>
        <v>0</v>
      </c>
      <c r="H108" s="3"/>
      <c r="I108" s="147"/>
      <c r="J108" s="147"/>
      <c r="K108" s="147"/>
      <c r="L108" s="147"/>
      <c r="M108" s="147"/>
      <c r="N108" s="147"/>
      <c r="T108" s="81" t="str">
        <f>Interview!$B$188</f>
        <v>Operations</v>
      </c>
      <c r="U108" s="85" t="str">
        <f>Interview!$B$217</f>
        <v>Operational Management</v>
      </c>
      <c r="V108" s="101">
        <v>0</v>
      </c>
      <c r="W108" s="101">
        <v>0</v>
      </c>
      <c r="X108" s="101">
        <v>0</v>
      </c>
      <c r="Y108" s="101">
        <v>0</v>
      </c>
      <c r="Z108" s="101">
        <f>C108</f>
        <v>0</v>
      </c>
    </row>
    <row r="109" spans="1:26" ht="12.75" customHeight="1" x14ac:dyDescent="0.2">
      <c r="A109" s="147"/>
      <c r="B109" s="147"/>
      <c r="C109" s="147"/>
      <c r="D109" s="147"/>
      <c r="E109" s="147"/>
      <c r="F109" s="147"/>
      <c r="G109" s="147"/>
      <c r="H109" s="147"/>
      <c r="I109" s="147"/>
      <c r="J109" s="147"/>
      <c r="K109" s="147"/>
      <c r="L109" s="147"/>
      <c r="M109" s="147"/>
      <c r="N109" s="147"/>
    </row>
    <row r="110" spans="1:26" ht="12.75" customHeight="1" x14ac:dyDescent="0.2">
      <c r="A110" s="1"/>
      <c r="B110" s="1"/>
      <c r="C110" s="1"/>
      <c r="D110" s="1"/>
      <c r="E110" s="1"/>
      <c r="F110" s="1"/>
      <c r="G110" s="1"/>
      <c r="H110" s="1"/>
      <c r="I110" s="1"/>
      <c r="J110" s="1"/>
      <c r="K110" s="1"/>
      <c r="L110" s="1"/>
      <c r="M110" s="1"/>
      <c r="N110" s="1"/>
    </row>
    <row r="111" spans="1:26" ht="12.75" customHeight="1" x14ac:dyDescent="0.2">
      <c r="A111" s="1"/>
      <c r="B111" s="1"/>
      <c r="C111" s="1"/>
      <c r="D111" s="1"/>
      <c r="E111" s="1"/>
      <c r="F111" s="1"/>
      <c r="G111" s="1"/>
      <c r="H111" s="1"/>
      <c r="I111" s="1"/>
      <c r="J111" s="1"/>
      <c r="K111" s="1"/>
      <c r="L111" s="1"/>
      <c r="M111" s="1"/>
      <c r="N111" s="1"/>
    </row>
    <row r="112" spans="1:26" ht="12.75" customHeight="1" x14ac:dyDescent="0.2">
      <c r="A112" s="1"/>
      <c r="B112" s="1"/>
      <c r="C112" s="1"/>
      <c r="D112" s="1"/>
      <c r="E112" s="1"/>
      <c r="F112" s="1"/>
      <c r="G112" s="1"/>
      <c r="H112" s="1"/>
      <c r="I112" s="1"/>
      <c r="J112" s="1"/>
      <c r="K112" s="1"/>
      <c r="L112" s="1"/>
      <c r="M112" s="1"/>
      <c r="N112" s="1"/>
    </row>
    <row r="113" spans="1:14" ht="12.75" customHeight="1" x14ac:dyDescent="0.2">
      <c r="A113" s="1"/>
      <c r="B113" s="1"/>
      <c r="C113" s="1"/>
      <c r="D113" s="1"/>
      <c r="E113" s="1"/>
      <c r="F113" s="1"/>
      <c r="G113" s="1"/>
      <c r="H113" s="1"/>
      <c r="I113" s="1"/>
      <c r="J113" s="1"/>
      <c r="K113" s="1"/>
      <c r="L113" s="1"/>
      <c r="M113" s="1"/>
      <c r="N113" s="1"/>
    </row>
    <row r="114" spans="1:14" ht="12.75" customHeight="1" x14ac:dyDescent="0.2">
      <c r="A114" s="1"/>
      <c r="B114" s="1"/>
      <c r="C114" s="1"/>
      <c r="D114" s="1"/>
      <c r="E114" s="1"/>
      <c r="F114" s="1"/>
      <c r="G114" s="1"/>
      <c r="H114" s="1"/>
      <c r="I114" s="1"/>
      <c r="J114" s="1"/>
      <c r="K114" s="1"/>
      <c r="L114" s="1"/>
      <c r="M114" s="1"/>
      <c r="N114" s="1"/>
    </row>
    <row r="115" spans="1:14" ht="12.75" customHeight="1" x14ac:dyDescent="0.2">
      <c r="A115" s="1"/>
      <c r="B115" s="1"/>
      <c r="C115" s="1"/>
      <c r="D115" s="1"/>
      <c r="E115" s="1"/>
      <c r="F115" s="1"/>
      <c r="G115" s="1"/>
      <c r="H115" s="1"/>
      <c r="I115" s="1"/>
      <c r="J115" s="1"/>
      <c r="K115" s="1"/>
      <c r="L115" s="1"/>
      <c r="M115" s="1"/>
      <c r="N115" s="1"/>
    </row>
    <row r="116" spans="1:14" ht="12.75" customHeight="1" x14ac:dyDescent="0.2">
      <c r="A116" s="1"/>
      <c r="B116" s="1"/>
      <c r="C116" s="1"/>
      <c r="D116" s="1"/>
      <c r="E116" s="1"/>
      <c r="F116" s="1"/>
      <c r="G116" s="1"/>
      <c r="H116" s="1"/>
      <c r="I116" s="1"/>
      <c r="J116" s="1"/>
      <c r="K116" s="1"/>
      <c r="L116" s="1"/>
      <c r="M116" s="1"/>
      <c r="N116" s="1"/>
    </row>
    <row r="117" spans="1:14" ht="12.75" customHeight="1" x14ac:dyDescent="0.2">
      <c r="A117" s="1"/>
      <c r="B117" s="1"/>
      <c r="C117" s="1"/>
      <c r="D117" s="1"/>
      <c r="E117" s="1"/>
      <c r="F117" s="1"/>
      <c r="G117" s="1"/>
      <c r="H117" s="1"/>
      <c r="I117" s="1"/>
      <c r="J117" s="1"/>
      <c r="K117" s="1"/>
      <c r="L117" s="1"/>
      <c r="M117" s="1"/>
      <c r="N117" s="1"/>
    </row>
    <row r="118" spans="1:14" ht="12.75" customHeight="1" x14ac:dyDescent="0.2">
      <c r="A118" s="1"/>
      <c r="B118" s="1"/>
      <c r="C118" s="1"/>
      <c r="D118" s="1"/>
      <c r="E118" s="1"/>
      <c r="F118" s="1"/>
      <c r="G118" s="1"/>
      <c r="H118" s="1"/>
      <c r="I118" s="1"/>
      <c r="J118" s="1"/>
      <c r="K118" s="1"/>
      <c r="L118" s="1"/>
      <c r="M118" s="1"/>
      <c r="N118" s="1"/>
    </row>
    <row r="119" spans="1:14" ht="12.75" customHeight="1" x14ac:dyDescent="0.2">
      <c r="A119" s="1"/>
      <c r="B119" s="1"/>
      <c r="C119" s="1"/>
      <c r="D119" s="1"/>
      <c r="E119" s="1"/>
      <c r="F119" s="1"/>
      <c r="G119" s="1"/>
      <c r="H119" s="1"/>
      <c r="I119" s="1"/>
      <c r="J119" s="1"/>
      <c r="K119" s="1"/>
      <c r="L119" s="1"/>
      <c r="M119" s="1"/>
      <c r="N119" s="1"/>
    </row>
    <row r="120" spans="1:14" ht="12.75" customHeight="1" x14ac:dyDescent="0.2">
      <c r="A120" s="1"/>
      <c r="B120" s="1"/>
      <c r="C120" s="1"/>
      <c r="D120" s="1"/>
      <c r="E120" s="1"/>
      <c r="F120" s="1"/>
      <c r="G120" s="1"/>
      <c r="H120" s="1"/>
      <c r="I120" s="1"/>
      <c r="J120" s="1"/>
      <c r="K120" s="1"/>
      <c r="L120" s="1"/>
      <c r="M120" s="1"/>
      <c r="N120" s="1"/>
    </row>
    <row r="121" spans="1:14" ht="12.75" customHeight="1" x14ac:dyDescent="0.2">
      <c r="A121" s="1"/>
      <c r="B121" s="1"/>
      <c r="C121" s="1"/>
      <c r="D121" s="1"/>
      <c r="E121" s="1"/>
      <c r="F121" s="1"/>
      <c r="G121" s="1"/>
      <c r="H121" s="1"/>
      <c r="I121" s="1"/>
      <c r="J121" s="1"/>
      <c r="K121" s="1"/>
      <c r="L121" s="1"/>
      <c r="M121" s="1"/>
      <c r="N121" s="1"/>
    </row>
    <row r="122" spans="1:14" ht="12.75" customHeight="1" x14ac:dyDescent="0.2">
      <c r="A122" s="1"/>
      <c r="B122" s="1"/>
      <c r="C122" s="1"/>
      <c r="D122" s="1"/>
      <c r="E122" s="1"/>
      <c r="F122" s="1"/>
      <c r="G122" s="1"/>
      <c r="H122" s="1"/>
      <c r="I122" s="1"/>
      <c r="J122" s="1"/>
      <c r="K122" s="1"/>
      <c r="L122" s="1"/>
      <c r="M122" s="1"/>
      <c r="N122" s="1"/>
    </row>
    <row r="123" spans="1:14" ht="12.75" customHeight="1" x14ac:dyDescent="0.2">
      <c r="A123" s="1"/>
      <c r="B123" s="1"/>
      <c r="C123" s="1"/>
      <c r="D123" s="1"/>
      <c r="E123" s="1"/>
      <c r="F123" s="1"/>
      <c r="G123" s="1"/>
      <c r="H123" s="1"/>
      <c r="I123" s="1"/>
      <c r="J123" s="1"/>
      <c r="K123" s="1"/>
      <c r="L123" s="1"/>
      <c r="M123" s="1"/>
      <c r="N123" s="1"/>
    </row>
    <row r="124" spans="1:14" ht="12.75" customHeight="1" x14ac:dyDescent="0.2">
      <c r="A124" s="1"/>
      <c r="B124" s="1"/>
      <c r="C124" s="1"/>
      <c r="D124" s="1"/>
      <c r="E124" s="1"/>
      <c r="F124" s="1"/>
      <c r="G124" s="1"/>
      <c r="H124" s="1"/>
      <c r="I124" s="1"/>
      <c r="J124" s="1"/>
      <c r="K124" s="1"/>
      <c r="L124" s="1"/>
      <c r="M124" s="1"/>
      <c r="N124" s="1"/>
    </row>
    <row r="125" spans="1:14" ht="12.75" customHeight="1" x14ac:dyDescent="0.2">
      <c r="A125" s="1"/>
      <c r="B125" s="1"/>
      <c r="C125" s="1"/>
      <c r="D125" s="1"/>
      <c r="E125" s="1"/>
      <c r="F125" s="1"/>
      <c r="G125" s="1"/>
      <c r="H125" s="1"/>
      <c r="I125" s="1"/>
      <c r="J125" s="1"/>
      <c r="K125" s="1"/>
      <c r="L125" s="1"/>
      <c r="M125" s="1"/>
      <c r="N125" s="1"/>
    </row>
    <row r="126" spans="1:14" ht="12.75" customHeight="1" x14ac:dyDescent="0.2">
      <c r="A126" s="1"/>
      <c r="B126" s="1"/>
      <c r="C126" s="1"/>
      <c r="D126" s="1"/>
      <c r="E126" s="1"/>
      <c r="F126" s="1"/>
      <c r="G126" s="1"/>
      <c r="H126" s="1"/>
      <c r="I126" s="1"/>
      <c r="J126" s="1"/>
      <c r="K126" s="1"/>
      <c r="L126" s="1"/>
      <c r="M126" s="1"/>
      <c r="N126" s="1"/>
    </row>
    <row r="127" spans="1:14" ht="12.75" customHeight="1" x14ac:dyDescent="0.2">
      <c r="A127" s="1"/>
      <c r="B127" s="1"/>
      <c r="C127" s="1"/>
      <c r="D127" s="1"/>
      <c r="E127" s="1"/>
      <c r="F127" s="1"/>
      <c r="G127" s="1"/>
      <c r="H127" s="1"/>
      <c r="I127" s="1"/>
      <c r="J127" s="1"/>
      <c r="K127" s="1"/>
      <c r="L127" s="1"/>
      <c r="M127" s="1"/>
      <c r="N127" s="1"/>
    </row>
    <row r="128" spans="1:14" ht="12.75" customHeight="1" x14ac:dyDescent="0.2">
      <c r="A128" s="1"/>
      <c r="B128" s="1"/>
      <c r="C128" s="1"/>
      <c r="D128" s="1"/>
      <c r="E128" s="1"/>
      <c r="F128" s="1"/>
      <c r="G128" s="1"/>
      <c r="H128" s="1"/>
      <c r="I128" s="1"/>
      <c r="J128" s="1"/>
      <c r="K128" s="1"/>
      <c r="L128" s="1"/>
      <c r="M128" s="1"/>
      <c r="N128" s="1"/>
    </row>
    <row r="129" spans="1:14" ht="12.75" customHeight="1" x14ac:dyDescent="0.2">
      <c r="A129" s="1"/>
      <c r="B129" s="1"/>
      <c r="C129" s="1"/>
      <c r="D129" s="1"/>
      <c r="E129" s="1"/>
      <c r="F129" s="1"/>
      <c r="G129" s="1"/>
      <c r="H129" s="1"/>
      <c r="I129" s="1"/>
      <c r="J129" s="1"/>
      <c r="K129" s="1"/>
      <c r="L129" s="1"/>
      <c r="M129" s="1"/>
      <c r="N129" s="1"/>
    </row>
    <row r="130" spans="1:14" ht="12.75" customHeight="1" x14ac:dyDescent="0.2">
      <c r="A130" s="1"/>
      <c r="B130" s="1"/>
      <c r="C130" s="1"/>
      <c r="D130" s="1"/>
      <c r="E130" s="1"/>
      <c r="F130" s="1"/>
      <c r="G130" s="1"/>
      <c r="H130" s="1"/>
      <c r="I130" s="1"/>
      <c r="J130" s="1"/>
      <c r="K130" s="1"/>
      <c r="L130" s="1"/>
      <c r="M130" s="1"/>
      <c r="N130" s="1"/>
    </row>
    <row r="131" spans="1:14" ht="12.75" customHeight="1" x14ac:dyDescent="0.2">
      <c r="A131" s="1"/>
      <c r="B131" s="1"/>
      <c r="C131" s="1"/>
      <c r="D131" s="1"/>
      <c r="E131" s="1"/>
      <c r="F131" s="1"/>
      <c r="G131" s="1"/>
      <c r="H131" s="1"/>
      <c r="I131" s="1"/>
      <c r="J131" s="1"/>
      <c r="K131" s="1"/>
      <c r="L131" s="1"/>
      <c r="M131" s="1"/>
      <c r="N131" s="1"/>
    </row>
    <row r="132" spans="1:14" ht="12.75" customHeight="1" x14ac:dyDescent="0.2">
      <c r="A132" s="1"/>
      <c r="B132" s="1"/>
      <c r="C132" s="1"/>
      <c r="D132" s="1"/>
      <c r="E132" s="1"/>
      <c r="F132" s="1"/>
      <c r="G132" s="1"/>
      <c r="H132" s="1"/>
      <c r="I132" s="1"/>
      <c r="J132" s="1"/>
      <c r="K132" s="1"/>
      <c r="L132" s="1"/>
      <c r="M132" s="1"/>
      <c r="N132" s="1"/>
    </row>
    <row r="133" spans="1:14" ht="12.75" customHeight="1" x14ac:dyDescent="0.2">
      <c r="A133" s="1"/>
      <c r="B133" s="1"/>
      <c r="C133" s="1"/>
      <c r="D133" s="1"/>
      <c r="E133" s="1"/>
      <c r="F133" s="1"/>
      <c r="G133" s="1"/>
      <c r="H133" s="1"/>
      <c r="I133" s="1"/>
      <c r="J133" s="1"/>
      <c r="K133" s="1"/>
      <c r="L133" s="1"/>
      <c r="M133" s="1"/>
      <c r="N133" s="1"/>
    </row>
    <row r="134" spans="1:14" ht="12.75" customHeight="1" x14ac:dyDescent="0.2">
      <c r="A134" s="1"/>
      <c r="B134" s="1"/>
      <c r="C134" s="1"/>
      <c r="D134" s="1"/>
      <c r="E134" s="1"/>
      <c r="F134" s="1"/>
      <c r="G134" s="1"/>
      <c r="H134" s="1"/>
      <c r="I134" s="1"/>
      <c r="J134" s="1"/>
      <c r="K134" s="1"/>
      <c r="L134" s="1"/>
      <c r="M134" s="1"/>
      <c r="N134" s="1"/>
    </row>
    <row r="135" spans="1:14" ht="12.75" customHeight="1" x14ac:dyDescent="0.2">
      <c r="A135" s="1"/>
      <c r="B135" s="1"/>
      <c r="C135" s="1"/>
      <c r="D135" s="1"/>
      <c r="E135" s="1"/>
      <c r="F135" s="1"/>
      <c r="G135" s="1"/>
      <c r="H135" s="1"/>
      <c r="I135" s="1"/>
      <c r="J135" s="1"/>
      <c r="K135" s="1"/>
      <c r="L135" s="1"/>
      <c r="M135" s="1"/>
      <c r="N135" s="1"/>
    </row>
    <row r="136" spans="1:14" ht="12.75" customHeight="1" x14ac:dyDescent="0.2">
      <c r="A136" s="1"/>
      <c r="B136" s="1"/>
      <c r="C136" s="1"/>
      <c r="D136" s="1"/>
      <c r="E136" s="1"/>
      <c r="F136" s="1"/>
      <c r="G136" s="1"/>
      <c r="H136" s="1"/>
      <c r="I136" s="1"/>
      <c r="J136" s="1"/>
      <c r="K136" s="1"/>
      <c r="L136" s="1"/>
      <c r="M136" s="1"/>
      <c r="N136" s="1"/>
    </row>
    <row r="137" spans="1:14" ht="12.75" customHeight="1" x14ac:dyDescent="0.2">
      <c r="A137" s="1"/>
      <c r="B137" s="1"/>
      <c r="C137" s="1"/>
      <c r="D137" s="1"/>
      <c r="E137" s="1"/>
      <c r="F137" s="1"/>
      <c r="G137" s="1"/>
      <c r="H137" s="1"/>
      <c r="I137" s="1"/>
      <c r="J137" s="1"/>
      <c r="K137" s="1"/>
      <c r="L137" s="1"/>
      <c r="M137" s="1"/>
      <c r="N137" s="1"/>
    </row>
    <row r="138" spans="1:14" ht="12.75" customHeight="1" x14ac:dyDescent="0.2">
      <c r="A138" s="1"/>
      <c r="B138" s="1"/>
      <c r="C138" s="1"/>
      <c r="D138" s="1"/>
      <c r="E138" s="1"/>
      <c r="F138" s="1"/>
      <c r="G138" s="1"/>
      <c r="H138" s="1"/>
      <c r="I138" s="1"/>
      <c r="J138" s="1"/>
      <c r="K138" s="1"/>
      <c r="L138" s="1"/>
      <c r="M138" s="1"/>
      <c r="N138" s="1"/>
    </row>
    <row r="139" spans="1:14" ht="12.75" customHeight="1" x14ac:dyDescent="0.2">
      <c r="A139" s="1"/>
      <c r="B139" s="1"/>
      <c r="C139" s="1"/>
      <c r="D139" s="1"/>
      <c r="E139" s="1"/>
      <c r="F139" s="1"/>
      <c r="G139" s="1"/>
      <c r="H139" s="1"/>
      <c r="I139" s="1"/>
      <c r="J139" s="1"/>
      <c r="K139" s="1"/>
      <c r="L139" s="1"/>
      <c r="M139" s="1"/>
      <c r="N139" s="1"/>
    </row>
    <row r="140" spans="1:14" ht="12.75" customHeight="1" x14ac:dyDescent="0.2">
      <c r="A140" s="1"/>
      <c r="B140" s="1"/>
      <c r="C140" s="1"/>
      <c r="D140" s="1"/>
      <c r="E140" s="1"/>
      <c r="F140" s="1"/>
      <c r="G140" s="1"/>
      <c r="H140" s="1"/>
      <c r="I140" s="1"/>
      <c r="J140" s="1"/>
      <c r="K140" s="1"/>
      <c r="L140" s="1"/>
      <c r="M140" s="1"/>
      <c r="N140" s="1"/>
    </row>
    <row r="141" spans="1:14" ht="12.75" customHeight="1" x14ac:dyDescent="0.2">
      <c r="A141" s="1"/>
      <c r="B141" s="1"/>
      <c r="C141" s="1"/>
      <c r="D141" s="1"/>
      <c r="E141" s="1"/>
      <c r="F141" s="1"/>
      <c r="G141" s="1"/>
      <c r="H141" s="1"/>
      <c r="I141" s="1"/>
      <c r="J141" s="1"/>
      <c r="K141" s="1"/>
      <c r="L141" s="1"/>
      <c r="M141" s="1"/>
      <c r="N141" s="1"/>
    </row>
    <row r="142" spans="1:14" ht="12.75" customHeight="1" x14ac:dyDescent="0.2">
      <c r="A142" s="1"/>
      <c r="B142" s="1"/>
      <c r="C142" s="1"/>
      <c r="D142" s="1"/>
      <c r="E142" s="1"/>
      <c r="F142" s="1"/>
      <c r="G142" s="1"/>
      <c r="H142" s="1"/>
      <c r="I142" s="1"/>
      <c r="J142" s="1"/>
      <c r="K142" s="1"/>
      <c r="L142" s="1"/>
      <c r="M142" s="1"/>
      <c r="N142" s="1"/>
    </row>
    <row r="143" spans="1:14" ht="12.75" customHeight="1" x14ac:dyDescent="0.2">
      <c r="A143" s="1"/>
      <c r="B143" s="1"/>
      <c r="C143" s="1"/>
      <c r="D143" s="1"/>
      <c r="E143" s="1"/>
      <c r="F143" s="1"/>
      <c r="G143" s="1"/>
      <c r="H143" s="1"/>
      <c r="I143" s="1"/>
      <c r="J143" s="1"/>
      <c r="K143" s="1"/>
      <c r="L143" s="1"/>
      <c r="M143" s="1"/>
      <c r="N143" s="1"/>
    </row>
    <row r="144" spans="1:14" ht="12.75" customHeight="1" x14ac:dyDescent="0.2">
      <c r="A144" s="1"/>
      <c r="B144" s="1"/>
      <c r="C144" s="1"/>
      <c r="D144" s="1"/>
      <c r="E144" s="1"/>
      <c r="F144" s="1"/>
      <c r="G144" s="1"/>
      <c r="H144" s="1"/>
      <c r="I144" s="1"/>
      <c r="J144" s="1"/>
      <c r="K144" s="1"/>
      <c r="L144" s="1"/>
      <c r="M144" s="1"/>
      <c r="N144" s="1"/>
    </row>
  </sheetData>
  <customSheetViews>
    <customSheetView guid="{9846C184-355C-EA4B-8C35-9561D1AEE31C}" hiddenColumns="1">
      <selection activeCell="J19" sqref="I15:J19"/>
      <pageMargins left="0.75" right="0.75" top="1" bottom="1" header="0.5" footer="0.5"/>
      <pageSetup paperSize="9" scale="10" firstPageNumber="0" fitToWidth="0" fitToHeight="0" orientation="portrait" horizontalDpi="300" verticalDpi="300" r:id="rId1"/>
      <headerFooter alignWithMargins="0"/>
    </customSheetView>
  </customSheetViews>
  <mergeCells count="32">
    <mergeCell ref="A70:J70"/>
    <mergeCell ref="L70:R70"/>
    <mergeCell ref="T70:Z70"/>
    <mergeCell ref="A1:J1"/>
    <mergeCell ref="A9:B9"/>
    <mergeCell ref="A7:B7"/>
    <mergeCell ref="C7:F7"/>
    <mergeCell ref="A8:B8"/>
    <mergeCell ref="C8:F8"/>
    <mergeCell ref="A5:B5"/>
    <mergeCell ref="C5:F5"/>
    <mergeCell ref="A6:B6"/>
    <mergeCell ref="C6:F6"/>
    <mergeCell ref="A3:K3"/>
    <mergeCell ref="C9:I9"/>
    <mergeCell ref="T11:Z11"/>
    <mergeCell ref="T51:Z51"/>
    <mergeCell ref="D52:F52"/>
    <mergeCell ref="L11:R11"/>
    <mergeCell ref="A11:J11"/>
    <mergeCell ref="A51:J51"/>
    <mergeCell ref="L51:R51"/>
    <mergeCell ref="D12:F12"/>
    <mergeCell ref="A31:J31"/>
    <mergeCell ref="L31:R31"/>
    <mergeCell ref="T31:Z31"/>
    <mergeCell ref="D32:F32"/>
    <mergeCell ref="D71:F71"/>
    <mergeCell ref="A91:J91"/>
    <mergeCell ref="L91:R91"/>
    <mergeCell ref="T91:Z91"/>
    <mergeCell ref="D92:F92"/>
  </mergeCells>
  <phoneticPr fontId="0" type="noConversion"/>
  <conditionalFormatting sqref="D14:F16">
    <cfRule type="dataBar" priority="246">
      <dataBar>
        <cfvo type="num" val="0"/>
        <cfvo type="num" val="1"/>
        <color rgb="FF3290C4"/>
      </dataBar>
      <extLst>
        <ext xmlns:x14="http://schemas.microsoft.com/office/spreadsheetml/2009/9/main" uri="{B025F937-C7B1-47D3-B67F-A62EFF666E3E}">
          <x14:id>{79CE7F1A-C8E1-41C8-A0A4-F72252D5AA2B}</x14:id>
        </ext>
      </extLst>
    </cfRule>
  </conditionalFormatting>
  <conditionalFormatting sqref="J14">
    <cfRule type="dataBar" priority="173">
      <dataBar>
        <cfvo type="num" val="0"/>
        <cfvo type="num" val="3"/>
        <color rgb="FF3290C4"/>
      </dataBar>
      <extLst>
        <ext xmlns:x14="http://schemas.microsoft.com/office/spreadsheetml/2009/9/main" uri="{B025F937-C7B1-47D3-B67F-A62EFF666E3E}">
          <x14:id>{CE1A1EA3-9DDD-9A41-A8BF-B6CBFDEDF38D}</x14:id>
        </ext>
      </extLst>
    </cfRule>
  </conditionalFormatting>
  <conditionalFormatting sqref="J15">
    <cfRule type="dataBar" priority="172">
      <dataBar>
        <cfvo type="num" val="0"/>
        <cfvo type="num" val="3"/>
        <color rgb="FFB75727"/>
      </dataBar>
      <extLst>
        <ext xmlns:x14="http://schemas.microsoft.com/office/spreadsheetml/2009/9/main" uri="{B025F937-C7B1-47D3-B67F-A62EFF666E3E}">
          <x14:id>{6A17C54A-5208-1544-967C-21EA558BB5A2}</x14:id>
        </ext>
      </extLst>
    </cfRule>
  </conditionalFormatting>
  <conditionalFormatting sqref="J17">
    <cfRule type="dataBar" priority="171">
      <dataBar>
        <cfvo type="num" val="0"/>
        <cfvo type="num" val="3"/>
        <color rgb="FF37793E"/>
      </dataBar>
      <extLst>
        <ext xmlns:x14="http://schemas.microsoft.com/office/spreadsheetml/2009/9/main" uri="{B025F937-C7B1-47D3-B67F-A62EFF666E3E}">
          <x14:id>{C8FF7E97-48C1-ED40-96CA-0E0620DAF410}</x14:id>
        </ext>
      </extLst>
    </cfRule>
  </conditionalFormatting>
  <conditionalFormatting sqref="J18">
    <cfRule type="dataBar" priority="170">
      <dataBar>
        <cfvo type="num" val="0"/>
        <cfvo type="num" val="3"/>
        <color rgb="FF791F17"/>
      </dataBar>
      <extLst>
        <ext xmlns:x14="http://schemas.microsoft.com/office/spreadsheetml/2009/9/main" uri="{B025F937-C7B1-47D3-B67F-A62EFF666E3E}">
          <x14:id>{C16D4B20-5426-CD42-9383-E916F6FBDC0F}</x14:id>
        </ext>
      </extLst>
    </cfRule>
  </conditionalFormatting>
  <conditionalFormatting sqref="J16">
    <cfRule type="dataBar" priority="114">
      <dataBar>
        <cfvo type="num" val="0"/>
        <cfvo type="num" val="3"/>
        <color rgb="FFBDBF17"/>
      </dataBar>
      <extLst>
        <ext xmlns:x14="http://schemas.microsoft.com/office/spreadsheetml/2009/9/main" uri="{B025F937-C7B1-47D3-B67F-A62EFF666E3E}">
          <x14:id>{8BA98B9F-7B08-0045-8A48-8340549E9F13}</x14:id>
        </ext>
      </extLst>
    </cfRule>
  </conditionalFormatting>
  <conditionalFormatting sqref="D17:F19">
    <cfRule type="dataBar" priority="113">
      <dataBar>
        <cfvo type="num" val="0"/>
        <cfvo type="num" val="1"/>
        <color rgb="FFB75727"/>
      </dataBar>
      <extLst>
        <ext xmlns:x14="http://schemas.microsoft.com/office/spreadsheetml/2009/9/main" uri="{B025F937-C7B1-47D3-B67F-A62EFF666E3E}">
          <x14:id>{1AAFDDBA-9BD7-7E4C-BE6F-262D8363CE14}</x14:id>
        </ext>
      </extLst>
    </cfRule>
  </conditionalFormatting>
  <conditionalFormatting sqref="D20:F22">
    <cfRule type="dataBar" priority="112">
      <dataBar>
        <cfvo type="num" val="0"/>
        <cfvo type="num" val="1"/>
        <color rgb="FFBDBF17"/>
      </dataBar>
      <extLst>
        <ext xmlns:x14="http://schemas.microsoft.com/office/spreadsheetml/2009/9/main" uri="{B025F937-C7B1-47D3-B67F-A62EFF666E3E}">
          <x14:id>{F73F64BE-95C9-A747-A99A-DC3894C9FC06}</x14:id>
        </ext>
      </extLst>
    </cfRule>
  </conditionalFormatting>
  <conditionalFormatting sqref="D23:F25">
    <cfRule type="dataBar" priority="111">
      <dataBar>
        <cfvo type="num" val="0"/>
        <cfvo type="num" val="1"/>
        <color rgb="FF37793E"/>
      </dataBar>
      <extLst>
        <ext xmlns:x14="http://schemas.microsoft.com/office/spreadsheetml/2009/9/main" uri="{B025F937-C7B1-47D3-B67F-A62EFF666E3E}">
          <x14:id>{0B7C6959-93C1-BA41-97E7-0719C08BC71E}</x14:id>
        </ext>
      </extLst>
    </cfRule>
  </conditionalFormatting>
  <conditionalFormatting sqref="D26:F28">
    <cfRule type="dataBar" priority="110">
      <dataBar>
        <cfvo type="num" val="0"/>
        <cfvo type="num" val="1"/>
        <color rgb="FF791F17"/>
      </dataBar>
      <extLst>
        <ext xmlns:x14="http://schemas.microsoft.com/office/spreadsheetml/2009/9/main" uri="{B025F937-C7B1-47D3-B67F-A62EFF666E3E}">
          <x14:id>{7E04D6E8-5FE9-2442-A8A1-B7598DD51B03}</x14:id>
        </ext>
      </extLst>
    </cfRule>
  </conditionalFormatting>
  <conditionalFormatting sqref="D34:F35">
    <cfRule type="dataBar" priority="109">
      <dataBar>
        <cfvo type="num" val="0"/>
        <cfvo type="num" val="1"/>
        <color rgb="FF3290C4"/>
      </dataBar>
      <extLst>
        <ext xmlns:x14="http://schemas.microsoft.com/office/spreadsheetml/2009/9/main" uri="{B025F937-C7B1-47D3-B67F-A62EFF666E3E}">
          <x14:id>{9284054C-B96D-734E-B836-A04429639158}</x14:id>
        </ext>
      </extLst>
    </cfRule>
  </conditionalFormatting>
  <conditionalFormatting sqref="D36:F36">
    <cfRule type="dataBar" priority="106">
      <dataBar>
        <cfvo type="num" val="0"/>
        <cfvo type="num" val="1"/>
        <color rgb="FF3290C4"/>
      </dataBar>
      <extLst>
        <ext xmlns:x14="http://schemas.microsoft.com/office/spreadsheetml/2009/9/main" uri="{B025F937-C7B1-47D3-B67F-A62EFF666E3E}">
          <x14:id>{B2C0F71A-5D19-384E-BB6D-E125D32E1B8C}</x14:id>
        </ext>
      </extLst>
    </cfRule>
  </conditionalFormatting>
  <conditionalFormatting sqref="J34">
    <cfRule type="dataBar" priority="105">
      <dataBar>
        <cfvo type="num" val="0"/>
        <cfvo type="num" val="3"/>
        <color rgb="FF3290C4"/>
      </dataBar>
      <extLst>
        <ext xmlns:x14="http://schemas.microsoft.com/office/spreadsheetml/2009/9/main" uri="{B025F937-C7B1-47D3-B67F-A62EFF666E3E}">
          <x14:id>{FD0B1922-2603-D34C-BD93-E5C332866DE6}</x14:id>
        </ext>
      </extLst>
    </cfRule>
  </conditionalFormatting>
  <conditionalFormatting sqref="J35">
    <cfRule type="dataBar" priority="104">
      <dataBar>
        <cfvo type="num" val="0"/>
        <cfvo type="num" val="3"/>
        <color rgb="FFB75727"/>
      </dataBar>
      <extLst>
        <ext xmlns:x14="http://schemas.microsoft.com/office/spreadsheetml/2009/9/main" uri="{B025F937-C7B1-47D3-B67F-A62EFF666E3E}">
          <x14:id>{2ECD7768-D8AC-4342-ADB4-FE48AFE0A842}</x14:id>
        </ext>
      </extLst>
    </cfRule>
  </conditionalFormatting>
  <conditionalFormatting sqref="J37">
    <cfRule type="dataBar" priority="103">
      <dataBar>
        <cfvo type="num" val="0"/>
        <cfvo type="num" val="3"/>
        <color rgb="FF37793E"/>
      </dataBar>
      <extLst>
        <ext xmlns:x14="http://schemas.microsoft.com/office/spreadsheetml/2009/9/main" uri="{B025F937-C7B1-47D3-B67F-A62EFF666E3E}">
          <x14:id>{7C90C993-82E5-C545-B58B-5B68FD19D25B}</x14:id>
        </ext>
      </extLst>
    </cfRule>
  </conditionalFormatting>
  <conditionalFormatting sqref="J38">
    <cfRule type="dataBar" priority="102">
      <dataBar>
        <cfvo type="num" val="0"/>
        <cfvo type="num" val="3"/>
        <color rgb="FF791F17"/>
      </dataBar>
      <extLst>
        <ext xmlns:x14="http://schemas.microsoft.com/office/spreadsheetml/2009/9/main" uri="{B025F937-C7B1-47D3-B67F-A62EFF666E3E}">
          <x14:id>{7892B420-8350-8446-AC23-3550B0BF1BB1}</x14:id>
        </ext>
      </extLst>
    </cfRule>
  </conditionalFormatting>
  <conditionalFormatting sqref="J36">
    <cfRule type="dataBar" priority="101">
      <dataBar>
        <cfvo type="num" val="0"/>
        <cfvo type="num" val="3"/>
        <color rgb="FFBDBF17"/>
      </dataBar>
      <extLst>
        <ext xmlns:x14="http://schemas.microsoft.com/office/spreadsheetml/2009/9/main" uri="{B025F937-C7B1-47D3-B67F-A62EFF666E3E}">
          <x14:id>{9A7A3D6D-709F-AD46-B1DC-AD3D5D658E4B}</x14:id>
        </ext>
      </extLst>
    </cfRule>
  </conditionalFormatting>
  <conditionalFormatting sqref="D37:F39">
    <cfRule type="dataBar" priority="83">
      <dataBar>
        <cfvo type="num" val="0"/>
        <cfvo type="num" val="1"/>
        <color rgb="FFB75727"/>
      </dataBar>
      <extLst>
        <ext xmlns:x14="http://schemas.microsoft.com/office/spreadsheetml/2009/9/main" uri="{B025F937-C7B1-47D3-B67F-A62EFF666E3E}">
          <x14:id>{AAC4A2C6-0211-E641-808F-D2A1F1FE71AF}</x14:id>
        </ext>
      </extLst>
    </cfRule>
  </conditionalFormatting>
  <conditionalFormatting sqref="D46:F48">
    <cfRule type="dataBar" priority="86">
      <dataBar>
        <cfvo type="num" val="0"/>
        <cfvo type="num" val="1"/>
        <color rgb="FF791F17"/>
      </dataBar>
      <extLst>
        <ext xmlns:x14="http://schemas.microsoft.com/office/spreadsheetml/2009/9/main" uri="{B025F937-C7B1-47D3-B67F-A62EFF666E3E}">
          <x14:id>{E5778153-4227-784B-B990-774EB3B347E1}</x14:id>
        </ext>
      </extLst>
    </cfRule>
  </conditionalFormatting>
  <conditionalFormatting sqref="D43:F45">
    <cfRule type="dataBar" priority="85">
      <dataBar>
        <cfvo type="num" val="0"/>
        <cfvo type="num" val="1"/>
        <color rgb="FF37793E"/>
      </dataBar>
      <extLst>
        <ext xmlns:x14="http://schemas.microsoft.com/office/spreadsheetml/2009/9/main" uri="{B025F937-C7B1-47D3-B67F-A62EFF666E3E}">
          <x14:id>{E69ED88F-9AAA-4A46-ADBD-6262268CC951}</x14:id>
        </ext>
      </extLst>
    </cfRule>
  </conditionalFormatting>
  <conditionalFormatting sqref="D40:F42">
    <cfRule type="dataBar" priority="84">
      <dataBar>
        <cfvo type="num" val="0"/>
        <cfvo type="num" val="1"/>
        <color rgb="FFBDBF17"/>
      </dataBar>
      <extLst>
        <ext xmlns:x14="http://schemas.microsoft.com/office/spreadsheetml/2009/9/main" uri="{B025F937-C7B1-47D3-B67F-A62EFF666E3E}">
          <x14:id>{086D738C-C711-1847-A362-F3CC237D9B16}</x14:id>
        </ext>
      </extLst>
    </cfRule>
  </conditionalFormatting>
  <conditionalFormatting sqref="D73:F74">
    <cfRule type="dataBar" priority="76">
      <dataBar>
        <cfvo type="num" val="0"/>
        <cfvo type="num" val="1"/>
        <color rgb="FF3290C4"/>
      </dataBar>
      <extLst>
        <ext xmlns:x14="http://schemas.microsoft.com/office/spreadsheetml/2009/9/main" uri="{B025F937-C7B1-47D3-B67F-A62EFF666E3E}">
          <x14:id>{5B299429-7CE6-8947-800E-BFFA8A16553A}</x14:id>
        </ext>
      </extLst>
    </cfRule>
  </conditionalFormatting>
  <conditionalFormatting sqref="D94:F95">
    <cfRule type="dataBar" priority="70">
      <dataBar>
        <cfvo type="num" val="0"/>
        <cfvo type="num" val="1"/>
        <color rgb="FF3290C4"/>
      </dataBar>
      <extLst>
        <ext xmlns:x14="http://schemas.microsoft.com/office/spreadsheetml/2009/9/main" uri="{B025F937-C7B1-47D3-B67F-A62EFF666E3E}">
          <x14:id>{0070DD35-ACDC-5D4F-BC4F-FBC7D55FD25D}</x14:id>
        </ext>
      </extLst>
    </cfRule>
  </conditionalFormatting>
  <conditionalFormatting sqref="J54">
    <cfRule type="dataBar" priority="64">
      <dataBar>
        <cfvo type="num" val="0"/>
        <cfvo type="num" val="3"/>
        <color rgb="FF3290C4"/>
      </dataBar>
      <extLst>
        <ext xmlns:x14="http://schemas.microsoft.com/office/spreadsheetml/2009/9/main" uri="{B025F937-C7B1-47D3-B67F-A62EFF666E3E}">
          <x14:id>{89045399-ADE9-A942-B276-AF1861C4C28E}</x14:id>
        </ext>
      </extLst>
    </cfRule>
  </conditionalFormatting>
  <conditionalFormatting sqref="J55">
    <cfRule type="dataBar" priority="63">
      <dataBar>
        <cfvo type="num" val="0"/>
        <cfvo type="num" val="3"/>
        <color rgb="FFB75727"/>
      </dataBar>
      <extLst>
        <ext xmlns:x14="http://schemas.microsoft.com/office/spreadsheetml/2009/9/main" uri="{B025F937-C7B1-47D3-B67F-A62EFF666E3E}">
          <x14:id>{0190F321-B1B4-0F41-BAB5-6181D21F94A1}</x14:id>
        </ext>
      </extLst>
    </cfRule>
  </conditionalFormatting>
  <conditionalFormatting sqref="J57">
    <cfRule type="dataBar" priority="62">
      <dataBar>
        <cfvo type="num" val="0"/>
        <cfvo type="num" val="3"/>
        <color rgb="FF37793E"/>
      </dataBar>
      <extLst>
        <ext xmlns:x14="http://schemas.microsoft.com/office/spreadsheetml/2009/9/main" uri="{B025F937-C7B1-47D3-B67F-A62EFF666E3E}">
          <x14:id>{04BE1661-D85A-D646-A55D-558497E9681D}</x14:id>
        </ext>
      </extLst>
    </cfRule>
  </conditionalFormatting>
  <conditionalFormatting sqref="J58">
    <cfRule type="dataBar" priority="61">
      <dataBar>
        <cfvo type="num" val="0"/>
        <cfvo type="num" val="3"/>
        <color rgb="FF791F17"/>
      </dataBar>
      <extLst>
        <ext xmlns:x14="http://schemas.microsoft.com/office/spreadsheetml/2009/9/main" uri="{B025F937-C7B1-47D3-B67F-A62EFF666E3E}">
          <x14:id>{7F1B8C0C-543C-F446-9A44-3AABC7389FFA}</x14:id>
        </ext>
      </extLst>
    </cfRule>
  </conditionalFormatting>
  <conditionalFormatting sqref="J56">
    <cfRule type="dataBar" priority="60">
      <dataBar>
        <cfvo type="num" val="0"/>
        <cfvo type="num" val="3"/>
        <color rgb="FFBDBF17"/>
      </dataBar>
      <extLst>
        <ext xmlns:x14="http://schemas.microsoft.com/office/spreadsheetml/2009/9/main" uri="{B025F937-C7B1-47D3-B67F-A62EFF666E3E}">
          <x14:id>{AA86F1CB-E203-3740-B170-888B12C27C96}</x14:id>
        </ext>
      </extLst>
    </cfRule>
  </conditionalFormatting>
  <conditionalFormatting sqref="J73">
    <cfRule type="dataBar" priority="59">
      <dataBar>
        <cfvo type="num" val="0"/>
        <cfvo type="num" val="3"/>
        <color rgb="FF3290C4"/>
      </dataBar>
      <extLst>
        <ext xmlns:x14="http://schemas.microsoft.com/office/spreadsheetml/2009/9/main" uri="{B025F937-C7B1-47D3-B67F-A62EFF666E3E}">
          <x14:id>{706B6C92-9FBC-0B43-81D4-275F8274E674}</x14:id>
        </ext>
      </extLst>
    </cfRule>
  </conditionalFormatting>
  <conditionalFormatting sqref="J74">
    <cfRule type="dataBar" priority="58">
      <dataBar>
        <cfvo type="num" val="0"/>
        <cfvo type="num" val="3"/>
        <color rgb="FFB75727"/>
      </dataBar>
      <extLst>
        <ext xmlns:x14="http://schemas.microsoft.com/office/spreadsheetml/2009/9/main" uri="{B025F937-C7B1-47D3-B67F-A62EFF666E3E}">
          <x14:id>{2BBBAEFD-2474-3C4C-9EBE-BF619BC72DD0}</x14:id>
        </ext>
      </extLst>
    </cfRule>
  </conditionalFormatting>
  <conditionalFormatting sqref="J76">
    <cfRule type="dataBar" priority="57">
      <dataBar>
        <cfvo type="num" val="0"/>
        <cfvo type="num" val="3"/>
        <color rgb="FF37793E"/>
      </dataBar>
      <extLst>
        <ext xmlns:x14="http://schemas.microsoft.com/office/spreadsheetml/2009/9/main" uri="{B025F937-C7B1-47D3-B67F-A62EFF666E3E}">
          <x14:id>{3CA6D3E4-9560-7A40-AA76-25126B323DEE}</x14:id>
        </ext>
      </extLst>
    </cfRule>
  </conditionalFormatting>
  <conditionalFormatting sqref="J77">
    <cfRule type="dataBar" priority="56">
      <dataBar>
        <cfvo type="num" val="0"/>
        <cfvo type="num" val="3"/>
        <color rgb="FF791F17"/>
      </dataBar>
      <extLst>
        <ext xmlns:x14="http://schemas.microsoft.com/office/spreadsheetml/2009/9/main" uri="{B025F937-C7B1-47D3-B67F-A62EFF666E3E}">
          <x14:id>{C5E89D6C-F5E9-F146-A2CF-80A229BE538E}</x14:id>
        </ext>
      </extLst>
    </cfRule>
  </conditionalFormatting>
  <conditionalFormatting sqref="J75">
    <cfRule type="dataBar" priority="55">
      <dataBar>
        <cfvo type="num" val="0"/>
        <cfvo type="num" val="3"/>
        <color rgb="FFBDBF17"/>
      </dataBar>
      <extLst>
        <ext xmlns:x14="http://schemas.microsoft.com/office/spreadsheetml/2009/9/main" uri="{B025F937-C7B1-47D3-B67F-A62EFF666E3E}">
          <x14:id>{3D8E2C15-A37F-4E48-9684-3261922A8FBB}</x14:id>
        </ext>
      </extLst>
    </cfRule>
  </conditionalFormatting>
  <conditionalFormatting sqref="J94">
    <cfRule type="dataBar" priority="54">
      <dataBar>
        <cfvo type="num" val="0"/>
        <cfvo type="num" val="3"/>
        <color rgb="FF3290C4"/>
      </dataBar>
      <extLst>
        <ext xmlns:x14="http://schemas.microsoft.com/office/spreadsheetml/2009/9/main" uri="{B025F937-C7B1-47D3-B67F-A62EFF666E3E}">
          <x14:id>{D3324781-D0D6-C643-8583-2A2D31EC03C9}</x14:id>
        </ext>
      </extLst>
    </cfRule>
  </conditionalFormatting>
  <conditionalFormatting sqref="J95">
    <cfRule type="dataBar" priority="53">
      <dataBar>
        <cfvo type="num" val="0"/>
        <cfvo type="num" val="3"/>
        <color rgb="FFB75727"/>
      </dataBar>
      <extLst>
        <ext xmlns:x14="http://schemas.microsoft.com/office/spreadsheetml/2009/9/main" uri="{B025F937-C7B1-47D3-B67F-A62EFF666E3E}">
          <x14:id>{DB105B0A-E675-A348-97D5-1470930F7894}</x14:id>
        </ext>
      </extLst>
    </cfRule>
  </conditionalFormatting>
  <conditionalFormatting sqref="J97">
    <cfRule type="dataBar" priority="52">
      <dataBar>
        <cfvo type="num" val="0"/>
        <cfvo type="num" val="3"/>
        <color rgb="FF37793E"/>
      </dataBar>
      <extLst>
        <ext xmlns:x14="http://schemas.microsoft.com/office/spreadsheetml/2009/9/main" uri="{B025F937-C7B1-47D3-B67F-A62EFF666E3E}">
          <x14:id>{62DBBDAC-2DC0-8947-9DD2-AE85FF169D42}</x14:id>
        </ext>
      </extLst>
    </cfRule>
  </conditionalFormatting>
  <conditionalFormatting sqref="J98">
    <cfRule type="dataBar" priority="51">
      <dataBar>
        <cfvo type="num" val="0"/>
        <cfvo type="num" val="3"/>
        <color rgb="FF791F17"/>
      </dataBar>
      <extLst>
        <ext xmlns:x14="http://schemas.microsoft.com/office/spreadsheetml/2009/9/main" uri="{B025F937-C7B1-47D3-B67F-A62EFF666E3E}">
          <x14:id>{27AE3CB4-BDFB-A046-A823-5C2020278603}</x14:id>
        </ext>
      </extLst>
    </cfRule>
  </conditionalFormatting>
  <conditionalFormatting sqref="J96">
    <cfRule type="dataBar" priority="50">
      <dataBar>
        <cfvo type="num" val="0"/>
        <cfvo type="num" val="3"/>
        <color rgb="FFBDBF17"/>
      </dataBar>
      <extLst>
        <ext xmlns:x14="http://schemas.microsoft.com/office/spreadsheetml/2009/9/main" uri="{B025F937-C7B1-47D3-B67F-A62EFF666E3E}">
          <x14:id>{6C1DB384-CD97-2C4C-AD95-6A06C6D61994}</x14:id>
        </ext>
      </extLst>
    </cfRule>
  </conditionalFormatting>
  <conditionalFormatting sqref="D54:F55">
    <cfRule type="dataBar" priority="49">
      <dataBar>
        <cfvo type="num" val="0"/>
        <cfvo type="num" val="1"/>
        <color rgb="FF3290C4"/>
      </dataBar>
      <extLst>
        <ext xmlns:x14="http://schemas.microsoft.com/office/spreadsheetml/2009/9/main" uri="{B025F937-C7B1-47D3-B67F-A62EFF666E3E}">
          <x14:id>{A52097B3-778B-3E49-8456-8B3F58DE6432}</x14:id>
        </ext>
      </extLst>
    </cfRule>
  </conditionalFormatting>
  <conditionalFormatting sqref="D57:F59">
    <cfRule type="dataBar" priority="44">
      <dataBar>
        <cfvo type="num" val="0"/>
        <cfvo type="num" val="1"/>
        <color rgb="FFB75727"/>
      </dataBar>
      <extLst>
        <ext xmlns:x14="http://schemas.microsoft.com/office/spreadsheetml/2009/9/main" uri="{B025F937-C7B1-47D3-B67F-A62EFF666E3E}">
          <x14:id>{0258849F-BB00-E840-A754-D8965F6EFC5A}</x14:id>
        </ext>
      </extLst>
    </cfRule>
  </conditionalFormatting>
  <conditionalFormatting sqref="D60:F62">
    <cfRule type="dataBar" priority="45">
      <dataBar>
        <cfvo type="num" val="0"/>
        <cfvo type="num" val="1"/>
        <color rgb="FFBDBF17"/>
      </dataBar>
      <extLst>
        <ext xmlns:x14="http://schemas.microsoft.com/office/spreadsheetml/2009/9/main" uri="{B025F937-C7B1-47D3-B67F-A62EFF666E3E}">
          <x14:id>{FBFF620F-3054-8743-B2B2-922FD3EB3146}</x14:id>
        </ext>
      </extLst>
    </cfRule>
  </conditionalFormatting>
  <conditionalFormatting sqref="D56:F56">
    <cfRule type="dataBar" priority="43">
      <dataBar>
        <cfvo type="num" val="0"/>
        <cfvo type="num" val="1"/>
        <color rgb="FF3290C4"/>
      </dataBar>
      <extLst>
        <ext xmlns:x14="http://schemas.microsoft.com/office/spreadsheetml/2009/9/main" uri="{B025F937-C7B1-47D3-B67F-A62EFF666E3E}">
          <x14:id>{0FEAB4A9-3B80-A54C-9926-D36822351D67}</x14:id>
        </ext>
      </extLst>
    </cfRule>
  </conditionalFormatting>
  <conditionalFormatting sqref="D75:F75">
    <cfRule type="dataBar" priority="42">
      <dataBar>
        <cfvo type="num" val="0"/>
        <cfvo type="num" val="1"/>
        <color rgb="FF3290C4"/>
      </dataBar>
      <extLst>
        <ext xmlns:x14="http://schemas.microsoft.com/office/spreadsheetml/2009/9/main" uri="{B025F937-C7B1-47D3-B67F-A62EFF666E3E}">
          <x14:id>{04641AF3-20CD-9F4E-BE20-3F1D4E5DD152}</x14:id>
        </ext>
      </extLst>
    </cfRule>
  </conditionalFormatting>
  <conditionalFormatting sqref="D76:F76">
    <cfRule type="dataBar" priority="40">
      <dataBar>
        <cfvo type="num" val="0"/>
        <cfvo type="num" val="1"/>
        <color rgb="FFB75727"/>
      </dataBar>
      <extLst>
        <ext xmlns:x14="http://schemas.microsoft.com/office/spreadsheetml/2009/9/main" uri="{B025F937-C7B1-47D3-B67F-A62EFF666E3E}">
          <x14:id>{2EB04995-98B4-9E41-98DF-0410F226A877}</x14:id>
        </ext>
      </extLst>
    </cfRule>
  </conditionalFormatting>
  <conditionalFormatting sqref="D77:F77">
    <cfRule type="dataBar" priority="39">
      <dataBar>
        <cfvo type="num" val="0"/>
        <cfvo type="num" val="1"/>
        <color rgb="FFB75727"/>
      </dataBar>
      <extLst>
        <ext xmlns:x14="http://schemas.microsoft.com/office/spreadsheetml/2009/9/main" uri="{B025F937-C7B1-47D3-B67F-A62EFF666E3E}">
          <x14:id>{A225102F-FA19-6D4E-B6DD-045F47D2B130}</x14:id>
        </ext>
      </extLst>
    </cfRule>
  </conditionalFormatting>
  <conditionalFormatting sqref="D78:F78">
    <cfRule type="dataBar" priority="38">
      <dataBar>
        <cfvo type="num" val="0"/>
        <cfvo type="num" val="1"/>
        <color rgb="FFB75727"/>
      </dataBar>
      <extLst>
        <ext xmlns:x14="http://schemas.microsoft.com/office/spreadsheetml/2009/9/main" uri="{B025F937-C7B1-47D3-B67F-A62EFF666E3E}">
          <x14:id>{C42E40E0-BDA2-A943-BC3C-1DDEA0283AE8}</x14:id>
        </ext>
      </extLst>
    </cfRule>
  </conditionalFormatting>
  <conditionalFormatting sqref="D79:F79">
    <cfRule type="dataBar" priority="36">
      <dataBar>
        <cfvo type="num" val="0"/>
        <cfvo type="num" val="1"/>
        <color rgb="FFBDBF17"/>
      </dataBar>
      <extLst>
        <ext xmlns:x14="http://schemas.microsoft.com/office/spreadsheetml/2009/9/main" uri="{B025F937-C7B1-47D3-B67F-A62EFF666E3E}">
          <x14:id>{177CFC9E-B11F-E34E-9ABC-B8903C73BC94}</x14:id>
        </ext>
      </extLst>
    </cfRule>
  </conditionalFormatting>
  <conditionalFormatting sqref="D80:F80">
    <cfRule type="dataBar" priority="35">
      <dataBar>
        <cfvo type="num" val="0"/>
        <cfvo type="num" val="1"/>
        <color rgb="FFBDBF17"/>
      </dataBar>
      <extLst>
        <ext xmlns:x14="http://schemas.microsoft.com/office/spreadsheetml/2009/9/main" uri="{B025F937-C7B1-47D3-B67F-A62EFF666E3E}">
          <x14:id>{735371FA-677F-B842-AC67-765DFD3CC95C}</x14:id>
        </ext>
      </extLst>
    </cfRule>
  </conditionalFormatting>
  <conditionalFormatting sqref="D81:F81">
    <cfRule type="dataBar" priority="34">
      <dataBar>
        <cfvo type="num" val="0"/>
        <cfvo type="num" val="1"/>
        <color rgb="FFBDBF17"/>
      </dataBar>
      <extLst>
        <ext xmlns:x14="http://schemas.microsoft.com/office/spreadsheetml/2009/9/main" uri="{B025F937-C7B1-47D3-B67F-A62EFF666E3E}">
          <x14:id>{BC29E5C6-A1C1-2E4C-B56F-527EADCBECEB}</x14:id>
        </ext>
      </extLst>
    </cfRule>
  </conditionalFormatting>
  <conditionalFormatting sqref="D82:F82">
    <cfRule type="dataBar" priority="32">
      <dataBar>
        <cfvo type="num" val="0"/>
        <cfvo type="num" val="1"/>
        <color rgb="FF37793E"/>
      </dataBar>
      <extLst>
        <ext xmlns:x14="http://schemas.microsoft.com/office/spreadsheetml/2009/9/main" uri="{B025F937-C7B1-47D3-B67F-A62EFF666E3E}">
          <x14:id>{8805C11D-B443-5C4C-B574-14E178AD6AEB}</x14:id>
        </ext>
      </extLst>
    </cfRule>
  </conditionalFormatting>
  <conditionalFormatting sqref="D83:F83">
    <cfRule type="dataBar" priority="31">
      <dataBar>
        <cfvo type="num" val="0"/>
        <cfvo type="num" val="1"/>
        <color rgb="FF37793E"/>
      </dataBar>
      <extLst>
        <ext xmlns:x14="http://schemas.microsoft.com/office/spreadsheetml/2009/9/main" uri="{B025F937-C7B1-47D3-B67F-A62EFF666E3E}">
          <x14:id>{E4000B67-4FFE-1547-BE36-D3A75F2B1F83}</x14:id>
        </ext>
      </extLst>
    </cfRule>
  </conditionalFormatting>
  <conditionalFormatting sqref="D84:F84">
    <cfRule type="dataBar" priority="30">
      <dataBar>
        <cfvo type="num" val="0"/>
        <cfvo type="num" val="1"/>
        <color rgb="FF37793E"/>
      </dataBar>
      <extLst>
        <ext xmlns:x14="http://schemas.microsoft.com/office/spreadsheetml/2009/9/main" uri="{B025F937-C7B1-47D3-B67F-A62EFF666E3E}">
          <x14:id>{C6BA9D2A-FE7C-8942-87A0-3401C00B70BA}</x14:id>
        </ext>
      </extLst>
    </cfRule>
  </conditionalFormatting>
  <conditionalFormatting sqref="D85:F85">
    <cfRule type="dataBar" priority="28">
      <dataBar>
        <cfvo type="num" val="0"/>
        <cfvo type="num" val="1"/>
        <color rgb="FF791F17"/>
      </dataBar>
      <extLst>
        <ext xmlns:x14="http://schemas.microsoft.com/office/spreadsheetml/2009/9/main" uri="{B025F937-C7B1-47D3-B67F-A62EFF666E3E}">
          <x14:id>{2162CAD1-CC48-AE48-9520-2C8477F02EEB}</x14:id>
        </ext>
      </extLst>
    </cfRule>
  </conditionalFormatting>
  <conditionalFormatting sqref="D86:F86">
    <cfRule type="dataBar" priority="27">
      <dataBar>
        <cfvo type="num" val="0"/>
        <cfvo type="num" val="1"/>
        <color rgb="FF791F17"/>
      </dataBar>
      <extLst>
        <ext xmlns:x14="http://schemas.microsoft.com/office/spreadsheetml/2009/9/main" uri="{B025F937-C7B1-47D3-B67F-A62EFF666E3E}">
          <x14:id>{25C86D2F-B3CD-DD4F-A97E-FA745F026962}</x14:id>
        </ext>
      </extLst>
    </cfRule>
  </conditionalFormatting>
  <conditionalFormatting sqref="D87:F87">
    <cfRule type="dataBar" priority="26">
      <dataBar>
        <cfvo type="num" val="0"/>
        <cfvo type="num" val="1"/>
        <color rgb="FF791F17"/>
      </dataBar>
      <extLst>
        <ext xmlns:x14="http://schemas.microsoft.com/office/spreadsheetml/2009/9/main" uri="{B025F937-C7B1-47D3-B67F-A62EFF666E3E}">
          <x14:id>{CC578245-B16F-3947-9930-D324445BCE70}</x14:id>
        </ext>
      </extLst>
    </cfRule>
  </conditionalFormatting>
  <conditionalFormatting sqref="D63:F63">
    <cfRule type="dataBar" priority="24">
      <dataBar>
        <cfvo type="num" val="0"/>
        <cfvo type="num" val="1"/>
        <color rgb="FF37793E"/>
      </dataBar>
      <extLst>
        <ext xmlns:x14="http://schemas.microsoft.com/office/spreadsheetml/2009/9/main" uri="{B025F937-C7B1-47D3-B67F-A62EFF666E3E}">
          <x14:id>{AC9DBBA4-2984-AD42-A019-4A19DF084899}</x14:id>
        </ext>
      </extLst>
    </cfRule>
  </conditionalFormatting>
  <conditionalFormatting sqref="D64:F64">
    <cfRule type="dataBar" priority="23">
      <dataBar>
        <cfvo type="num" val="0"/>
        <cfvo type="num" val="1"/>
        <color rgb="FF37793E"/>
      </dataBar>
      <extLst>
        <ext xmlns:x14="http://schemas.microsoft.com/office/spreadsheetml/2009/9/main" uri="{B025F937-C7B1-47D3-B67F-A62EFF666E3E}">
          <x14:id>{1AAE9071-A5BB-1544-834C-8BF597F77B9D}</x14:id>
        </ext>
      </extLst>
    </cfRule>
  </conditionalFormatting>
  <conditionalFormatting sqref="D65:F65">
    <cfRule type="dataBar" priority="22">
      <dataBar>
        <cfvo type="num" val="0"/>
        <cfvo type="num" val="1"/>
        <color rgb="FF37793E"/>
      </dataBar>
      <extLst>
        <ext xmlns:x14="http://schemas.microsoft.com/office/spreadsheetml/2009/9/main" uri="{B025F937-C7B1-47D3-B67F-A62EFF666E3E}">
          <x14:id>{1B67DAC1-EA50-7B48-820E-13BCD1D73D63}</x14:id>
        </ext>
      </extLst>
    </cfRule>
  </conditionalFormatting>
  <conditionalFormatting sqref="D66:F66">
    <cfRule type="dataBar" priority="20">
      <dataBar>
        <cfvo type="num" val="0"/>
        <cfvo type="num" val="1"/>
        <color rgb="FF791F17"/>
      </dataBar>
      <extLst>
        <ext xmlns:x14="http://schemas.microsoft.com/office/spreadsheetml/2009/9/main" uri="{B025F937-C7B1-47D3-B67F-A62EFF666E3E}">
          <x14:id>{60190627-4815-A143-9FAB-95DA349481CA}</x14:id>
        </ext>
      </extLst>
    </cfRule>
  </conditionalFormatting>
  <conditionalFormatting sqref="D67:F67">
    <cfRule type="dataBar" priority="19">
      <dataBar>
        <cfvo type="num" val="0"/>
        <cfvo type="num" val="1"/>
        <color rgb="FF791F17"/>
      </dataBar>
      <extLst>
        <ext xmlns:x14="http://schemas.microsoft.com/office/spreadsheetml/2009/9/main" uri="{B025F937-C7B1-47D3-B67F-A62EFF666E3E}">
          <x14:id>{06AD80DC-D768-2C47-AD32-3A754DC7E3C4}</x14:id>
        </ext>
      </extLst>
    </cfRule>
  </conditionalFormatting>
  <conditionalFormatting sqref="D68:F68">
    <cfRule type="dataBar" priority="18">
      <dataBar>
        <cfvo type="num" val="0"/>
        <cfvo type="num" val="1"/>
        <color rgb="FF791F17"/>
      </dataBar>
      <extLst>
        <ext xmlns:x14="http://schemas.microsoft.com/office/spreadsheetml/2009/9/main" uri="{B025F937-C7B1-47D3-B67F-A62EFF666E3E}">
          <x14:id>{27E2CF7A-A2D0-3645-B278-77EBDC5E93BF}</x14:id>
        </ext>
      </extLst>
    </cfRule>
  </conditionalFormatting>
  <conditionalFormatting sqref="D96:F96">
    <cfRule type="dataBar" priority="17">
      <dataBar>
        <cfvo type="num" val="0"/>
        <cfvo type="num" val="1"/>
        <color rgb="FF3290C4"/>
      </dataBar>
      <extLst>
        <ext xmlns:x14="http://schemas.microsoft.com/office/spreadsheetml/2009/9/main" uri="{B025F937-C7B1-47D3-B67F-A62EFF666E3E}">
          <x14:id>{8BF4D1CB-7A4D-5B49-96C0-6C2B4CFEB64C}</x14:id>
        </ext>
      </extLst>
    </cfRule>
  </conditionalFormatting>
  <conditionalFormatting sqref="D97:F97">
    <cfRule type="dataBar" priority="15">
      <dataBar>
        <cfvo type="num" val="0"/>
        <cfvo type="num" val="1"/>
        <color rgb="FFB75727"/>
      </dataBar>
      <extLst>
        <ext xmlns:x14="http://schemas.microsoft.com/office/spreadsheetml/2009/9/main" uri="{B025F937-C7B1-47D3-B67F-A62EFF666E3E}">
          <x14:id>{07FD69E6-C99A-3C47-94C4-9D1D46E0C352}</x14:id>
        </ext>
      </extLst>
    </cfRule>
  </conditionalFormatting>
  <conditionalFormatting sqref="D98:F98">
    <cfRule type="dataBar" priority="14">
      <dataBar>
        <cfvo type="num" val="0"/>
        <cfvo type="num" val="1"/>
        <color rgb="FFB75727"/>
      </dataBar>
      <extLst>
        <ext xmlns:x14="http://schemas.microsoft.com/office/spreadsheetml/2009/9/main" uri="{B025F937-C7B1-47D3-B67F-A62EFF666E3E}">
          <x14:id>{6BA60214-0ACA-F34D-A0B5-365768C660E7}</x14:id>
        </ext>
      </extLst>
    </cfRule>
  </conditionalFormatting>
  <conditionalFormatting sqref="D99:F99">
    <cfRule type="dataBar" priority="13">
      <dataBar>
        <cfvo type="num" val="0"/>
        <cfvo type="num" val="1"/>
        <color rgb="FFB75727"/>
      </dataBar>
      <extLst>
        <ext xmlns:x14="http://schemas.microsoft.com/office/spreadsheetml/2009/9/main" uri="{B025F937-C7B1-47D3-B67F-A62EFF666E3E}">
          <x14:id>{9E1BAB02-69E8-CA41-9884-87885F94E599}</x14:id>
        </ext>
      </extLst>
    </cfRule>
  </conditionalFormatting>
  <conditionalFormatting sqref="D100:F100">
    <cfRule type="dataBar" priority="11">
      <dataBar>
        <cfvo type="num" val="0"/>
        <cfvo type="num" val="1"/>
        <color rgb="FFBDBF17"/>
      </dataBar>
      <extLst>
        <ext xmlns:x14="http://schemas.microsoft.com/office/spreadsheetml/2009/9/main" uri="{B025F937-C7B1-47D3-B67F-A62EFF666E3E}">
          <x14:id>{1558E827-D00E-4B40-A53E-57AEFC9C89EC}</x14:id>
        </ext>
      </extLst>
    </cfRule>
  </conditionalFormatting>
  <conditionalFormatting sqref="D101:F101">
    <cfRule type="dataBar" priority="10">
      <dataBar>
        <cfvo type="num" val="0"/>
        <cfvo type="num" val="1"/>
        <color rgb="FFBDBF17"/>
      </dataBar>
      <extLst>
        <ext xmlns:x14="http://schemas.microsoft.com/office/spreadsheetml/2009/9/main" uri="{B025F937-C7B1-47D3-B67F-A62EFF666E3E}">
          <x14:id>{9E34A243-7B78-C84D-8762-D32545E64F42}</x14:id>
        </ext>
      </extLst>
    </cfRule>
  </conditionalFormatting>
  <conditionalFormatting sqref="D102:F102">
    <cfRule type="dataBar" priority="9">
      <dataBar>
        <cfvo type="num" val="0"/>
        <cfvo type="num" val="1"/>
        <color rgb="FFBDBF17"/>
      </dataBar>
      <extLst>
        <ext xmlns:x14="http://schemas.microsoft.com/office/spreadsheetml/2009/9/main" uri="{B025F937-C7B1-47D3-B67F-A62EFF666E3E}">
          <x14:id>{C35A8CE2-8004-4845-95F8-CF48A694C1E5}</x14:id>
        </ext>
      </extLst>
    </cfRule>
  </conditionalFormatting>
  <conditionalFormatting sqref="D103:F103">
    <cfRule type="dataBar" priority="7">
      <dataBar>
        <cfvo type="num" val="0"/>
        <cfvo type="num" val="1"/>
        <color rgb="FF37793E"/>
      </dataBar>
      <extLst>
        <ext xmlns:x14="http://schemas.microsoft.com/office/spreadsheetml/2009/9/main" uri="{B025F937-C7B1-47D3-B67F-A62EFF666E3E}">
          <x14:id>{E81339E0-F52B-E94D-A6D8-C78657EA2F48}</x14:id>
        </ext>
      </extLst>
    </cfRule>
  </conditionalFormatting>
  <conditionalFormatting sqref="D104:F104">
    <cfRule type="dataBar" priority="6">
      <dataBar>
        <cfvo type="num" val="0"/>
        <cfvo type="num" val="1"/>
        <color rgb="FF37793E"/>
      </dataBar>
      <extLst>
        <ext xmlns:x14="http://schemas.microsoft.com/office/spreadsheetml/2009/9/main" uri="{B025F937-C7B1-47D3-B67F-A62EFF666E3E}">
          <x14:id>{6A9B8208-06AF-7C4F-B744-EBE4D21F53A9}</x14:id>
        </ext>
      </extLst>
    </cfRule>
  </conditionalFormatting>
  <conditionalFormatting sqref="D105:F105">
    <cfRule type="dataBar" priority="5">
      <dataBar>
        <cfvo type="num" val="0"/>
        <cfvo type="num" val="1"/>
        <color rgb="FF37793E"/>
      </dataBar>
      <extLst>
        <ext xmlns:x14="http://schemas.microsoft.com/office/spreadsheetml/2009/9/main" uri="{B025F937-C7B1-47D3-B67F-A62EFF666E3E}">
          <x14:id>{65C2F711-4A45-9743-930F-D750FDDADDF6}</x14:id>
        </ext>
      </extLst>
    </cfRule>
  </conditionalFormatting>
  <conditionalFormatting sqref="D106:F106">
    <cfRule type="dataBar" priority="3">
      <dataBar>
        <cfvo type="num" val="0"/>
        <cfvo type="num" val="1"/>
        <color rgb="FF791F17"/>
      </dataBar>
      <extLst>
        <ext xmlns:x14="http://schemas.microsoft.com/office/spreadsheetml/2009/9/main" uri="{B025F937-C7B1-47D3-B67F-A62EFF666E3E}">
          <x14:id>{B0076D44-5CCB-E845-BF71-60FD77893322}</x14:id>
        </ext>
      </extLst>
    </cfRule>
  </conditionalFormatting>
  <conditionalFormatting sqref="D107:F107">
    <cfRule type="dataBar" priority="2">
      <dataBar>
        <cfvo type="num" val="0"/>
        <cfvo type="num" val="1"/>
        <color rgb="FF791F17"/>
      </dataBar>
      <extLst>
        <ext xmlns:x14="http://schemas.microsoft.com/office/spreadsheetml/2009/9/main" uri="{B025F937-C7B1-47D3-B67F-A62EFF666E3E}">
          <x14:id>{91C11B56-9A57-104F-BF70-ADB2EAA2CD4A}</x14:id>
        </ext>
      </extLst>
    </cfRule>
  </conditionalFormatting>
  <conditionalFormatting sqref="D108:F108">
    <cfRule type="dataBar" priority="1">
      <dataBar>
        <cfvo type="num" val="0"/>
        <cfvo type="num" val="1"/>
        <color rgb="FF791F17"/>
      </dataBar>
      <extLst>
        <ext xmlns:x14="http://schemas.microsoft.com/office/spreadsheetml/2009/9/main" uri="{B025F937-C7B1-47D3-B67F-A62EFF666E3E}">
          <x14:id>{AC458F12-5687-604B-AE9C-A0C329DF073E}</x14:id>
        </ext>
      </extLst>
    </cfRule>
  </conditionalFormatting>
  <pageMargins left="0.75" right="0.75" top="1" bottom="1" header="0.5" footer="0.5"/>
  <pageSetup paperSize="9" scale="10" firstPageNumber="0" fitToWidth="0" fitToHeight="0" orientation="portrait" horizontalDpi="300" verticalDpi="300" r:id="rId2"/>
  <headerFooter alignWithMargins="0"/>
  <drawing r:id="rId3"/>
  <extLst>
    <ext xmlns:x14="http://schemas.microsoft.com/office/spreadsheetml/2009/9/main" uri="{78C0D931-6437-407d-A8EE-F0AAD7539E65}">
      <x14:conditionalFormattings>
        <x14:conditionalFormatting xmlns:xm="http://schemas.microsoft.com/office/excel/2006/main">
          <x14:cfRule type="dataBar" id="{79CE7F1A-C8E1-41C8-A0A4-F72252D5AA2B}">
            <x14:dataBar minLength="0" maxLength="100" axisPosition="none">
              <x14:cfvo type="num">
                <xm:f>0</xm:f>
              </x14:cfvo>
              <x14:cfvo type="num">
                <xm:f>1</xm:f>
              </x14:cfvo>
              <x14:negativeFillColor theme="0"/>
            </x14:dataBar>
          </x14:cfRule>
          <xm:sqref>D14:F16</xm:sqref>
        </x14:conditionalFormatting>
        <x14:conditionalFormatting xmlns:xm="http://schemas.microsoft.com/office/excel/2006/main">
          <x14:cfRule type="dataBar" id="{CE1A1EA3-9DDD-9A41-A8BF-B6CBFDEDF38D}">
            <x14:dataBar minLength="0" maxLength="100" axisPosition="none">
              <x14:cfvo type="num">
                <xm:f>0</xm:f>
              </x14:cfvo>
              <x14:cfvo type="num">
                <xm:f>3</xm:f>
              </x14:cfvo>
              <x14:negativeFillColor theme="0"/>
            </x14:dataBar>
          </x14:cfRule>
          <xm:sqref>J14</xm:sqref>
        </x14:conditionalFormatting>
        <x14:conditionalFormatting xmlns:xm="http://schemas.microsoft.com/office/excel/2006/main">
          <x14:cfRule type="dataBar" id="{6A17C54A-5208-1544-967C-21EA558BB5A2}">
            <x14:dataBar minLength="0" maxLength="100" axisPosition="none">
              <x14:cfvo type="num">
                <xm:f>0</xm:f>
              </x14:cfvo>
              <x14:cfvo type="num">
                <xm:f>3</xm:f>
              </x14:cfvo>
              <x14:negativeFillColor theme="0"/>
            </x14:dataBar>
          </x14:cfRule>
          <xm:sqref>J15</xm:sqref>
        </x14:conditionalFormatting>
        <x14:conditionalFormatting xmlns:xm="http://schemas.microsoft.com/office/excel/2006/main">
          <x14:cfRule type="dataBar" id="{C8FF7E97-48C1-ED40-96CA-0E0620DAF410}">
            <x14:dataBar minLength="0" maxLength="100" axisPosition="none">
              <x14:cfvo type="num">
                <xm:f>0</xm:f>
              </x14:cfvo>
              <x14:cfvo type="num">
                <xm:f>3</xm:f>
              </x14:cfvo>
              <x14:negativeFillColor theme="0"/>
            </x14:dataBar>
          </x14:cfRule>
          <xm:sqref>J17</xm:sqref>
        </x14:conditionalFormatting>
        <x14:conditionalFormatting xmlns:xm="http://schemas.microsoft.com/office/excel/2006/main">
          <x14:cfRule type="dataBar" id="{C16D4B20-5426-CD42-9383-E916F6FBDC0F}">
            <x14:dataBar minLength="0" maxLength="100" axisPosition="none">
              <x14:cfvo type="num">
                <xm:f>0</xm:f>
              </x14:cfvo>
              <x14:cfvo type="num">
                <xm:f>3</xm:f>
              </x14:cfvo>
              <x14:negativeFillColor theme="0"/>
            </x14:dataBar>
          </x14:cfRule>
          <xm:sqref>J18</xm:sqref>
        </x14:conditionalFormatting>
        <x14:conditionalFormatting xmlns:xm="http://schemas.microsoft.com/office/excel/2006/main">
          <x14:cfRule type="dataBar" id="{8BA98B9F-7B08-0045-8A48-8340549E9F13}">
            <x14:dataBar minLength="0" maxLength="100" axisPosition="none">
              <x14:cfvo type="num">
                <xm:f>0</xm:f>
              </x14:cfvo>
              <x14:cfvo type="num">
                <xm:f>3</xm:f>
              </x14:cfvo>
              <x14:negativeFillColor theme="0"/>
            </x14:dataBar>
          </x14:cfRule>
          <xm:sqref>J16</xm:sqref>
        </x14:conditionalFormatting>
        <x14:conditionalFormatting xmlns:xm="http://schemas.microsoft.com/office/excel/2006/main">
          <x14:cfRule type="dataBar" id="{1AAFDDBA-9BD7-7E4C-BE6F-262D8363CE14}">
            <x14:dataBar minLength="0" maxLength="100" axisPosition="none">
              <x14:cfvo type="num">
                <xm:f>0</xm:f>
              </x14:cfvo>
              <x14:cfvo type="num">
                <xm:f>1</xm:f>
              </x14:cfvo>
              <x14:negativeFillColor theme="0"/>
            </x14:dataBar>
          </x14:cfRule>
          <xm:sqref>D17:F19</xm:sqref>
        </x14:conditionalFormatting>
        <x14:conditionalFormatting xmlns:xm="http://schemas.microsoft.com/office/excel/2006/main">
          <x14:cfRule type="dataBar" id="{F73F64BE-95C9-A747-A99A-DC3894C9FC06}">
            <x14:dataBar minLength="0" maxLength="100" axisPosition="none">
              <x14:cfvo type="num">
                <xm:f>0</xm:f>
              </x14:cfvo>
              <x14:cfvo type="num">
                <xm:f>1</xm:f>
              </x14:cfvo>
              <x14:negativeFillColor theme="0"/>
            </x14:dataBar>
          </x14:cfRule>
          <xm:sqref>D20:F22</xm:sqref>
        </x14:conditionalFormatting>
        <x14:conditionalFormatting xmlns:xm="http://schemas.microsoft.com/office/excel/2006/main">
          <x14:cfRule type="dataBar" id="{0B7C6959-93C1-BA41-97E7-0719C08BC71E}">
            <x14:dataBar minLength="0" maxLength="100" axisPosition="none">
              <x14:cfvo type="num">
                <xm:f>0</xm:f>
              </x14:cfvo>
              <x14:cfvo type="num">
                <xm:f>1</xm:f>
              </x14:cfvo>
              <x14:negativeFillColor theme="0"/>
            </x14:dataBar>
          </x14:cfRule>
          <xm:sqref>D23:F25</xm:sqref>
        </x14:conditionalFormatting>
        <x14:conditionalFormatting xmlns:xm="http://schemas.microsoft.com/office/excel/2006/main">
          <x14:cfRule type="dataBar" id="{7E04D6E8-5FE9-2442-A8A1-B7598DD51B03}">
            <x14:dataBar minLength="0" maxLength="100" axisPosition="none">
              <x14:cfvo type="num">
                <xm:f>0</xm:f>
              </x14:cfvo>
              <x14:cfvo type="num">
                <xm:f>1</xm:f>
              </x14:cfvo>
              <x14:negativeFillColor theme="0"/>
            </x14:dataBar>
          </x14:cfRule>
          <xm:sqref>D26:F28</xm:sqref>
        </x14:conditionalFormatting>
        <x14:conditionalFormatting xmlns:xm="http://schemas.microsoft.com/office/excel/2006/main">
          <x14:cfRule type="dataBar" id="{9284054C-B96D-734E-B836-A04429639158}">
            <x14:dataBar minLength="0" maxLength="100" axisPosition="none">
              <x14:cfvo type="num">
                <xm:f>0</xm:f>
              </x14:cfvo>
              <x14:cfvo type="num">
                <xm:f>1</xm:f>
              </x14:cfvo>
              <x14:negativeFillColor theme="0"/>
            </x14:dataBar>
          </x14:cfRule>
          <xm:sqref>D34:F35</xm:sqref>
        </x14:conditionalFormatting>
        <x14:conditionalFormatting xmlns:xm="http://schemas.microsoft.com/office/excel/2006/main">
          <x14:cfRule type="dataBar" id="{B2C0F71A-5D19-384E-BB6D-E125D32E1B8C}">
            <x14:dataBar minLength="0" maxLength="100" axisPosition="none">
              <x14:cfvo type="num">
                <xm:f>0</xm:f>
              </x14:cfvo>
              <x14:cfvo type="num">
                <xm:f>1</xm:f>
              </x14:cfvo>
              <x14:negativeFillColor theme="0"/>
            </x14:dataBar>
          </x14:cfRule>
          <xm:sqref>D36:F36</xm:sqref>
        </x14:conditionalFormatting>
        <x14:conditionalFormatting xmlns:xm="http://schemas.microsoft.com/office/excel/2006/main">
          <x14:cfRule type="dataBar" id="{FD0B1922-2603-D34C-BD93-E5C332866DE6}">
            <x14:dataBar minLength="0" maxLength="100" axisPosition="none">
              <x14:cfvo type="num">
                <xm:f>0</xm:f>
              </x14:cfvo>
              <x14:cfvo type="num">
                <xm:f>3</xm:f>
              </x14:cfvo>
              <x14:negativeFillColor theme="0"/>
            </x14:dataBar>
          </x14:cfRule>
          <xm:sqref>J34</xm:sqref>
        </x14:conditionalFormatting>
        <x14:conditionalFormatting xmlns:xm="http://schemas.microsoft.com/office/excel/2006/main">
          <x14:cfRule type="dataBar" id="{2ECD7768-D8AC-4342-ADB4-FE48AFE0A842}">
            <x14:dataBar minLength="0" maxLength="100" axisPosition="none">
              <x14:cfvo type="num">
                <xm:f>0</xm:f>
              </x14:cfvo>
              <x14:cfvo type="num">
                <xm:f>3</xm:f>
              </x14:cfvo>
              <x14:negativeFillColor theme="0"/>
            </x14:dataBar>
          </x14:cfRule>
          <xm:sqref>J35</xm:sqref>
        </x14:conditionalFormatting>
        <x14:conditionalFormatting xmlns:xm="http://schemas.microsoft.com/office/excel/2006/main">
          <x14:cfRule type="dataBar" id="{7C90C993-82E5-C545-B58B-5B68FD19D25B}">
            <x14:dataBar minLength="0" maxLength="100" axisPosition="none">
              <x14:cfvo type="num">
                <xm:f>0</xm:f>
              </x14:cfvo>
              <x14:cfvo type="num">
                <xm:f>3</xm:f>
              </x14:cfvo>
              <x14:negativeFillColor theme="0"/>
            </x14:dataBar>
          </x14:cfRule>
          <xm:sqref>J37</xm:sqref>
        </x14:conditionalFormatting>
        <x14:conditionalFormatting xmlns:xm="http://schemas.microsoft.com/office/excel/2006/main">
          <x14:cfRule type="dataBar" id="{7892B420-8350-8446-AC23-3550B0BF1BB1}">
            <x14:dataBar minLength="0" maxLength="100" axisPosition="none">
              <x14:cfvo type="num">
                <xm:f>0</xm:f>
              </x14:cfvo>
              <x14:cfvo type="num">
                <xm:f>3</xm:f>
              </x14:cfvo>
              <x14:negativeFillColor theme="0"/>
            </x14:dataBar>
          </x14:cfRule>
          <xm:sqref>J38</xm:sqref>
        </x14:conditionalFormatting>
        <x14:conditionalFormatting xmlns:xm="http://schemas.microsoft.com/office/excel/2006/main">
          <x14:cfRule type="dataBar" id="{9A7A3D6D-709F-AD46-B1DC-AD3D5D658E4B}">
            <x14:dataBar minLength="0" maxLength="100" axisPosition="none">
              <x14:cfvo type="num">
                <xm:f>0</xm:f>
              </x14:cfvo>
              <x14:cfvo type="num">
                <xm:f>3</xm:f>
              </x14:cfvo>
              <x14:negativeFillColor theme="0"/>
            </x14:dataBar>
          </x14:cfRule>
          <xm:sqref>J36</xm:sqref>
        </x14:conditionalFormatting>
        <x14:conditionalFormatting xmlns:xm="http://schemas.microsoft.com/office/excel/2006/main">
          <x14:cfRule type="dataBar" id="{AAC4A2C6-0211-E641-808F-D2A1F1FE71AF}">
            <x14:dataBar minLength="0" maxLength="100" axisPosition="none">
              <x14:cfvo type="num">
                <xm:f>0</xm:f>
              </x14:cfvo>
              <x14:cfvo type="num">
                <xm:f>1</xm:f>
              </x14:cfvo>
              <x14:negativeFillColor theme="0"/>
            </x14:dataBar>
          </x14:cfRule>
          <xm:sqref>D37:F39</xm:sqref>
        </x14:conditionalFormatting>
        <x14:conditionalFormatting xmlns:xm="http://schemas.microsoft.com/office/excel/2006/main">
          <x14:cfRule type="dataBar" id="{E5778153-4227-784B-B990-774EB3B347E1}">
            <x14:dataBar minLength="0" maxLength="100" axisPosition="none">
              <x14:cfvo type="num">
                <xm:f>0</xm:f>
              </x14:cfvo>
              <x14:cfvo type="num">
                <xm:f>1</xm:f>
              </x14:cfvo>
              <x14:negativeFillColor theme="0"/>
            </x14:dataBar>
          </x14:cfRule>
          <xm:sqref>D46:F48</xm:sqref>
        </x14:conditionalFormatting>
        <x14:conditionalFormatting xmlns:xm="http://schemas.microsoft.com/office/excel/2006/main">
          <x14:cfRule type="dataBar" id="{E69ED88F-9AAA-4A46-ADBD-6262268CC951}">
            <x14:dataBar minLength="0" maxLength="100" axisPosition="none">
              <x14:cfvo type="num">
                <xm:f>0</xm:f>
              </x14:cfvo>
              <x14:cfvo type="num">
                <xm:f>1</xm:f>
              </x14:cfvo>
              <x14:negativeFillColor theme="0"/>
            </x14:dataBar>
          </x14:cfRule>
          <xm:sqref>D43:F45</xm:sqref>
        </x14:conditionalFormatting>
        <x14:conditionalFormatting xmlns:xm="http://schemas.microsoft.com/office/excel/2006/main">
          <x14:cfRule type="dataBar" id="{086D738C-C711-1847-A362-F3CC237D9B16}">
            <x14:dataBar minLength="0" maxLength="100" axisPosition="none">
              <x14:cfvo type="num">
                <xm:f>0</xm:f>
              </x14:cfvo>
              <x14:cfvo type="num">
                <xm:f>1</xm:f>
              </x14:cfvo>
              <x14:negativeFillColor theme="0"/>
            </x14:dataBar>
          </x14:cfRule>
          <xm:sqref>D40:F42</xm:sqref>
        </x14:conditionalFormatting>
        <x14:conditionalFormatting xmlns:xm="http://schemas.microsoft.com/office/excel/2006/main">
          <x14:cfRule type="dataBar" id="{5B299429-7CE6-8947-800E-BFFA8A16553A}">
            <x14:dataBar minLength="0" maxLength="100" axisPosition="none">
              <x14:cfvo type="num">
                <xm:f>0</xm:f>
              </x14:cfvo>
              <x14:cfvo type="num">
                <xm:f>1</xm:f>
              </x14:cfvo>
              <x14:negativeFillColor theme="0"/>
            </x14:dataBar>
          </x14:cfRule>
          <xm:sqref>D73:F74</xm:sqref>
        </x14:conditionalFormatting>
        <x14:conditionalFormatting xmlns:xm="http://schemas.microsoft.com/office/excel/2006/main">
          <x14:cfRule type="dataBar" id="{0070DD35-ACDC-5D4F-BC4F-FBC7D55FD25D}">
            <x14:dataBar minLength="0" maxLength="100" axisPosition="none">
              <x14:cfvo type="num">
                <xm:f>0</xm:f>
              </x14:cfvo>
              <x14:cfvo type="num">
                <xm:f>1</xm:f>
              </x14:cfvo>
              <x14:negativeFillColor theme="0"/>
            </x14:dataBar>
          </x14:cfRule>
          <xm:sqref>D94:F95</xm:sqref>
        </x14:conditionalFormatting>
        <x14:conditionalFormatting xmlns:xm="http://schemas.microsoft.com/office/excel/2006/main">
          <x14:cfRule type="dataBar" id="{89045399-ADE9-A942-B276-AF1861C4C28E}">
            <x14:dataBar minLength="0" maxLength="100" axisPosition="none">
              <x14:cfvo type="num">
                <xm:f>0</xm:f>
              </x14:cfvo>
              <x14:cfvo type="num">
                <xm:f>3</xm:f>
              </x14:cfvo>
              <x14:negativeFillColor theme="0"/>
            </x14:dataBar>
          </x14:cfRule>
          <xm:sqref>J54</xm:sqref>
        </x14:conditionalFormatting>
        <x14:conditionalFormatting xmlns:xm="http://schemas.microsoft.com/office/excel/2006/main">
          <x14:cfRule type="dataBar" id="{0190F321-B1B4-0F41-BAB5-6181D21F94A1}">
            <x14:dataBar minLength="0" maxLength="100" axisPosition="none">
              <x14:cfvo type="num">
                <xm:f>0</xm:f>
              </x14:cfvo>
              <x14:cfvo type="num">
                <xm:f>3</xm:f>
              </x14:cfvo>
              <x14:negativeFillColor theme="0"/>
            </x14:dataBar>
          </x14:cfRule>
          <xm:sqref>J55</xm:sqref>
        </x14:conditionalFormatting>
        <x14:conditionalFormatting xmlns:xm="http://schemas.microsoft.com/office/excel/2006/main">
          <x14:cfRule type="dataBar" id="{04BE1661-D85A-D646-A55D-558497E9681D}">
            <x14:dataBar minLength="0" maxLength="100" axisPosition="none">
              <x14:cfvo type="num">
                <xm:f>0</xm:f>
              </x14:cfvo>
              <x14:cfvo type="num">
                <xm:f>3</xm:f>
              </x14:cfvo>
              <x14:negativeFillColor theme="0"/>
            </x14:dataBar>
          </x14:cfRule>
          <xm:sqref>J57</xm:sqref>
        </x14:conditionalFormatting>
        <x14:conditionalFormatting xmlns:xm="http://schemas.microsoft.com/office/excel/2006/main">
          <x14:cfRule type="dataBar" id="{7F1B8C0C-543C-F446-9A44-3AABC7389FFA}">
            <x14:dataBar minLength="0" maxLength="100" axisPosition="none">
              <x14:cfvo type="num">
                <xm:f>0</xm:f>
              </x14:cfvo>
              <x14:cfvo type="num">
                <xm:f>3</xm:f>
              </x14:cfvo>
              <x14:negativeFillColor theme="0"/>
            </x14:dataBar>
          </x14:cfRule>
          <xm:sqref>J58</xm:sqref>
        </x14:conditionalFormatting>
        <x14:conditionalFormatting xmlns:xm="http://schemas.microsoft.com/office/excel/2006/main">
          <x14:cfRule type="dataBar" id="{AA86F1CB-E203-3740-B170-888B12C27C96}">
            <x14:dataBar minLength="0" maxLength="100" axisPosition="none">
              <x14:cfvo type="num">
                <xm:f>0</xm:f>
              </x14:cfvo>
              <x14:cfvo type="num">
                <xm:f>3</xm:f>
              </x14:cfvo>
              <x14:negativeFillColor theme="0"/>
            </x14:dataBar>
          </x14:cfRule>
          <xm:sqref>J56</xm:sqref>
        </x14:conditionalFormatting>
        <x14:conditionalFormatting xmlns:xm="http://schemas.microsoft.com/office/excel/2006/main">
          <x14:cfRule type="dataBar" id="{706B6C92-9FBC-0B43-81D4-275F8274E674}">
            <x14:dataBar minLength="0" maxLength="100" axisPosition="none">
              <x14:cfvo type="num">
                <xm:f>0</xm:f>
              </x14:cfvo>
              <x14:cfvo type="num">
                <xm:f>3</xm:f>
              </x14:cfvo>
              <x14:negativeFillColor theme="0"/>
            </x14:dataBar>
          </x14:cfRule>
          <xm:sqref>J73</xm:sqref>
        </x14:conditionalFormatting>
        <x14:conditionalFormatting xmlns:xm="http://schemas.microsoft.com/office/excel/2006/main">
          <x14:cfRule type="dataBar" id="{2BBBAEFD-2474-3C4C-9EBE-BF619BC72DD0}">
            <x14:dataBar minLength="0" maxLength="100" axisPosition="none">
              <x14:cfvo type="num">
                <xm:f>0</xm:f>
              </x14:cfvo>
              <x14:cfvo type="num">
                <xm:f>3</xm:f>
              </x14:cfvo>
              <x14:negativeFillColor theme="0"/>
            </x14:dataBar>
          </x14:cfRule>
          <xm:sqref>J74</xm:sqref>
        </x14:conditionalFormatting>
        <x14:conditionalFormatting xmlns:xm="http://schemas.microsoft.com/office/excel/2006/main">
          <x14:cfRule type="dataBar" id="{3CA6D3E4-9560-7A40-AA76-25126B323DEE}">
            <x14:dataBar minLength="0" maxLength="100" axisPosition="none">
              <x14:cfvo type="num">
                <xm:f>0</xm:f>
              </x14:cfvo>
              <x14:cfvo type="num">
                <xm:f>3</xm:f>
              </x14:cfvo>
              <x14:negativeFillColor theme="0"/>
            </x14:dataBar>
          </x14:cfRule>
          <xm:sqref>J76</xm:sqref>
        </x14:conditionalFormatting>
        <x14:conditionalFormatting xmlns:xm="http://schemas.microsoft.com/office/excel/2006/main">
          <x14:cfRule type="dataBar" id="{C5E89D6C-F5E9-F146-A2CF-80A229BE538E}">
            <x14:dataBar minLength="0" maxLength="100" axisPosition="none">
              <x14:cfvo type="num">
                <xm:f>0</xm:f>
              </x14:cfvo>
              <x14:cfvo type="num">
                <xm:f>3</xm:f>
              </x14:cfvo>
              <x14:negativeFillColor theme="0"/>
            </x14:dataBar>
          </x14:cfRule>
          <xm:sqref>J77</xm:sqref>
        </x14:conditionalFormatting>
        <x14:conditionalFormatting xmlns:xm="http://schemas.microsoft.com/office/excel/2006/main">
          <x14:cfRule type="dataBar" id="{3D8E2C15-A37F-4E48-9684-3261922A8FBB}">
            <x14:dataBar minLength="0" maxLength="100" axisPosition="none">
              <x14:cfvo type="num">
                <xm:f>0</xm:f>
              </x14:cfvo>
              <x14:cfvo type="num">
                <xm:f>3</xm:f>
              </x14:cfvo>
              <x14:negativeFillColor theme="0"/>
            </x14:dataBar>
          </x14:cfRule>
          <xm:sqref>J75</xm:sqref>
        </x14:conditionalFormatting>
        <x14:conditionalFormatting xmlns:xm="http://schemas.microsoft.com/office/excel/2006/main">
          <x14:cfRule type="dataBar" id="{D3324781-D0D6-C643-8583-2A2D31EC03C9}">
            <x14:dataBar minLength="0" maxLength="100" axisPosition="none">
              <x14:cfvo type="num">
                <xm:f>0</xm:f>
              </x14:cfvo>
              <x14:cfvo type="num">
                <xm:f>3</xm:f>
              </x14:cfvo>
              <x14:negativeFillColor theme="0"/>
            </x14:dataBar>
          </x14:cfRule>
          <xm:sqref>J94</xm:sqref>
        </x14:conditionalFormatting>
        <x14:conditionalFormatting xmlns:xm="http://schemas.microsoft.com/office/excel/2006/main">
          <x14:cfRule type="dataBar" id="{DB105B0A-E675-A348-97D5-1470930F7894}">
            <x14:dataBar minLength="0" maxLength="100" axisPosition="none">
              <x14:cfvo type="num">
                <xm:f>0</xm:f>
              </x14:cfvo>
              <x14:cfvo type="num">
                <xm:f>3</xm:f>
              </x14:cfvo>
              <x14:negativeFillColor theme="0"/>
            </x14:dataBar>
          </x14:cfRule>
          <xm:sqref>J95</xm:sqref>
        </x14:conditionalFormatting>
        <x14:conditionalFormatting xmlns:xm="http://schemas.microsoft.com/office/excel/2006/main">
          <x14:cfRule type="dataBar" id="{62DBBDAC-2DC0-8947-9DD2-AE85FF169D42}">
            <x14:dataBar minLength="0" maxLength="100" axisPosition="none">
              <x14:cfvo type="num">
                <xm:f>0</xm:f>
              </x14:cfvo>
              <x14:cfvo type="num">
                <xm:f>3</xm:f>
              </x14:cfvo>
              <x14:negativeFillColor theme="0"/>
            </x14:dataBar>
          </x14:cfRule>
          <xm:sqref>J97</xm:sqref>
        </x14:conditionalFormatting>
        <x14:conditionalFormatting xmlns:xm="http://schemas.microsoft.com/office/excel/2006/main">
          <x14:cfRule type="dataBar" id="{27AE3CB4-BDFB-A046-A823-5C2020278603}">
            <x14:dataBar minLength="0" maxLength="100" axisPosition="none">
              <x14:cfvo type="num">
                <xm:f>0</xm:f>
              </x14:cfvo>
              <x14:cfvo type="num">
                <xm:f>3</xm:f>
              </x14:cfvo>
              <x14:negativeFillColor theme="0"/>
            </x14:dataBar>
          </x14:cfRule>
          <xm:sqref>J98</xm:sqref>
        </x14:conditionalFormatting>
        <x14:conditionalFormatting xmlns:xm="http://schemas.microsoft.com/office/excel/2006/main">
          <x14:cfRule type="dataBar" id="{6C1DB384-CD97-2C4C-AD95-6A06C6D61994}">
            <x14:dataBar minLength="0" maxLength="100" axisPosition="none">
              <x14:cfvo type="num">
                <xm:f>0</xm:f>
              </x14:cfvo>
              <x14:cfvo type="num">
                <xm:f>3</xm:f>
              </x14:cfvo>
              <x14:negativeFillColor theme="0"/>
            </x14:dataBar>
          </x14:cfRule>
          <xm:sqref>J96</xm:sqref>
        </x14:conditionalFormatting>
        <x14:conditionalFormatting xmlns:xm="http://schemas.microsoft.com/office/excel/2006/main">
          <x14:cfRule type="dataBar" id="{A52097B3-778B-3E49-8456-8B3F58DE6432}">
            <x14:dataBar minLength="0" maxLength="100" axisPosition="none">
              <x14:cfvo type="num">
                <xm:f>0</xm:f>
              </x14:cfvo>
              <x14:cfvo type="num">
                <xm:f>1</xm:f>
              </x14:cfvo>
              <x14:negativeFillColor theme="0"/>
            </x14:dataBar>
          </x14:cfRule>
          <xm:sqref>D54:F55</xm:sqref>
        </x14:conditionalFormatting>
        <x14:conditionalFormatting xmlns:xm="http://schemas.microsoft.com/office/excel/2006/main">
          <x14:cfRule type="dataBar" id="{0258849F-BB00-E840-A754-D8965F6EFC5A}">
            <x14:dataBar minLength="0" maxLength="100" axisPosition="none">
              <x14:cfvo type="num">
                <xm:f>0</xm:f>
              </x14:cfvo>
              <x14:cfvo type="num">
                <xm:f>1</xm:f>
              </x14:cfvo>
              <x14:negativeFillColor theme="0"/>
            </x14:dataBar>
          </x14:cfRule>
          <xm:sqref>D57:F59</xm:sqref>
        </x14:conditionalFormatting>
        <x14:conditionalFormatting xmlns:xm="http://schemas.microsoft.com/office/excel/2006/main">
          <x14:cfRule type="dataBar" id="{FBFF620F-3054-8743-B2B2-922FD3EB3146}">
            <x14:dataBar minLength="0" maxLength="100" axisPosition="none">
              <x14:cfvo type="num">
                <xm:f>0</xm:f>
              </x14:cfvo>
              <x14:cfvo type="num">
                <xm:f>1</xm:f>
              </x14:cfvo>
              <x14:negativeFillColor theme="0"/>
            </x14:dataBar>
          </x14:cfRule>
          <xm:sqref>D60:F62</xm:sqref>
        </x14:conditionalFormatting>
        <x14:conditionalFormatting xmlns:xm="http://schemas.microsoft.com/office/excel/2006/main">
          <x14:cfRule type="dataBar" id="{0FEAB4A9-3B80-A54C-9926-D36822351D67}">
            <x14:dataBar minLength="0" maxLength="100" axisPosition="none">
              <x14:cfvo type="num">
                <xm:f>0</xm:f>
              </x14:cfvo>
              <x14:cfvo type="num">
                <xm:f>1</xm:f>
              </x14:cfvo>
              <x14:negativeFillColor theme="0"/>
            </x14:dataBar>
          </x14:cfRule>
          <xm:sqref>D56:F56</xm:sqref>
        </x14:conditionalFormatting>
        <x14:conditionalFormatting xmlns:xm="http://schemas.microsoft.com/office/excel/2006/main">
          <x14:cfRule type="dataBar" id="{04641AF3-20CD-9F4E-BE20-3F1D4E5DD152}">
            <x14:dataBar minLength="0" maxLength="100" axisPosition="none">
              <x14:cfvo type="num">
                <xm:f>0</xm:f>
              </x14:cfvo>
              <x14:cfvo type="num">
                <xm:f>1</xm:f>
              </x14:cfvo>
              <x14:negativeFillColor theme="0"/>
            </x14:dataBar>
          </x14:cfRule>
          <xm:sqref>D75:F75</xm:sqref>
        </x14:conditionalFormatting>
        <x14:conditionalFormatting xmlns:xm="http://schemas.microsoft.com/office/excel/2006/main">
          <x14:cfRule type="dataBar" id="{2EB04995-98B4-9E41-98DF-0410F226A877}">
            <x14:dataBar minLength="0" maxLength="100" axisPosition="none">
              <x14:cfvo type="num">
                <xm:f>0</xm:f>
              </x14:cfvo>
              <x14:cfvo type="num">
                <xm:f>1</xm:f>
              </x14:cfvo>
              <x14:negativeFillColor theme="0"/>
            </x14:dataBar>
          </x14:cfRule>
          <xm:sqref>D76:F76</xm:sqref>
        </x14:conditionalFormatting>
        <x14:conditionalFormatting xmlns:xm="http://schemas.microsoft.com/office/excel/2006/main">
          <x14:cfRule type="dataBar" id="{A225102F-FA19-6D4E-B6DD-045F47D2B130}">
            <x14:dataBar minLength="0" maxLength="100" axisPosition="none">
              <x14:cfvo type="num">
                <xm:f>0</xm:f>
              </x14:cfvo>
              <x14:cfvo type="num">
                <xm:f>1</xm:f>
              </x14:cfvo>
              <x14:negativeFillColor theme="0"/>
            </x14:dataBar>
          </x14:cfRule>
          <xm:sqref>D77:F77</xm:sqref>
        </x14:conditionalFormatting>
        <x14:conditionalFormatting xmlns:xm="http://schemas.microsoft.com/office/excel/2006/main">
          <x14:cfRule type="dataBar" id="{C42E40E0-BDA2-A943-BC3C-1DDEA0283AE8}">
            <x14:dataBar minLength="0" maxLength="100" axisPosition="none">
              <x14:cfvo type="num">
                <xm:f>0</xm:f>
              </x14:cfvo>
              <x14:cfvo type="num">
                <xm:f>1</xm:f>
              </x14:cfvo>
              <x14:negativeFillColor theme="0"/>
            </x14:dataBar>
          </x14:cfRule>
          <xm:sqref>D78:F78</xm:sqref>
        </x14:conditionalFormatting>
        <x14:conditionalFormatting xmlns:xm="http://schemas.microsoft.com/office/excel/2006/main">
          <x14:cfRule type="dataBar" id="{177CFC9E-B11F-E34E-9ABC-B8903C73BC94}">
            <x14:dataBar minLength="0" maxLength="100" axisPosition="none">
              <x14:cfvo type="num">
                <xm:f>0</xm:f>
              </x14:cfvo>
              <x14:cfvo type="num">
                <xm:f>1</xm:f>
              </x14:cfvo>
              <x14:negativeFillColor theme="0"/>
            </x14:dataBar>
          </x14:cfRule>
          <xm:sqref>D79:F79</xm:sqref>
        </x14:conditionalFormatting>
        <x14:conditionalFormatting xmlns:xm="http://schemas.microsoft.com/office/excel/2006/main">
          <x14:cfRule type="dataBar" id="{735371FA-677F-B842-AC67-765DFD3CC95C}">
            <x14:dataBar minLength="0" maxLength="100" axisPosition="none">
              <x14:cfvo type="num">
                <xm:f>0</xm:f>
              </x14:cfvo>
              <x14:cfvo type="num">
                <xm:f>1</xm:f>
              </x14:cfvo>
              <x14:negativeFillColor theme="0"/>
            </x14:dataBar>
          </x14:cfRule>
          <xm:sqref>D80:F80</xm:sqref>
        </x14:conditionalFormatting>
        <x14:conditionalFormatting xmlns:xm="http://schemas.microsoft.com/office/excel/2006/main">
          <x14:cfRule type="dataBar" id="{BC29E5C6-A1C1-2E4C-B56F-527EADCBECEB}">
            <x14:dataBar minLength="0" maxLength="100" axisPosition="none">
              <x14:cfvo type="num">
                <xm:f>0</xm:f>
              </x14:cfvo>
              <x14:cfvo type="num">
                <xm:f>1</xm:f>
              </x14:cfvo>
              <x14:negativeFillColor theme="0"/>
            </x14:dataBar>
          </x14:cfRule>
          <xm:sqref>D81:F81</xm:sqref>
        </x14:conditionalFormatting>
        <x14:conditionalFormatting xmlns:xm="http://schemas.microsoft.com/office/excel/2006/main">
          <x14:cfRule type="dataBar" id="{8805C11D-B443-5C4C-B574-14E178AD6AEB}">
            <x14:dataBar minLength="0" maxLength="100" axisPosition="none">
              <x14:cfvo type="num">
                <xm:f>0</xm:f>
              </x14:cfvo>
              <x14:cfvo type="num">
                <xm:f>1</xm:f>
              </x14:cfvo>
              <x14:negativeFillColor theme="0"/>
            </x14:dataBar>
          </x14:cfRule>
          <xm:sqref>D82:F82</xm:sqref>
        </x14:conditionalFormatting>
        <x14:conditionalFormatting xmlns:xm="http://schemas.microsoft.com/office/excel/2006/main">
          <x14:cfRule type="dataBar" id="{E4000B67-4FFE-1547-BE36-D3A75F2B1F83}">
            <x14:dataBar minLength="0" maxLength="100" axisPosition="none">
              <x14:cfvo type="num">
                <xm:f>0</xm:f>
              </x14:cfvo>
              <x14:cfvo type="num">
                <xm:f>1</xm:f>
              </x14:cfvo>
              <x14:negativeFillColor theme="0"/>
            </x14:dataBar>
          </x14:cfRule>
          <xm:sqref>D83:F83</xm:sqref>
        </x14:conditionalFormatting>
        <x14:conditionalFormatting xmlns:xm="http://schemas.microsoft.com/office/excel/2006/main">
          <x14:cfRule type="dataBar" id="{C6BA9D2A-FE7C-8942-87A0-3401C00B70BA}">
            <x14:dataBar minLength="0" maxLength="100" axisPosition="none">
              <x14:cfvo type="num">
                <xm:f>0</xm:f>
              </x14:cfvo>
              <x14:cfvo type="num">
                <xm:f>1</xm:f>
              </x14:cfvo>
              <x14:negativeFillColor theme="0"/>
            </x14:dataBar>
          </x14:cfRule>
          <xm:sqref>D84:F84</xm:sqref>
        </x14:conditionalFormatting>
        <x14:conditionalFormatting xmlns:xm="http://schemas.microsoft.com/office/excel/2006/main">
          <x14:cfRule type="dataBar" id="{2162CAD1-CC48-AE48-9520-2C8477F02EEB}">
            <x14:dataBar minLength="0" maxLength="100" axisPosition="none">
              <x14:cfvo type="num">
                <xm:f>0</xm:f>
              </x14:cfvo>
              <x14:cfvo type="num">
                <xm:f>1</xm:f>
              </x14:cfvo>
              <x14:negativeFillColor theme="0"/>
            </x14:dataBar>
          </x14:cfRule>
          <xm:sqref>D85:F85</xm:sqref>
        </x14:conditionalFormatting>
        <x14:conditionalFormatting xmlns:xm="http://schemas.microsoft.com/office/excel/2006/main">
          <x14:cfRule type="dataBar" id="{25C86D2F-B3CD-DD4F-A97E-FA745F026962}">
            <x14:dataBar minLength="0" maxLength="100" axisPosition="none">
              <x14:cfvo type="num">
                <xm:f>0</xm:f>
              </x14:cfvo>
              <x14:cfvo type="num">
                <xm:f>1</xm:f>
              </x14:cfvo>
              <x14:negativeFillColor theme="0"/>
            </x14:dataBar>
          </x14:cfRule>
          <xm:sqref>D86:F86</xm:sqref>
        </x14:conditionalFormatting>
        <x14:conditionalFormatting xmlns:xm="http://schemas.microsoft.com/office/excel/2006/main">
          <x14:cfRule type="dataBar" id="{CC578245-B16F-3947-9930-D324445BCE70}">
            <x14:dataBar minLength="0" maxLength="100" axisPosition="none">
              <x14:cfvo type="num">
                <xm:f>0</xm:f>
              </x14:cfvo>
              <x14:cfvo type="num">
                <xm:f>1</xm:f>
              </x14:cfvo>
              <x14:negativeFillColor theme="0"/>
            </x14:dataBar>
          </x14:cfRule>
          <xm:sqref>D87:F87</xm:sqref>
        </x14:conditionalFormatting>
        <x14:conditionalFormatting xmlns:xm="http://schemas.microsoft.com/office/excel/2006/main">
          <x14:cfRule type="dataBar" id="{AC9DBBA4-2984-AD42-A019-4A19DF084899}">
            <x14:dataBar minLength="0" maxLength="100" axisPosition="none">
              <x14:cfvo type="num">
                <xm:f>0</xm:f>
              </x14:cfvo>
              <x14:cfvo type="num">
                <xm:f>1</xm:f>
              </x14:cfvo>
              <x14:negativeFillColor theme="0"/>
            </x14:dataBar>
          </x14:cfRule>
          <xm:sqref>D63:F63</xm:sqref>
        </x14:conditionalFormatting>
        <x14:conditionalFormatting xmlns:xm="http://schemas.microsoft.com/office/excel/2006/main">
          <x14:cfRule type="dataBar" id="{1AAE9071-A5BB-1544-834C-8BF597F77B9D}">
            <x14:dataBar minLength="0" maxLength="100" axisPosition="none">
              <x14:cfvo type="num">
                <xm:f>0</xm:f>
              </x14:cfvo>
              <x14:cfvo type="num">
                <xm:f>1</xm:f>
              </x14:cfvo>
              <x14:negativeFillColor theme="0"/>
            </x14:dataBar>
          </x14:cfRule>
          <xm:sqref>D64:F64</xm:sqref>
        </x14:conditionalFormatting>
        <x14:conditionalFormatting xmlns:xm="http://schemas.microsoft.com/office/excel/2006/main">
          <x14:cfRule type="dataBar" id="{1B67DAC1-EA50-7B48-820E-13BCD1D73D63}">
            <x14:dataBar minLength="0" maxLength="100" axisPosition="none">
              <x14:cfvo type="num">
                <xm:f>0</xm:f>
              </x14:cfvo>
              <x14:cfvo type="num">
                <xm:f>1</xm:f>
              </x14:cfvo>
              <x14:negativeFillColor theme="0"/>
            </x14:dataBar>
          </x14:cfRule>
          <xm:sqref>D65:F65</xm:sqref>
        </x14:conditionalFormatting>
        <x14:conditionalFormatting xmlns:xm="http://schemas.microsoft.com/office/excel/2006/main">
          <x14:cfRule type="dataBar" id="{60190627-4815-A143-9FAB-95DA349481CA}">
            <x14:dataBar minLength="0" maxLength="100" axisPosition="none">
              <x14:cfvo type="num">
                <xm:f>0</xm:f>
              </x14:cfvo>
              <x14:cfvo type="num">
                <xm:f>1</xm:f>
              </x14:cfvo>
              <x14:negativeFillColor theme="0"/>
            </x14:dataBar>
          </x14:cfRule>
          <xm:sqref>D66:F66</xm:sqref>
        </x14:conditionalFormatting>
        <x14:conditionalFormatting xmlns:xm="http://schemas.microsoft.com/office/excel/2006/main">
          <x14:cfRule type="dataBar" id="{06AD80DC-D768-2C47-AD32-3A754DC7E3C4}">
            <x14:dataBar minLength="0" maxLength="100" axisPosition="none">
              <x14:cfvo type="num">
                <xm:f>0</xm:f>
              </x14:cfvo>
              <x14:cfvo type="num">
                <xm:f>1</xm:f>
              </x14:cfvo>
              <x14:negativeFillColor theme="0"/>
            </x14:dataBar>
          </x14:cfRule>
          <xm:sqref>D67:F67</xm:sqref>
        </x14:conditionalFormatting>
        <x14:conditionalFormatting xmlns:xm="http://schemas.microsoft.com/office/excel/2006/main">
          <x14:cfRule type="dataBar" id="{27E2CF7A-A2D0-3645-B278-77EBDC5E93BF}">
            <x14:dataBar minLength="0" maxLength="100" axisPosition="none">
              <x14:cfvo type="num">
                <xm:f>0</xm:f>
              </x14:cfvo>
              <x14:cfvo type="num">
                <xm:f>1</xm:f>
              </x14:cfvo>
              <x14:negativeFillColor theme="0"/>
            </x14:dataBar>
          </x14:cfRule>
          <xm:sqref>D68:F68</xm:sqref>
        </x14:conditionalFormatting>
        <x14:conditionalFormatting xmlns:xm="http://schemas.microsoft.com/office/excel/2006/main">
          <x14:cfRule type="dataBar" id="{8BF4D1CB-7A4D-5B49-96C0-6C2B4CFEB64C}">
            <x14:dataBar minLength="0" maxLength="100" axisPosition="none">
              <x14:cfvo type="num">
                <xm:f>0</xm:f>
              </x14:cfvo>
              <x14:cfvo type="num">
                <xm:f>1</xm:f>
              </x14:cfvo>
              <x14:negativeFillColor theme="0"/>
            </x14:dataBar>
          </x14:cfRule>
          <xm:sqref>D96:F96</xm:sqref>
        </x14:conditionalFormatting>
        <x14:conditionalFormatting xmlns:xm="http://schemas.microsoft.com/office/excel/2006/main">
          <x14:cfRule type="dataBar" id="{07FD69E6-C99A-3C47-94C4-9D1D46E0C352}">
            <x14:dataBar minLength="0" maxLength="100" axisPosition="none">
              <x14:cfvo type="num">
                <xm:f>0</xm:f>
              </x14:cfvo>
              <x14:cfvo type="num">
                <xm:f>1</xm:f>
              </x14:cfvo>
              <x14:negativeFillColor theme="0"/>
            </x14:dataBar>
          </x14:cfRule>
          <xm:sqref>D97:F97</xm:sqref>
        </x14:conditionalFormatting>
        <x14:conditionalFormatting xmlns:xm="http://schemas.microsoft.com/office/excel/2006/main">
          <x14:cfRule type="dataBar" id="{6BA60214-0ACA-F34D-A0B5-365768C660E7}">
            <x14:dataBar minLength="0" maxLength="100" axisPosition="none">
              <x14:cfvo type="num">
                <xm:f>0</xm:f>
              </x14:cfvo>
              <x14:cfvo type="num">
                <xm:f>1</xm:f>
              </x14:cfvo>
              <x14:negativeFillColor theme="0"/>
            </x14:dataBar>
          </x14:cfRule>
          <xm:sqref>D98:F98</xm:sqref>
        </x14:conditionalFormatting>
        <x14:conditionalFormatting xmlns:xm="http://schemas.microsoft.com/office/excel/2006/main">
          <x14:cfRule type="dataBar" id="{9E1BAB02-69E8-CA41-9884-87885F94E599}">
            <x14:dataBar minLength="0" maxLength="100" axisPosition="none">
              <x14:cfvo type="num">
                <xm:f>0</xm:f>
              </x14:cfvo>
              <x14:cfvo type="num">
                <xm:f>1</xm:f>
              </x14:cfvo>
              <x14:negativeFillColor theme="0"/>
            </x14:dataBar>
          </x14:cfRule>
          <xm:sqref>D99:F99</xm:sqref>
        </x14:conditionalFormatting>
        <x14:conditionalFormatting xmlns:xm="http://schemas.microsoft.com/office/excel/2006/main">
          <x14:cfRule type="dataBar" id="{1558E827-D00E-4B40-A53E-57AEFC9C89EC}">
            <x14:dataBar minLength="0" maxLength="100" axisPosition="none">
              <x14:cfvo type="num">
                <xm:f>0</xm:f>
              </x14:cfvo>
              <x14:cfvo type="num">
                <xm:f>1</xm:f>
              </x14:cfvo>
              <x14:negativeFillColor theme="0"/>
            </x14:dataBar>
          </x14:cfRule>
          <xm:sqref>D100:F100</xm:sqref>
        </x14:conditionalFormatting>
        <x14:conditionalFormatting xmlns:xm="http://schemas.microsoft.com/office/excel/2006/main">
          <x14:cfRule type="dataBar" id="{9E34A243-7B78-C84D-8762-D32545E64F42}">
            <x14:dataBar minLength="0" maxLength="100" axisPosition="none">
              <x14:cfvo type="num">
                <xm:f>0</xm:f>
              </x14:cfvo>
              <x14:cfvo type="num">
                <xm:f>1</xm:f>
              </x14:cfvo>
              <x14:negativeFillColor theme="0"/>
            </x14:dataBar>
          </x14:cfRule>
          <xm:sqref>D101:F101</xm:sqref>
        </x14:conditionalFormatting>
        <x14:conditionalFormatting xmlns:xm="http://schemas.microsoft.com/office/excel/2006/main">
          <x14:cfRule type="dataBar" id="{C35A8CE2-8004-4845-95F8-CF48A694C1E5}">
            <x14:dataBar minLength="0" maxLength="100" axisPosition="none">
              <x14:cfvo type="num">
                <xm:f>0</xm:f>
              </x14:cfvo>
              <x14:cfvo type="num">
                <xm:f>1</xm:f>
              </x14:cfvo>
              <x14:negativeFillColor theme="0"/>
            </x14:dataBar>
          </x14:cfRule>
          <xm:sqref>D102:F102</xm:sqref>
        </x14:conditionalFormatting>
        <x14:conditionalFormatting xmlns:xm="http://schemas.microsoft.com/office/excel/2006/main">
          <x14:cfRule type="dataBar" id="{E81339E0-F52B-E94D-A6D8-C78657EA2F48}">
            <x14:dataBar minLength="0" maxLength="100" axisPosition="none">
              <x14:cfvo type="num">
                <xm:f>0</xm:f>
              </x14:cfvo>
              <x14:cfvo type="num">
                <xm:f>1</xm:f>
              </x14:cfvo>
              <x14:negativeFillColor theme="0"/>
            </x14:dataBar>
          </x14:cfRule>
          <xm:sqref>D103:F103</xm:sqref>
        </x14:conditionalFormatting>
        <x14:conditionalFormatting xmlns:xm="http://schemas.microsoft.com/office/excel/2006/main">
          <x14:cfRule type="dataBar" id="{6A9B8208-06AF-7C4F-B744-EBE4D21F53A9}">
            <x14:dataBar minLength="0" maxLength="100" axisPosition="none">
              <x14:cfvo type="num">
                <xm:f>0</xm:f>
              </x14:cfvo>
              <x14:cfvo type="num">
                <xm:f>1</xm:f>
              </x14:cfvo>
              <x14:negativeFillColor theme="0"/>
            </x14:dataBar>
          </x14:cfRule>
          <xm:sqref>D104:F104</xm:sqref>
        </x14:conditionalFormatting>
        <x14:conditionalFormatting xmlns:xm="http://schemas.microsoft.com/office/excel/2006/main">
          <x14:cfRule type="dataBar" id="{65C2F711-4A45-9743-930F-D750FDDADDF6}">
            <x14:dataBar minLength="0" maxLength="100" axisPosition="none">
              <x14:cfvo type="num">
                <xm:f>0</xm:f>
              </x14:cfvo>
              <x14:cfvo type="num">
                <xm:f>1</xm:f>
              </x14:cfvo>
              <x14:negativeFillColor theme="0"/>
            </x14:dataBar>
          </x14:cfRule>
          <xm:sqref>D105:F105</xm:sqref>
        </x14:conditionalFormatting>
        <x14:conditionalFormatting xmlns:xm="http://schemas.microsoft.com/office/excel/2006/main">
          <x14:cfRule type="dataBar" id="{B0076D44-5CCB-E845-BF71-60FD77893322}">
            <x14:dataBar minLength="0" maxLength="100" axisPosition="none">
              <x14:cfvo type="num">
                <xm:f>0</xm:f>
              </x14:cfvo>
              <x14:cfvo type="num">
                <xm:f>1</xm:f>
              </x14:cfvo>
              <x14:negativeFillColor theme="0"/>
            </x14:dataBar>
          </x14:cfRule>
          <xm:sqref>D106:F106</xm:sqref>
        </x14:conditionalFormatting>
        <x14:conditionalFormatting xmlns:xm="http://schemas.microsoft.com/office/excel/2006/main">
          <x14:cfRule type="dataBar" id="{91C11B56-9A57-104F-BF70-ADB2EAA2CD4A}">
            <x14:dataBar minLength="0" maxLength="100" axisPosition="none">
              <x14:cfvo type="num">
                <xm:f>0</xm:f>
              </x14:cfvo>
              <x14:cfvo type="num">
                <xm:f>1</xm:f>
              </x14:cfvo>
              <x14:negativeFillColor theme="0"/>
            </x14:dataBar>
          </x14:cfRule>
          <xm:sqref>D107:F107</xm:sqref>
        </x14:conditionalFormatting>
        <x14:conditionalFormatting xmlns:xm="http://schemas.microsoft.com/office/excel/2006/main">
          <x14:cfRule type="dataBar" id="{AC458F12-5687-604B-AE9C-A0C329DF073E}">
            <x14:dataBar minLength="0" maxLength="100" axisPosition="none">
              <x14:cfvo type="num">
                <xm:f>0</xm:f>
              </x14:cfvo>
              <x14:cfvo type="num">
                <xm:f>1</xm:f>
              </x14:cfvo>
              <x14:negativeFillColor theme="0"/>
            </x14:dataBar>
          </x14:cfRule>
          <xm:sqref>D108:F108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54"/>
  <sheetViews>
    <sheetView topLeftCell="B4" zoomScaleNormal="100" workbookViewId="0">
      <selection activeCell="D12" sqref="D12"/>
    </sheetView>
  </sheetViews>
  <sheetFormatPr defaultColWidth="8.85546875" defaultRowHeight="15" x14ac:dyDescent="0.25"/>
  <cols>
    <col min="1" max="1" width="16.85546875" style="23" hidden="1" customWidth="1"/>
    <col min="2" max="2" width="13.42578125" style="236" customWidth="1"/>
    <col min="3" max="3" width="7.28515625" style="236" customWidth="1"/>
    <col min="4" max="4" width="68" style="143" customWidth="1"/>
    <col min="5" max="5" width="5.140625" style="167" hidden="1" customWidth="1"/>
    <col min="6" max="6" width="39" style="27" customWidth="1"/>
    <col min="7" max="7" width="8.7109375" style="23" hidden="1" customWidth="1"/>
    <col min="8" max="8" width="8.7109375" style="124" hidden="1" customWidth="1"/>
    <col min="9" max="9" width="15" style="12" customWidth="1"/>
    <col min="10" max="10" width="54.7109375" customWidth="1"/>
    <col min="11" max="11" width="7" hidden="1" customWidth="1"/>
    <col min="12" max="12" width="9.140625" hidden="1" customWidth="1"/>
    <col min="13" max="13" width="16.42578125" customWidth="1"/>
    <col min="14" max="14" width="49.85546875" customWidth="1"/>
    <col min="15" max="15" width="28.7109375" hidden="1" customWidth="1"/>
    <col min="16" max="16" width="15" hidden="1" customWidth="1"/>
    <col min="17" max="17" width="15" bestFit="1" customWidth="1"/>
    <col min="18" max="18" width="51.28515625" customWidth="1"/>
    <col min="19" max="20" width="15" hidden="1" customWidth="1"/>
    <col min="21" max="21" width="15" bestFit="1" customWidth="1"/>
    <col min="22" max="22" width="49" customWidth="1"/>
    <col min="23" max="24" width="15" hidden="1" customWidth="1"/>
    <col min="25" max="25" width="15" bestFit="1" customWidth="1"/>
  </cols>
  <sheetData>
    <row r="1" spans="1:25" ht="18" x14ac:dyDescent="0.25">
      <c r="A1"/>
      <c r="B1" s="283" t="str">
        <f>CONCATENATE("SAMM Assessment Interview: ",D11," For ",D10)</f>
        <v xml:space="preserve">SAMM Assessment Interview:  For </v>
      </c>
      <c r="C1" s="234"/>
      <c r="D1" s="249"/>
      <c r="E1" s="249"/>
      <c r="F1" s="249"/>
      <c r="G1" s="249"/>
      <c r="H1" s="249"/>
      <c r="I1" s="10"/>
      <c r="J1" s="235"/>
      <c r="K1" s="235"/>
      <c r="L1" s="235"/>
      <c r="M1" s="235"/>
      <c r="N1" s="235"/>
      <c r="O1" s="235"/>
      <c r="P1" s="235"/>
      <c r="Q1" s="235"/>
      <c r="R1" s="235"/>
      <c r="S1" s="235"/>
      <c r="T1" s="235"/>
      <c r="U1" s="235"/>
      <c r="V1" s="235"/>
      <c r="W1" s="235"/>
      <c r="X1" s="235"/>
      <c r="Y1" s="235"/>
    </row>
    <row r="2" spans="1:25" ht="15.75" thickBot="1" x14ac:dyDescent="0.3">
      <c r="A2"/>
      <c r="B2" s="284"/>
      <c r="C2" s="131"/>
      <c r="D2" s="235"/>
      <c r="E2" s="20"/>
      <c r="F2" s="24"/>
      <c r="G2" s="20"/>
      <c r="H2" s="113"/>
      <c r="I2" s="10"/>
      <c r="J2" s="235"/>
      <c r="K2" s="235"/>
      <c r="L2" s="235"/>
      <c r="M2" s="235"/>
      <c r="N2" s="235"/>
      <c r="O2" s="235"/>
      <c r="P2" s="235"/>
      <c r="Q2" s="235"/>
      <c r="R2" s="235"/>
      <c r="S2" s="235"/>
      <c r="T2" s="235"/>
      <c r="U2" s="235"/>
      <c r="V2" s="235"/>
      <c r="W2" s="235"/>
      <c r="X2" s="235"/>
      <c r="Y2" s="235"/>
    </row>
    <row r="3" spans="1:25" x14ac:dyDescent="0.25">
      <c r="A3"/>
      <c r="B3" s="285" t="s">
        <v>13</v>
      </c>
      <c r="C3" s="256"/>
      <c r="D3" s="250"/>
      <c r="E3" s="250"/>
      <c r="F3" s="250"/>
      <c r="G3" s="250"/>
      <c r="H3" s="250"/>
      <c r="I3" s="10"/>
      <c r="J3" s="235"/>
      <c r="K3" s="235"/>
      <c r="L3" s="235"/>
      <c r="M3" s="235"/>
      <c r="N3" s="235"/>
      <c r="O3" s="235"/>
      <c r="P3" s="235"/>
      <c r="Q3" s="235"/>
      <c r="R3" s="235"/>
      <c r="S3" s="235"/>
      <c r="T3" s="235"/>
      <c r="U3" s="235"/>
      <c r="V3" s="235"/>
      <c r="W3" s="235"/>
      <c r="X3" s="235"/>
      <c r="Y3" s="235"/>
    </row>
    <row r="4" spans="1:25" x14ac:dyDescent="0.25">
      <c r="A4"/>
      <c r="B4" s="286" t="s">
        <v>14</v>
      </c>
      <c r="C4" s="257"/>
      <c r="D4" s="221"/>
      <c r="E4" s="221"/>
      <c r="F4" s="221"/>
      <c r="G4" s="221"/>
      <c r="H4" s="221"/>
      <c r="I4" s="10"/>
      <c r="J4" s="235"/>
      <c r="K4" s="235"/>
      <c r="L4" s="235"/>
      <c r="M4" s="235"/>
      <c r="N4" s="235"/>
      <c r="O4" s="235"/>
      <c r="P4" s="235"/>
      <c r="Q4" s="235"/>
      <c r="R4" s="235"/>
      <c r="S4" s="235"/>
      <c r="T4" s="235"/>
      <c r="U4" s="235"/>
      <c r="V4" s="235"/>
      <c r="W4" s="235"/>
      <c r="X4" s="235"/>
      <c r="Y4" s="235"/>
    </row>
    <row r="5" spans="1:25" x14ac:dyDescent="0.25">
      <c r="A5"/>
      <c r="B5" s="287" t="s">
        <v>101</v>
      </c>
      <c r="C5" s="258"/>
      <c r="D5" s="222"/>
      <c r="E5" s="222"/>
      <c r="F5" s="222"/>
      <c r="G5" s="222"/>
      <c r="H5" s="222"/>
      <c r="I5" s="10"/>
      <c r="J5" s="235"/>
      <c r="K5" s="235"/>
      <c r="L5" s="235"/>
      <c r="M5" s="235"/>
      <c r="N5" s="235"/>
      <c r="O5" s="235"/>
      <c r="P5" s="235"/>
      <c r="Q5" s="235"/>
      <c r="R5" s="235"/>
      <c r="S5" s="235"/>
      <c r="T5" s="235"/>
      <c r="U5" s="235"/>
      <c r="V5" s="235"/>
      <c r="W5" s="235"/>
      <c r="X5" s="235"/>
      <c r="Y5" s="235"/>
    </row>
    <row r="6" spans="1:25" x14ac:dyDescent="0.25">
      <c r="A6"/>
      <c r="B6" s="287" t="s">
        <v>15</v>
      </c>
      <c r="C6" s="258"/>
      <c r="D6" s="222"/>
      <c r="E6" s="222"/>
      <c r="F6" s="222"/>
      <c r="G6" s="222"/>
      <c r="H6" s="222"/>
      <c r="I6" s="10"/>
      <c r="J6" s="235"/>
      <c r="K6" s="235"/>
      <c r="L6" s="235"/>
      <c r="M6" s="235"/>
      <c r="N6" s="235"/>
      <c r="O6" s="235"/>
      <c r="P6" s="235"/>
      <c r="Q6" s="235"/>
      <c r="R6" s="235"/>
      <c r="S6" s="235"/>
      <c r="T6" s="235"/>
      <c r="U6" s="235"/>
      <c r="V6" s="235"/>
      <c r="W6" s="235"/>
      <c r="X6" s="235"/>
      <c r="Y6" s="235"/>
    </row>
    <row r="7" spans="1:25" x14ac:dyDescent="0.25">
      <c r="A7"/>
      <c r="B7" s="287" t="s">
        <v>102</v>
      </c>
      <c r="C7" s="258"/>
      <c r="D7" s="222"/>
      <c r="E7" s="222"/>
      <c r="F7" s="222"/>
      <c r="G7" s="222"/>
      <c r="H7" s="222"/>
      <c r="I7" s="10"/>
      <c r="J7" s="235"/>
      <c r="K7" s="235"/>
      <c r="L7" s="235"/>
      <c r="M7" s="235"/>
      <c r="N7" s="235"/>
      <c r="O7" s="235"/>
      <c r="P7" s="235"/>
      <c r="Q7" s="235"/>
      <c r="R7" s="235"/>
      <c r="S7" s="235"/>
      <c r="T7" s="235"/>
      <c r="U7" s="235"/>
      <c r="V7" s="235"/>
      <c r="W7" s="235"/>
      <c r="X7" s="235"/>
      <c r="Y7" s="235"/>
    </row>
    <row r="8" spans="1:25" ht="15.75" thickBot="1" x14ac:dyDescent="0.3">
      <c r="A8"/>
      <c r="B8" s="288" t="s">
        <v>16</v>
      </c>
      <c r="C8" s="259"/>
      <c r="D8" s="223"/>
      <c r="E8" s="223"/>
      <c r="F8" s="223"/>
      <c r="G8" s="223"/>
      <c r="H8" s="223"/>
      <c r="I8" s="10"/>
      <c r="J8" s="235"/>
      <c r="K8" s="235"/>
      <c r="L8" s="235"/>
      <c r="M8" s="235"/>
      <c r="N8" s="235"/>
      <c r="O8" s="235"/>
      <c r="P8" s="235"/>
      <c r="Q8" s="235"/>
      <c r="R8" s="235"/>
      <c r="S8" s="235"/>
      <c r="T8" s="235"/>
      <c r="U8" s="235"/>
      <c r="V8" s="235"/>
      <c r="W8" s="235"/>
      <c r="X8" s="235"/>
      <c r="Y8" s="235"/>
    </row>
    <row r="9" spans="1:25" ht="15.75" thickBot="1" x14ac:dyDescent="0.3">
      <c r="A9"/>
      <c r="B9" s="284"/>
      <c r="C9" s="131"/>
      <c r="D9" s="235"/>
      <c r="E9" s="20"/>
      <c r="F9" s="24"/>
      <c r="G9" s="20"/>
      <c r="H9" s="113"/>
      <c r="I9" s="10"/>
      <c r="J9" s="235"/>
      <c r="K9" s="235"/>
      <c r="L9" s="235"/>
      <c r="M9" s="235"/>
      <c r="N9" s="235"/>
      <c r="O9" s="235"/>
      <c r="P9" s="235"/>
      <c r="Q9" s="235"/>
      <c r="R9" s="235"/>
      <c r="S9" s="235"/>
      <c r="T9" s="235"/>
      <c r="U9" s="235"/>
      <c r="V9" s="235"/>
      <c r="W9" s="235"/>
      <c r="X9" s="235"/>
      <c r="Y9" s="235"/>
    </row>
    <row r="10" spans="1:25" ht="15.75" thickBot="1" x14ac:dyDescent="0.3">
      <c r="A10"/>
      <c r="B10" s="289" t="s">
        <v>17</v>
      </c>
      <c r="C10" s="317"/>
      <c r="D10" s="240" t="str">
        <f>IF(ISBLANK(Interview!D10),"",Interview!D10)</f>
        <v/>
      </c>
      <c r="E10" s="20"/>
      <c r="F10" s="24"/>
      <c r="G10" s="20"/>
      <c r="H10" s="113"/>
      <c r="I10" s="10"/>
      <c r="J10" s="235"/>
      <c r="K10" s="235"/>
      <c r="L10" s="235"/>
      <c r="M10" s="235"/>
      <c r="N10" s="235"/>
      <c r="O10" s="235"/>
      <c r="P10" s="235"/>
      <c r="Q10" s="235"/>
      <c r="R10" s="235"/>
      <c r="S10" s="235"/>
      <c r="T10" s="235"/>
      <c r="U10" s="235"/>
      <c r="V10" s="235"/>
      <c r="W10" s="235"/>
      <c r="X10" s="235"/>
      <c r="Y10" s="235"/>
    </row>
    <row r="11" spans="1:25" ht="15.75" thickBot="1" x14ac:dyDescent="0.3">
      <c r="A11"/>
      <c r="B11" s="290" t="s">
        <v>501</v>
      </c>
      <c r="C11" s="318"/>
      <c r="D11" s="240" t="str">
        <f>IF(ISBLANK(Interview!D11),"",Interview!D11)</f>
        <v/>
      </c>
      <c r="E11" s="20"/>
      <c r="F11" s="24"/>
      <c r="G11" s="20"/>
      <c r="H11" s="113"/>
      <c r="I11" s="10"/>
      <c r="J11" s="235"/>
      <c r="K11" s="235"/>
      <c r="L11" s="235"/>
      <c r="M11" s="235"/>
      <c r="N11" s="235"/>
      <c r="O11" s="235"/>
      <c r="P11" s="235"/>
      <c r="Q11" s="235"/>
      <c r="R11" s="235"/>
      <c r="S11" s="235"/>
      <c r="T11" s="235"/>
      <c r="U11" s="235"/>
      <c r="V11" s="235"/>
      <c r="W11" s="235"/>
      <c r="X11" s="235"/>
      <c r="Y11" s="235"/>
    </row>
    <row r="12" spans="1:25" ht="15.75" thickBot="1" x14ac:dyDescent="0.3">
      <c r="A12"/>
      <c r="B12" s="290" t="s">
        <v>18</v>
      </c>
      <c r="C12" s="318"/>
      <c r="D12" s="241" t="str">
        <f>IF(ISBLANK(Interview!D12),"",Interview!D12)</f>
        <v/>
      </c>
      <c r="E12" s="163"/>
      <c r="F12" s="24"/>
      <c r="G12" s="20"/>
      <c r="H12" s="113"/>
      <c r="I12" s="10"/>
      <c r="J12" s="235"/>
      <c r="K12" s="235"/>
      <c r="L12" s="235"/>
      <c r="M12" s="235"/>
      <c r="N12" s="235"/>
      <c r="O12" s="235"/>
      <c r="P12" s="235"/>
      <c r="Q12" s="235"/>
      <c r="R12" s="235"/>
      <c r="S12" s="235"/>
      <c r="T12" s="235"/>
      <c r="U12" s="235"/>
      <c r="V12" s="235"/>
      <c r="W12" s="235"/>
      <c r="X12" s="235"/>
      <c r="Y12" s="235"/>
    </row>
    <row r="13" spans="1:25" ht="15.75" thickBot="1" x14ac:dyDescent="0.3">
      <c r="A13"/>
      <c r="B13" s="290" t="s">
        <v>502</v>
      </c>
      <c r="C13" s="319"/>
      <c r="D13" s="240" t="str">
        <f>IF(ISBLANK(Interview!D13),"",Interview!D13)</f>
        <v/>
      </c>
      <c r="E13" s="20"/>
      <c r="F13" s="24"/>
      <c r="G13" s="20"/>
      <c r="H13" s="113"/>
      <c r="I13" s="10"/>
      <c r="J13" s="235"/>
      <c r="K13" s="235"/>
      <c r="L13" s="235"/>
      <c r="M13" s="235"/>
      <c r="N13" s="235"/>
      <c r="O13" s="235"/>
      <c r="P13" s="235"/>
      <c r="Q13" s="235"/>
      <c r="R13" s="235"/>
      <c r="S13" s="235"/>
      <c r="T13" s="235"/>
      <c r="U13" s="235"/>
      <c r="V13" s="235"/>
      <c r="W13" s="235"/>
      <c r="X13" s="235"/>
      <c r="Y13" s="235"/>
    </row>
    <row r="14" spans="1:25" ht="24" thickBot="1" x14ac:dyDescent="0.4">
      <c r="A14" s="192" t="str">
        <f>IF(A15=A16,"OK","Problem")</f>
        <v>OK</v>
      </c>
      <c r="B14" s="291" t="s">
        <v>9</v>
      </c>
      <c r="C14" s="316"/>
      <c r="D14" s="320" t="str">
        <f>IF(ISBLANK(Interview!D14),"",Interview!D14)</f>
        <v/>
      </c>
      <c r="E14" s="20"/>
      <c r="F14" s="24"/>
      <c r="G14" s="20"/>
      <c r="H14" s="113"/>
      <c r="I14" s="10"/>
      <c r="J14" s="235"/>
      <c r="K14" s="235"/>
      <c r="L14" s="235"/>
      <c r="M14" s="235"/>
      <c r="N14" s="235"/>
      <c r="O14" s="235"/>
      <c r="P14" s="235"/>
      <c r="Q14" s="235"/>
      <c r="R14" s="235"/>
      <c r="S14" s="235"/>
      <c r="T14" s="235"/>
      <c r="U14" s="235"/>
      <c r="V14" s="235"/>
      <c r="W14" s="235"/>
      <c r="X14" s="235"/>
      <c r="Y14" s="235"/>
    </row>
    <row r="15" spans="1:25" x14ac:dyDescent="0.25">
      <c r="A15">
        <f>COUNTA('imp-questions'!A2:A300)</f>
        <v>90</v>
      </c>
      <c r="B15" s="131"/>
      <c r="C15" s="131"/>
      <c r="D15" s="235"/>
      <c r="E15" s="20"/>
      <c r="F15" s="24"/>
      <c r="G15" s="20"/>
      <c r="H15" s="113"/>
      <c r="I15" s="10"/>
      <c r="J15" s="235"/>
      <c r="K15" s="235"/>
      <c r="L15" s="235"/>
      <c r="M15" s="235"/>
      <c r="N15" s="235"/>
      <c r="O15" s="235"/>
      <c r="P15" s="235"/>
      <c r="Q15" s="235"/>
      <c r="R15" s="235"/>
      <c r="S15" s="235"/>
      <c r="T15" s="235"/>
      <c r="U15" s="235"/>
      <c r="V15" s="235"/>
      <c r="W15" s="235"/>
      <c r="X15" s="235"/>
      <c r="Y15" s="235"/>
    </row>
    <row r="16" spans="1:25" ht="12.75" x14ac:dyDescent="0.2">
      <c r="A16">
        <f>COUNTA(A18:A175)</f>
        <v>90</v>
      </c>
      <c r="B16" s="307" t="s">
        <v>19</v>
      </c>
      <c r="C16" s="307"/>
      <c r="D16" s="308"/>
      <c r="E16" s="308"/>
      <c r="F16" s="494" t="s">
        <v>60</v>
      </c>
      <c r="G16" s="495"/>
      <c r="H16" s="495"/>
      <c r="I16" s="496"/>
      <c r="J16" s="494" t="s">
        <v>506</v>
      </c>
      <c r="K16" s="495"/>
      <c r="L16" s="495"/>
      <c r="M16" s="496"/>
      <c r="N16" s="494" t="s">
        <v>507</v>
      </c>
      <c r="O16" s="495"/>
      <c r="P16" s="495"/>
      <c r="Q16" s="496"/>
      <c r="R16" s="494" t="s">
        <v>508</v>
      </c>
      <c r="S16" s="495"/>
      <c r="T16" s="495"/>
      <c r="U16" s="496"/>
      <c r="V16" s="494" t="s">
        <v>509</v>
      </c>
      <c r="W16" s="495"/>
      <c r="X16" s="495"/>
      <c r="Y16" s="496"/>
    </row>
    <row r="17" spans="1:25" x14ac:dyDescent="0.25">
      <c r="B17" s="275" t="s">
        <v>503</v>
      </c>
      <c r="C17" s="260" t="s">
        <v>504</v>
      </c>
      <c r="D17" s="203" t="s">
        <v>20</v>
      </c>
      <c r="E17" s="148"/>
      <c r="F17" s="299" t="s">
        <v>34</v>
      </c>
      <c r="G17" s="67"/>
      <c r="H17" s="114"/>
      <c r="I17" s="251" t="s">
        <v>32</v>
      </c>
      <c r="J17" s="67" t="s">
        <v>34</v>
      </c>
      <c r="K17" s="67"/>
      <c r="L17" s="114"/>
      <c r="M17" s="251" t="s">
        <v>32</v>
      </c>
      <c r="N17" s="67" t="s">
        <v>34</v>
      </c>
      <c r="O17" s="67"/>
      <c r="P17" s="114"/>
      <c r="Q17" s="251" t="s">
        <v>32</v>
      </c>
      <c r="R17" s="67" t="s">
        <v>34</v>
      </c>
      <c r="S17" s="67"/>
      <c r="T17" s="114"/>
      <c r="U17" s="251" t="s">
        <v>32</v>
      </c>
      <c r="V17" s="67" t="s">
        <v>34</v>
      </c>
      <c r="W17" s="67"/>
      <c r="X17" s="114"/>
      <c r="Y17" s="251" t="s">
        <v>32</v>
      </c>
    </row>
    <row r="18" spans="1:25" ht="25.5" x14ac:dyDescent="0.2">
      <c r="A18" s="162" t="str">
        <f>Interview!A18</f>
        <v>G-SM-A-1-1</v>
      </c>
      <c r="B18" s="497" t="str">
        <f>VLOOKUP(A18,'imp-questions'!A:H,4,FALSE)</f>
        <v>Create and Promote</v>
      </c>
      <c r="C18" s="261">
        <f>VLOOKUP(A18,'imp-questions'!A:H,5,FALSE)</f>
        <v>1</v>
      </c>
      <c r="D18" s="202" t="str">
        <f>VLOOKUP(A18,'imp-questions'!A:H,6,FALSE)</f>
        <v>Has the organization defined a set of risks by which applications could be prioritized?</v>
      </c>
      <c r="E18" s="164" t="str">
        <f>CHAR(65+VLOOKUP(A18,'imp-questions'!A:H,8,FALSE))</f>
        <v>N</v>
      </c>
      <c r="F18" s="300">
        <f>Interview!F18</f>
        <v>0</v>
      </c>
      <c r="G18" s="172">
        <f>IFERROR(VLOOKUP(F18,AnsNTBL,2,FALSE),0)</f>
        <v>0</v>
      </c>
      <c r="H18" s="102">
        <f>IFERROR(AVERAGE(G18,G22),0)</f>
        <v>0</v>
      </c>
      <c r="I18" s="447">
        <f>SUM(H18,H19,H20)</f>
        <v>0</v>
      </c>
      <c r="J18" s="306">
        <f t="shared" ref="J18:J20" si="0">F18</f>
        <v>0</v>
      </c>
      <c r="K18" s="172">
        <f>IFERROR(VLOOKUP(J18,AnsNTBL,2,FALSE),0)</f>
        <v>0</v>
      </c>
      <c r="L18" s="102">
        <f>IFERROR(AVERAGE(K18,K22),0)</f>
        <v>0</v>
      </c>
      <c r="M18" s="447">
        <f>SUM(L18,L19,L20)</f>
        <v>0</v>
      </c>
      <c r="N18" s="306">
        <f t="shared" ref="N18:N20" si="1">J18</f>
        <v>0</v>
      </c>
      <c r="O18" s="172">
        <f>IFERROR(VLOOKUP(N18,AnsNTBL,2,FALSE),0)</f>
        <v>0</v>
      </c>
      <c r="P18" s="102">
        <f>IFERROR(AVERAGE(O18,O22),0)</f>
        <v>0</v>
      </c>
      <c r="Q18" s="447">
        <f>SUM(P18,P19,P20)</f>
        <v>0</v>
      </c>
      <c r="R18" s="306">
        <f>N18</f>
        <v>0</v>
      </c>
      <c r="S18" s="172">
        <f>IFERROR(VLOOKUP(R18,AnsNTBL,2,FALSE),0)</f>
        <v>0</v>
      </c>
      <c r="T18" s="102">
        <f>IFERROR(AVERAGE(S18,S22),0)</f>
        <v>0</v>
      </c>
      <c r="U18" s="447">
        <f>SUM(T18,T19,T20)</f>
        <v>0</v>
      </c>
      <c r="V18" s="306">
        <f>R18</f>
        <v>0</v>
      </c>
      <c r="W18" s="172">
        <f>IFERROR(VLOOKUP(V18,AnsNTBL,2,FALSE),0)</f>
        <v>0</v>
      </c>
      <c r="X18" s="102">
        <f>IFERROR(AVERAGE(W18,W22),0)</f>
        <v>0</v>
      </c>
      <c r="Y18" s="447">
        <f>SUM(X18,X19,X20)</f>
        <v>0</v>
      </c>
    </row>
    <row r="19" spans="1:25" ht="25.5" x14ac:dyDescent="0.2">
      <c r="A19" s="162" t="str">
        <f>Interview!A20</f>
        <v>G-SM-A-2-1</v>
      </c>
      <c r="B19" s="498"/>
      <c r="C19" s="261">
        <f>VLOOKUP(A19,'imp-questions'!A:H,5,FALSE)</f>
        <v>2</v>
      </c>
      <c r="D19" s="202" t="str">
        <f>VLOOKUP(A19,'imp-questions'!A:H,6,FALSE)</f>
        <v>Do you have a strategic plan for application security that is used to make decisions?</v>
      </c>
      <c r="E19" s="166" t="str">
        <f>CHAR(65+VLOOKUP(A19,'imp-questions'!A:H,8,FALSE))</f>
        <v>O</v>
      </c>
      <c r="F19" s="300">
        <f>Interview!F20</f>
        <v>0</v>
      </c>
      <c r="G19" s="18">
        <f>IFERROR(VLOOKUP(F19,AnsOTBL,2,FALSE),0)</f>
        <v>0</v>
      </c>
      <c r="H19" s="103">
        <f>IFERROR(AVERAGE(G19,G23),0)</f>
        <v>0</v>
      </c>
      <c r="I19" s="448"/>
      <c r="J19" s="306">
        <f t="shared" si="0"/>
        <v>0</v>
      </c>
      <c r="K19" s="18">
        <f>IFERROR(VLOOKUP(J19,AnsOTBL,2,FALSE),0)</f>
        <v>0</v>
      </c>
      <c r="L19" s="103">
        <f>IFERROR(AVERAGE(K19,K23),0)</f>
        <v>0</v>
      </c>
      <c r="M19" s="448"/>
      <c r="N19" s="306">
        <f t="shared" si="1"/>
        <v>0</v>
      </c>
      <c r="O19" s="18">
        <f>IFERROR(VLOOKUP(N19,AnsOTBL,2,FALSE),0)</f>
        <v>0</v>
      </c>
      <c r="P19" s="103">
        <f>IFERROR(AVERAGE(O19,O23),0)</f>
        <v>0</v>
      </c>
      <c r="Q19" s="448"/>
      <c r="R19" s="306">
        <f t="shared" ref="R19:R20" si="2">N19</f>
        <v>0</v>
      </c>
      <c r="S19" s="18">
        <f>IFERROR(VLOOKUP(R19,AnsOTBL,2,FALSE),0)</f>
        <v>0</v>
      </c>
      <c r="T19" s="103">
        <f>IFERROR(AVERAGE(S19,S23),0)</f>
        <v>0</v>
      </c>
      <c r="U19" s="448"/>
      <c r="V19" s="306">
        <f t="shared" ref="V19:V20" si="3">R19</f>
        <v>0</v>
      </c>
      <c r="W19" s="18">
        <f>IFERROR(VLOOKUP(V19,AnsOTBL,2,FALSE),0)</f>
        <v>0</v>
      </c>
      <c r="X19" s="103">
        <f>IFERROR(AVERAGE(W19,W23),0)</f>
        <v>0</v>
      </c>
      <c r="Y19" s="448"/>
    </row>
    <row r="20" spans="1:25" ht="25.5" x14ac:dyDescent="0.2">
      <c r="A20" s="162" t="str">
        <f>Interview!A22</f>
        <v>G-SM-A-3-1</v>
      </c>
      <c r="B20" s="499"/>
      <c r="C20" s="261">
        <f>VLOOKUP(A20,'imp-questions'!A:H,5,FALSE)</f>
        <v>3</v>
      </c>
      <c r="D20" s="296" t="str">
        <f>VLOOKUP(A20,'imp-questions'!A:H,6,FALSE)</f>
        <v>Do you regularly review and update the Strategic Plan for Application Security?</v>
      </c>
      <c r="E20" s="166" t="str">
        <f>CHAR(65+VLOOKUP(A20,'imp-questions'!A:H,8,FALSE))</f>
        <v>P</v>
      </c>
      <c r="F20" s="198">
        <f>Interview!F22</f>
        <v>0</v>
      </c>
      <c r="G20" s="18">
        <f>IFERROR(VLOOKUP(F20,AnsPTBL,2,FALSE),0)</f>
        <v>0</v>
      </c>
      <c r="H20" s="103">
        <f>IFERROR(AVERAGE(G20,G24),0)</f>
        <v>0</v>
      </c>
      <c r="I20" s="448"/>
      <c r="J20" s="306">
        <f t="shared" si="0"/>
        <v>0</v>
      </c>
      <c r="K20" s="18">
        <f>IFERROR(VLOOKUP(J20,AnsPTBL,2,FALSE),0)</f>
        <v>0</v>
      </c>
      <c r="L20" s="103">
        <f>IFERROR(AVERAGE(K20,K24),0)</f>
        <v>0</v>
      </c>
      <c r="M20" s="448"/>
      <c r="N20" s="306">
        <f t="shared" si="1"/>
        <v>0</v>
      </c>
      <c r="O20" s="18">
        <f>IFERROR(VLOOKUP(N20,AnsPTBL,2,FALSE),0)</f>
        <v>0</v>
      </c>
      <c r="P20" s="103">
        <f>IFERROR(AVERAGE(O20,O24),0)</f>
        <v>0</v>
      </c>
      <c r="Q20" s="448"/>
      <c r="R20" s="306">
        <f t="shared" si="2"/>
        <v>0</v>
      </c>
      <c r="S20" s="18">
        <f>IFERROR(VLOOKUP(R20,AnsPTBL,2,FALSE),0)</f>
        <v>0</v>
      </c>
      <c r="T20" s="103">
        <f>IFERROR(AVERAGE(S20,S24),0)</f>
        <v>0</v>
      </c>
      <c r="U20" s="448"/>
      <c r="V20" s="306">
        <f t="shared" si="3"/>
        <v>0</v>
      </c>
      <c r="W20" s="18">
        <f>IFERROR(VLOOKUP(V20,AnsPTBL,2,FALSE),0)</f>
        <v>0</v>
      </c>
      <c r="X20" s="103">
        <f>IFERROR(AVERAGE(W20,W24),0)</f>
        <v>0</v>
      </c>
      <c r="Y20" s="448"/>
    </row>
    <row r="21" spans="1:25" ht="12.75" x14ac:dyDescent="0.2">
      <c r="A21" s="162"/>
      <c r="B21" s="276"/>
      <c r="C21" s="262"/>
      <c r="D21" s="242"/>
      <c r="E21" s="242"/>
      <c r="F21" s="242"/>
      <c r="G21" s="242"/>
      <c r="H21" s="242"/>
      <c r="I21" s="448"/>
      <c r="J21" s="242"/>
      <c r="K21" s="242"/>
      <c r="L21" s="242"/>
      <c r="M21" s="448"/>
      <c r="N21" s="242"/>
      <c r="O21" s="242"/>
      <c r="P21" s="242"/>
      <c r="Q21" s="448"/>
      <c r="R21" s="242"/>
      <c r="S21" s="242"/>
      <c r="T21" s="242"/>
      <c r="U21" s="448"/>
      <c r="V21" s="242"/>
      <c r="W21" s="242"/>
      <c r="X21" s="242"/>
      <c r="Y21" s="448"/>
    </row>
    <row r="22" spans="1:25" ht="25.5" x14ac:dyDescent="0.2">
      <c r="A22" s="162" t="str">
        <f>Interview!A25</f>
        <v>G-SM-B-1-1</v>
      </c>
      <c r="B22" s="497" t="str">
        <f>VLOOKUP(A22,'imp-questions'!A:H,4,FALSE)</f>
        <v>Measure and Improve</v>
      </c>
      <c r="C22" s="261">
        <f>VLOOKUP(A22,'imp-questions'!A:H,5,FALSE)</f>
        <v>1</v>
      </c>
      <c r="D22" s="202" t="str">
        <f>VLOOKUP(A22,'imp-questions'!A:H,6,FALSE)</f>
        <v>Are you using a set of metrics to measure the effectiveness and efficiency of the application security program across applications?</v>
      </c>
      <c r="E22" s="164" t="str">
        <f>CHAR(65+VLOOKUP(A22,'imp-questions'!A:H,8,FALSE))</f>
        <v>Q</v>
      </c>
      <c r="F22" s="298">
        <f>Interview!F25</f>
        <v>0</v>
      </c>
      <c r="G22" s="18">
        <f>IFERROR(VLOOKUP(F22,AnsQTBL,2,FALSE),0)</f>
        <v>0</v>
      </c>
      <c r="H22" s="102"/>
      <c r="I22" s="448"/>
      <c r="J22" s="306">
        <f>F22</f>
        <v>0</v>
      </c>
      <c r="K22" s="18">
        <f>IFERROR(VLOOKUP(J22,AnsQTBL,2,FALSE),0)</f>
        <v>0</v>
      </c>
      <c r="L22" s="102"/>
      <c r="M22" s="448"/>
      <c r="N22" s="306">
        <f>J22</f>
        <v>0</v>
      </c>
      <c r="O22" s="18">
        <f>IFERROR(VLOOKUP(N22,AnsQTBL,2,FALSE),0)</f>
        <v>0</v>
      </c>
      <c r="P22" s="102"/>
      <c r="Q22" s="448"/>
      <c r="R22" s="306">
        <f>N22</f>
        <v>0</v>
      </c>
      <c r="S22" s="18">
        <f>IFERROR(VLOOKUP(R22,AnsQTBL,2,FALSE),0)</f>
        <v>0</v>
      </c>
      <c r="T22" s="102"/>
      <c r="U22" s="448"/>
      <c r="V22" s="306">
        <f>R22</f>
        <v>0</v>
      </c>
      <c r="W22" s="18">
        <f>IFERROR(VLOOKUP(V22,AnsQTBL,2,FALSE),0)</f>
        <v>0</v>
      </c>
      <c r="X22" s="102"/>
      <c r="Y22" s="448"/>
    </row>
    <row r="23" spans="1:25" ht="25.5" x14ac:dyDescent="0.2">
      <c r="A23" s="162" t="str">
        <f>Interview!A27</f>
        <v>G-SM-B-2-1</v>
      </c>
      <c r="B23" s="498"/>
      <c r="C23" s="261">
        <f>VLOOKUP(A23,'imp-questions'!A:H,5,FALSE)</f>
        <v>2</v>
      </c>
      <c r="D23" s="202" t="str">
        <f>VLOOKUP(A23,'imp-questions'!A:H,6,FALSE)</f>
        <v>Did you define Key Perfomance Indicators (KPI) from available application security metrics?</v>
      </c>
      <c r="E23" s="164" t="str">
        <f>CHAR(65+VLOOKUP(A23,'imp-questions'!A:H,8,FALSE))</f>
        <v>B</v>
      </c>
      <c r="F23" s="300">
        <f>Interview!F27</f>
        <v>0</v>
      </c>
      <c r="G23" s="18">
        <f>IFERROR(VLOOKUP(F23,AnsBTBL,2,FALSE),0)</f>
        <v>0</v>
      </c>
      <c r="H23" s="103"/>
      <c r="I23" s="448"/>
      <c r="J23" s="306">
        <f t="shared" ref="J23:J24" si="4">F23</f>
        <v>0</v>
      </c>
      <c r="K23" s="18">
        <f>IFERROR(VLOOKUP(J23,AnsBTBL,2,FALSE),0)</f>
        <v>0</v>
      </c>
      <c r="L23" s="103"/>
      <c r="M23" s="448"/>
      <c r="N23" s="306">
        <f t="shared" ref="N23:N24" si="5">J23</f>
        <v>0</v>
      </c>
      <c r="O23" s="18">
        <f>IFERROR(VLOOKUP(N23,AnsBTBL,2,FALSE),0)</f>
        <v>0</v>
      </c>
      <c r="P23" s="103"/>
      <c r="Q23" s="448"/>
      <c r="R23" s="306">
        <f t="shared" ref="R23:R24" si="6">N23</f>
        <v>0</v>
      </c>
      <c r="S23" s="18">
        <f>IFERROR(VLOOKUP(R23,AnsBTBL,2,FALSE),0)</f>
        <v>0</v>
      </c>
      <c r="T23" s="103"/>
      <c r="U23" s="448"/>
      <c r="V23" s="306">
        <f t="shared" ref="V23:V24" si="7">R23</f>
        <v>0</v>
      </c>
      <c r="W23" s="18">
        <f>IFERROR(VLOOKUP(V23,AnsBTBL,2,FALSE),0)</f>
        <v>0</v>
      </c>
      <c r="X23" s="103"/>
      <c r="Y23" s="448"/>
    </row>
    <row r="24" spans="1:25" ht="25.5" x14ac:dyDescent="0.2">
      <c r="A24" s="162" t="str">
        <f>Interview!A29</f>
        <v>G-SM-B-3-1</v>
      </c>
      <c r="B24" s="499"/>
      <c r="C24" s="261">
        <f>VLOOKUP(A24,'imp-questions'!A:H,5,FALSE)</f>
        <v>3</v>
      </c>
      <c r="D24" s="296" t="str">
        <f>VLOOKUP(A24,'imp-questions'!A:H,6,FALSE)</f>
        <v>Do you influence the Application Security strategy and roadmap based on application security metrics and KPIs?</v>
      </c>
      <c r="E24" s="164" t="str">
        <f>CHAR(65+VLOOKUP(A24,'imp-questions'!A:H,8,FALSE))</f>
        <v>E</v>
      </c>
      <c r="F24" s="300">
        <f>Interview!F29</f>
        <v>0</v>
      </c>
      <c r="G24" s="18">
        <f>IFERROR(VLOOKUP(F24,AnsETBL,2,FALSE),0)</f>
        <v>0</v>
      </c>
      <c r="H24" s="103"/>
      <c r="I24" s="449"/>
      <c r="J24" s="306">
        <f t="shared" si="4"/>
        <v>0</v>
      </c>
      <c r="K24" s="18">
        <f>IFERROR(VLOOKUP(J24,AnsETBL,2,FALSE),0)</f>
        <v>0</v>
      </c>
      <c r="L24" s="103"/>
      <c r="M24" s="449"/>
      <c r="N24" s="306">
        <f t="shared" si="5"/>
        <v>0</v>
      </c>
      <c r="O24" s="18">
        <f>IFERROR(VLOOKUP(N24,AnsETBL,2,FALSE),0)</f>
        <v>0</v>
      </c>
      <c r="P24" s="103"/>
      <c r="Q24" s="449"/>
      <c r="R24" s="306">
        <f t="shared" si="6"/>
        <v>0</v>
      </c>
      <c r="S24" s="18">
        <f>IFERROR(VLOOKUP(R24,AnsETBL,2,FALSE),0)</f>
        <v>0</v>
      </c>
      <c r="T24" s="103"/>
      <c r="U24" s="449"/>
      <c r="V24" s="306">
        <f t="shared" si="7"/>
        <v>0</v>
      </c>
      <c r="W24" s="18">
        <f>IFERROR(VLOOKUP(V24,AnsETBL,2,FALSE),0)</f>
        <v>0</v>
      </c>
      <c r="X24" s="103"/>
      <c r="Y24" s="449"/>
    </row>
    <row r="25" spans="1:25" ht="12.75" x14ac:dyDescent="0.2">
      <c r="A25" s="162"/>
      <c r="B25" s="276"/>
      <c r="C25" s="262"/>
      <c r="D25" s="242"/>
      <c r="E25" s="242"/>
      <c r="F25" s="242"/>
      <c r="G25" s="242"/>
      <c r="H25" s="242"/>
      <c r="I25" s="242"/>
      <c r="J25" s="242"/>
      <c r="K25" s="242"/>
      <c r="L25" s="242"/>
      <c r="M25" s="242"/>
      <c r="N25" s="242"/>
      <c r="O25" s="242"/>
      <c r="P25" s="242"/>
      <c r="Q25" s="242"/>
      <c r="R25" s="242"/>
      <c r="S25" s="242"/>
      <c r="T25" s="242"/>
      <c r="U25" s="242"/>
      <c r="V25" s="242"/>
      <c r="W25" s="242"/>
      <c r="X25" s="242"/>
      <c r="Y25" s="242"/>
    </row>
    <row r="26" spans="1:25" x14ac:dyDescent="0.25">
      <c r="A26" s="162"/>
      <c r="B26" s="275" t="s">
        <v>503</v>
      </c>
      <c r="C26" s="260" t="s">
        <v>504</v>
      </c>
      <c r="D26" s="218" t="s">
        <v>22</v>
      </c>
      <c r="E26" s="219"/>
      <c r="F26" s="69" t="s">
        <v>34</v>
      </c>
      <c r="G26" s="69"/>
      <c r="H26" s="117"/>
      <c r="I26" s="251" t="s">
        <v>32</v>
      </c>
      <c r="J26" s="69" t="s">
        <v>34</v>
      </c>
      <c r="K26" s="69"/>
      <c r="L26" s="117"/>
      <c r="M26" s="251" t="s">
        <v>32</v>
      </c>
      <c r="N26" s="69" t="s">
        <v>34</v>
      </c>
      <c r="O26" s="69"/>
      <c r="P26" s="117"/>
      <c r="Q26" s="251" t="s">
        <v>32</v>
      </c>
      <c r="R26" s="69" t="s">
        <v>34</v>
      </c>
      <c r="S26" s="69"/>
      <c r="T26" s="117"/>
      <c r="U26" s="251" t="s">
        <v>32</v>
      </c>
      <c r="V26" s="69" t="s">
        <v>34</v>
      </c>
      <c r="W26" s="69"/>
      <c r="X26" s="117"/>
      <c r="Y26" s="251" t="s">
        <v>32</v>
      </c>
    </row>
    <row r="27" spans="1:25" ht="25.5" x14ac:dyDescent="0.2">
      <c r="A27" s="162" t="str">
        <f>Interview!A32</f>
        <v>G-PC-A-1-1</v>
      </c>
      <c r="B27" s="497" t="str">
        <f>VLOOKUP(A27,'imp-questions'!A:H,4,FALSE)</f>
        <v>Policy and Standards</v>
      </c>
      <c r="C27" s="261">
        <f>VLOOKUP(A27,'imp-questions'!A:H,5,FALSE)</f>
        <v>1</v>
      </c>
      <c r="D27" s="202" t="str">
        <f>VLOOKUP(A27,'imp-questions'!A:H,6,FALSE)</f>
        <v>Have you developed a common set of policies and standards that are applied throughout your organization?</v>
      </c>
      <c r="E27" s="164" t="str">
        <f>CHAR(65+VLOOKUP(A27,'imp-questions'!A:H,8,FALSE))</f>
        <v>A</v>
      </c>
      <c r="F27" s="5">
        <f>Interview!F32</f>
        <v>0</v>
      </c>
      <c r="G27" s="18">
        <f>IFERROR(VLOOKUP(F27,AnsATBL,2,FALSE),0)</f>
        <v>0</v>
      </c>
      <c r="H27" s="304">
        <f>IFERROR(AVERAGE(G27,G31),0)</f>
        <v>0</v>
      </c>
      <c r="I27" s="450">
        <f>SUM(H27,H28,H29)</f>
        <v>0</v>
      </c>
      <c r="J27" s="306">
        <f>F27</f>
        <v>0</v>
      </c>
      <c r="K27" s="18">
        <f>IFERROR(VLOOKUP(J27,AnsATBL,2,FALSE),0)</f>
        <v>0</v>
      </c>
      <c r="L27" s="304">
        <f>IFERROR(AVERAGE(K27,K31),0)</f>
        <v>0</v>
      </c>
      <c r="M27" s="450">
        <f>SUM(L27,L28,L29)</f>
        <v>0</v>
      </c>
      <c r="N27" s="306">
        <f>J27</f>
        <v>0</v>
      </c>
      <c r="O27" s="18">
        <f>IFERROR(VLOOKUP(N27,AnsATBL,2,FALSE),0)</f>
        <v>0</v>
      </c>
      <c r="P27" s="304">
        <f>IFERROR(AVERAGE(O27,O31),0)</f>
        <v>0</v>
      </c>
      <c r="Q27" s="450">
        <f>SUM(P27,P28,P29)</f>
        <v>0</v>
      </c>
      <c r="R27" s="306">
        <f>N27</f>
        <v>0</v>
      </c>
      <c r="S27" s="18">
        <f>IFERROR(VLOOKUP(R27,AnsATBL,2,FALSE),0)</f>
        <v>0</v>
      </c>
      <c r="T27" s="304">
        <f>IFERROR(AVERAGE(S27,S31),0)</f>
        <v>0</v>
      </c>
      <c r="U27" s="450">
        <f>SUM(T27,T28,T29)</f>
        <v>0</v>
      </c>
      <c r="V27" s="306">
        <f>R27</f>
        <v>0</v>
      </c>
      <c r="W27" s="18">
        <f>IFERROR(VLOOKUP(V27,AnsATBL,2,FALSE),0)</f>
        <v>0</v>
      </c>
      <c r="X27" s="304">
        <f>IFERROR(AVERAGE(W27,W31),0)</f>
        <v>0</v>
      </c>
      <c r="Y27" s="450">
        <f>SUM(X27,X28,X29)</f>
        <v>0</v>
      </c>
    </row>
    <row r="28" spans="1:25" ht="25.5" x14ac:dyDescent="0.2">
      <c r="A28" s="162" t="str">
        <f>Interview!A34</f>
        <v>G-PC-A-2-1</v>
      </c>
      <c r="B28" s="498"/>
      <c r="C28" s="261">
        <f>VLOOKUP(A28,'imp-questions'!A:H,5,FALSE)</f>
        <v>2</v>
      </c>
      <c r="D28" s="202" t="str">
        <f>VLOOKUP(A28,'imp-questions'!A:H,6,FALSE)</f>
        <v>Do you have clearly documented, repeatable evaluation methods to test for adherence to policies and standards?</v>
      </c>
      <c r="E28" s="164" t="str">
        <f>CHAR(65+VLOOKUP(A28,'imp-questions'!A:H,8,FALSE))</f>
        <v>S</v>
      </c>
      <c r="F28" s="5">
        <f>Interview!F34</f>
        <v>0</v>
      </c>
      <c r="G28" s="18">
        <f>IFERROR(VLOOKUP(F28,AnsSTBL,2,FALSE),0)</f>
        <v>0</v>
      </c>
      <c r="H28" s="132">
        <f>IFERROR(AVERAGE(G28,G32),0)</f>
        <v>0</v>
      </c>
      <c r="I28" s="451"/>
      <c r="J28" s="306">
        <f t="shared" ref="J28:J29" si="8">F28</f>
        <v>0</v>
      </c>
      <c r="K28" s="18">
        <f>IFERROR(VLOOKUP(J28,AnsSTBL,2,FALSE),0)</f>
        <v>0</v>
      </c>
      <c r="L28" s="132">
        <f>IFERROR(AVERAGE(K28,K32),0)</f>
        <v>0</v>
      </c>
      <c r="M28" s="451"/>
      <c r="N28" s="306">
        <f t="shared" ref="N28:N29" si="9">J28</f>
        <v>0</v>
      </c>
      <c r="O28" s="18">
        <f>IFERROR(VLOOKUP(N28,AnsSTBL,2,FALSE),0)</f>
        <v>0</v>
      </c>
      <c r="P28" s="132">
        <f>IFERROR(AVERAGE(O28,O32),0)</f>
        <v>0</v>
      </c>
      <c r="Q28" s="451"/>
      <c r="R28" s="306">
        <f t="shared" ref="R28:R29" si="10">N28</f>
        <v>0</v>
      </c>
      <c r="S28" s="18">
        <f>IFERROR(VLOOKUP(R28,AnsSTBL,2,FALSE),0)</f>
        <v>0</v>
      </c>
      <c r="T28" s="132">
        <f>IFERROR(AVERAGE(S28,S32),0)</f>
        <v>0</v>
      </c>
      <c r="U28" s="451"/>
      <c r="V28" s="306">
        <f t="shared" ref="V28:V29" si="11">R28</f>
        <v>0</v>
      </c>
      <c r="W28" s="18">
        <f>IFERROR(VLOOKUP(V28,AnsSTBL,2,FALSE),0)</f>
        <v>0</v>
      </c>
      <c r="X28" s="132">
        <f>IFERROR(AVERAGE(W28,W32),0)</f>
        <v>0</v>
      </c>
      <c r="Y28" s="451"/>
    </row>
    <row r="29" spans="1:25" ht="25.5" x14ac:dyDescent="0.2">
      <c r="A29" s="162" t="str">
        <f>Interview!A36</f>
        <v>G-PC-A-3-1</v>
      </c>
      <c r="B29" s="500"/>
      <c r="C29" s="261">
        <f>VLOOKUP(A29,'imp-questions'!A:H,5,FALSE)</f>
        <v>3</v>
      </c>
      <c r="D29" s="202" t="str">
        <f>VLOOKUP(A29,'imp-questions'!A:H,6,FALSE)</f>
        <v>Do you regularly report on policy and standard compliance, and use that information to guide compliance improvement efforts?</v>
      </c>
      <c r="E29" s="164" t="str">
        <f>CHAR(65+VLOOKUP(A29,'imp-questions'!A:H,8,FALSE))</f>
        <v>P</v>
      </c>
      <c r="F29" s="5">
        <f>Interview!F36</f>
        <v>0</v>
      </c>
      <c r="G29" s="18">
        <f>IFERROR(VLOOKUP(F29,AnsPTBL,2,FALSE),0)</f>
        <v>0</v>
      </c>
      <c r="H29" s="132">
        <f>IFERROR(AVERAGE(G29,G33),0)</f>
        <v>0</v>
      </c>
      <c r="I29" s="451"/>
      <c r="J29" s="306">
        <f t="shared" si="8"/>
        <v>0</v>
      </c>
      <c r="K29" s="18">
        <f>IFERROR(VLOOKUP(J29,AnsPTBL,2,FALSE),0)</f>
        <v>0</v>
      </c>
      <c r="L29" s="132">
        <f>IFERROR(AVERAGE(K29,K33),0)</f>
        <v>0</v>
      </c>
      <c r="M29" s="451"/>
      <c r="N29" s="306">
        <f t="shared" si="9"/>
        <v>0</v>
      </c>
      <c r="O29" s="18">
        <f>IFERROR(VLOOKUP(N29,AnsPTBL,2,FALSE),0)</f>
        <v>0</v>
      </c>
      <c r="P29" s="132">
        <f>IFERROR(AVERAGE(O29,O33),0)</f>
        <v>0</v>
      </c>
      <c r="Q29" s="451"/>
      <c r="R29" s="306">
        <f t="shared" si="10"/>
        <v>0</v>
      </c>
      <c r="S29" s="18">
        <f>IFERROR(VLOOKUP(R29,AnsPTBL,2,FALSE),0)</f>
        <v>0</v>
      </c>
      <c r="T29" s="132">
        <f>IFERROR(AVERAGE(S29,S33),0)</f>
        <v>0</v>
      </c>
      <c r="U29" s="451"/>
      <c r="V29" s="306">
        <f t="shared" si="11"/>
        <v>0</v>
      </c>
      <c r="W29" s="18">
        <f>IFERROR(VLOOKUP(V29,AnsPTBL,2,FALSE),0)</f>
        <v>0</v>
      </c>
      <c r="X29" s="132">
        <f>IFERROR(AVERAGE(W29,W33),0)</f>
        <v>0</v>
      </c>
      <c r="Y29" s="451"/>
    </row>
    <row r="30" spans="1:25" ht="12.75" x14ac:dyDescent="0.2">
      <c r="A30" s="162"/>
      <c r="B30" s="277"/>
      <c r="C30" s="133"/>
      <c r="D30" s="248"/>
      <c r="E30" s="248"/>
      <c r="F30" s="248"/>
      <c r="G30" s="248"/>
      <c r="H30" s="248"/>
      <c r="I30" s="451"/>
      <c r="J30" s="248"/>
      <c r="K30" s="248"/>
      <c r="L30" s="248"/>
      <c r="M30" s="451"/>
      <c r="N30" s="248"/>
      <c r="O30" s="248"/>
      <c r="P30" s="248"/>
      <c r="Q30" s="451"/>
      <c r="R30" s="248"/>
      <c r="S30" s="248"/>
      <c r="T30" s="248"/>
      <c r="U30" s="451"/>
      <c r="V30" s="248"/>
      <c r="W30" s="248"/>
      <c r="X30" s="248"/>
      <c r="Y30" s="451"/>
    </row>
    <row r="31" spans="1:25" ht="25.5" x14ac:dyDescent="0.2">
      <c r="A31" s="162" t="str">
        <f>Interview!A39</f>
        <v>G-PC-B-1-1</v>
      </c>
      <c r="B31" s="501" t="str">
        <f>VLOOKUP(A31,'imp-questions'!A:H,4,FALSE)</f>
        <v>Compliance Management</v>
      </c>
      <c r="C31" s="261">
        <f>VLOOKUP(A31,'imp-questions'!A:H,5,FALSE)</f>
        <v>1</v>
      </c>
      <c r="D31" s="202" t="str">
        <f>VLOOKUP(A31,'imp-questions'!A:H,6,FALSE)</f>
        <v>Do you have a complete picture of your external compliance obligations?</v>
      </c>
      <c r="E31" s="164" t="str">
        <f>CHAR(65+VLOOKUP(A31,'imp-questions'!A:H,8,FALSE))</f>
        <v>A</v>
      </c>
      <c r="F31" s="197">
        <f>Interview!F39</f>
        <v>0</v>
      </c>
      <c r="G31" s="18">
        <f>IFERROR(VLOOKUP(F31,AnsATBL,2,FALSE),0)</f>
        <v>0</v>
      </c>
      <c r="H31" s="305"/>
      <c r="I31" s="451"/>
      <c r="J31" s="306">
        <f>F31</f>
        <v>0</v>
      </c>
      <c r="K31" s="18">
        <f>IFERROR(VLOOKUP(J31,AnsATBL,2,FALSE),0)</f>
        <v>0</v>
      </c>
      <c r="L31" s="305"/>
      <c r="M31" s="451"/>
      <c r="N31" s="306">
        <f>J31</f>
        <v>0</v>
      </c>
      <c r="O31" s="18">
        <f>IFERROR(VLOOKUP(N31,AnsATBL,2,FALSE),0)</f>
        <v>0</v>
      </c>
      <c r="P31" s="305"/>
      <c r="Q31" s="451"/>
      <c r="R31" s="306">
        <f>N31</f>
        <v>0</v>
      </c>
      <c r="S31" s="18">
        <f>IFERROR(VLOOKUP(R31,AnsATBL,2,FALSE),0)</f>
        <v>0</v>
      </c>
      <c r="T31" s="305"/>
      <c r="U31" s="451"/>
      <c r="V31" s="306">
        <f>R31</f>
        <v>0</v>
      </c>
      <c r="W31" s="18">
        <f>IFERROR(VLOOKUP(V31,AnsATBL,2,FALSE),0)</f>
        <v>0</v>
      </c>
      <c r="X31" s="305"/>
      <c r="Y31" s="451"/>
    </row>
    <row r="32" spans="1:25" ht="38.25" x14ac:dyDescent="0.2">
      <c r="A32" s="162" t="str">
        <f>Interview!A41</f>
        <v>G-PC-B-2-1</v>
      </c>
      <c r="B32" s="498"/>
      <c r="C32" s="261">
        <f>VLOOKUP(A32,'imp-questions'!A:H,5,FALSE)</f>
        <v>2</v>
      </c>
      <c r="D32" s="202" t="str">
        <f>VLOOKUP(A32,'imp-questions'!A:H,6,FALSE)</f>
        <v>Do you have a standard set of security requirements, and verification procedures, addressing the organization's external compliance obligations?</v>
      </c>
      <c r="E32" s="164" t="str">
        <f>CHAR(65+VLOOKUP(A32,'imp-questions'!A:H,8,FALSE))</f>
        <v>A</v>
      </c>
      <c r="F32" s="197">
        <f>Interview!F41</f>
        <v>0</v>
      </c>
      <c r="G32" s="18">
        <f>IFERROR(VLOOKUP(F32,AnsATBL,2,FALSE),0)</f>
        <v>0</v>
      </c>
      <c r="H32" s="305"/>
      <c r="I32" s="451"/>
      <c r="J32" s="306">
        <f t="shared" ref="J32:J33" si="12">F32</f>
        <v>0</v>
      </c>
      <c r="K32" s="18">
        <f>IFERROR(VLOOKUP(J32,AnsATBL,2,FALSE),0)</f>
        <v>0</v>
      </c>
      <c r="L32" s="305"/>
      <c r="M32" s="451"/>
      <c r="N32" s="306">
        <f>J32</f>
        <v>0</v>
      </c>
      <c r="O32" s="18">
        <f>IFERROR(VLOOKUP(N32,AnsATBL,2,FALSE),0)</f>
        <v>0</v>
      </c>
      <c r="P32" s="305"/>
      <c r="Q32" s="451"/>
      <c r="R32" s="306">
        <f>N32</f>
        <v>0</v>
      </c>
      <c r="S32" s="18">
        <f>IFERROR(VLOOKUP(R32,AnsATBL,2,FALSE),0)</f>
        <v>0</v>
      </c>
      <c r="T32" s="305"/>
      <c r="U32" s="451"/>
      <c r="V32" s="306">
        <f>R32</f>
        <v>0</v>
      </c>
      <c r="W32" s="18">
        <f>IFERROR(VLOOKUP(V32,AnsATBL,2,FALSE),0)</f>
        <v>0</v>
      </c>
      <c r="X32" s="305"/>
      <c r="Y32" s="451"/>
    </row>
    <row r="33" spans="1:25" ht="38.25" x14ac:dyDescent="0.2">
      <c r="A33" s="162" t="str">
        <f>Interview!A43</f>
        <v>G-PC-B-3-1</v>
      </c>
      <c r="B33" s="498"/>
      <c r="C33" s="261">
        <f>VLOOKUP(A33,'imp-questions'!A:H,5,FALSE)</f>
        <v>3</v>
      </c>
      <c r="D33" s="202" t="str">
        <f>VLOOKUP(A33,'imp-questions'!A:H,6,FALSE)</f>
        <v>Do you regularly report on adherence to external compliance obligations, and use that information to guide efforts to close compliance gaps?</v>
      </c>
      <c r="E33" s="164" t="str">
        <f>CHAR(65+VLOOKUP(A33,'imp-questions'!A:H,8,FALSE))</f>
        <v>A</v>
      </c>
      <c r="F33" s="197">
        <f>Interview!F43</f>
        <v>0</v>
      </c>
      <c r="G33" s="18">
        <f>IFERROR(VLOOKUP(F33,AnsATBL,2,FALSE),0)</f>
        <v>0</v>
      </c>
      <c r="H33" s="305"/>
      <c r="I33" s="452"/>
      <c r="J33" s="306">
        <f t="shared" si="12"/>
        <v>0</v>
      </c>
      <c r="K33" s="18">
        <f>IFERROR(VLOOKUP(J33,AnsATBL,2,FALSE),0)</f>
        <v>0</v>
      </c>
      <c r="L33" s="305"/>
      <c r="M33" s="452"/>
      <c r="N33" s="306">
        <f>J33</f>
        <v>0</v>
      </c>
      <c r="O33" s="18">
        <f>IFERROR(VLOOKUP(N33,AnsATBL,2,FALSE),0)</f>
        <v>0</v>
      </c>
      <c r="P33" s="305"/>
      <c r="Q33" s="452"/>
      <c r="R33" s="306">
        <f>N33</f>
        <v>0</v>
      </c>
      <c r="S33" s="18">
        <f>IFERROR(VLOOKUP(R33,AnsATBL,2,FALSE),0)</f>
        <v>0</v>
      </c>
      <c r="T33" s="305"/>
      <c r="U33" s="452"/>
      <c r="V33" s="306">
        <f>R33</f>
        <v>0</v>
      </c>
      <c r="W33" s="18">
        <f>IFERROR(VLOOKUP(V33,AnsATBL,2,FALSE),0)</f>
        <v>0</v>
      </c>
      <c r="X33" s="305"/>
      <c r="Y33" s="452"/>
    </row>
    <row r="34" spans="1:25" ht="12.75" x14ac:dyDescent="0.2">
      <c r="A34" s="162"/>
      <c r="B34" s="277"/>
      <c r="C34" s="133"/>
      <c r="D34" s="248"/>
      <c r="E34" s="248"/>
      <c r="F34" s="248"/>
      <c r="G34" s="248"/>
      <c r="H34" s="248"/>
      <c r="I34" s="242"/>
      <c r="J34" s="248"/>
      <c r="K34" s="248"/>
      <c r="L34" s="248"/>
      <c r="M34" s="242"/>
      <c r="N34" s="248"/>
      <c r="O34" s="248"/>
      <c r="P34" s="248"/>
      <c r="Q34" s="242"/>
      <c r="R34" s="248"/>
      <c r="S34" s="248"/>
      <c r="T34" s="248"/>
      <c r="U34" s="242"/>
      <c r="V34" s="248"/>
      <c r="W34" s="248"/>
      <c r="X34" s="248"/>
      <c r="Y34" s="242"/>
    </row>
    <row r="35" spans="1:25" x14ac:dyDescent="0.25">
      <c r="A35" s="162"/>
      <c r="B35" s="275" t="s">
        <v>503</v>
      </c>
      <c r="C35" s="260" t="s">
        <v>504</v>
      </c>
      <c r="D35" s="218" t="s">
        <v>23</v>
      </c>
      <c r="E35" s="219"/>
      <c r="F35" s="69" t="s">
        <v>34</v>
      </c>
      <c r="G35" s="69"/>
      <c r="H35" s="117"/>
      <c r="I35" s="251" t="s">
        <v>32</v>
      </c>
      <c r="J35" s="69" t="s">
        <v>34</v>
      </c>
      <c r="K35" s="69"/>
      <c r="L35" s="117"/>
      <c r="M35" s="251" t="s">
        <v>32</v>
      </c>
      <c r="N35" s="69" t="s">
        <v>34</v>
      </c>
      <c r="O35" s="69"/>
      <c r="P35" s="117"/>
      <c r="Q35" s="251" t="s">
        <v>32</v>
      </c>
      <c r="R35" s="69" t="s">
        <v>34</v>
      </c>
      <c r="S35" s="69"/>
      <c r="T35" s="117"/>
      <c r="U35" s="251" t="s">
        <v>32</v>
      </c>
      <c r="V35" s="69" t="s">
        <v>34</v>
      </c>
      <c r="W35" s="69"/>
      <c r="X35" s="117"/>
      <c r="Y35" s="251" t="s">
        <v>32</v>
      </c>
    </row>
    <row r="36" spans="1:25" ht="25.5" x14ac:dyDescent="0.2">
      <c r="A36" s="162" t="str">
        <f>Interview!A46</f>
        <v>G-EG-A-1-1</v>
      </c>
      <c r="B36" s="497" t="str">
        <f>VLOOKUP(A36,'imp-questions'!A:H,4,FALSE)</f>
        <v>Training and Awareness</v>
      </c>
      <c r="C36" s="261">
        <f>VLOOKUP(A36,'imp-questions'!A:H,5,FALSE)</f>
        <v>1</v>
      </c>
      <c r="D36" s="202" t="str">
        <f>VLOOKUP(A36,'imp-questions'!A:H,6,FALSE)</f>
        <v>Do you require employees involved with application development to take SDLC training?</v>
      </c>
      <c r="E36" s="164" t="str">
        <f>CHAR(65+VLOOKUP(A36,'imp-questions'!A:H,8,FALSE))</f>
        <v>B</v>
      </c>
      <c r="F36" s="298">
        <f>Interview!F46</f>
        <v>0</v>
      </c>
      <c r="G36" s="18">
        <f>IFERROR(VLOOKUP(F36,AnsBTBL,2,FALSE),0)</f>
        <v>0</v>
      </c>
      <c r="H36" s="301">
        <f>IFERROR(AVERAGE(G36,G40),0)</f>
        <v>0</v>
      </c>
      <c r="I36" s="453">
        <f>SUM(H36,H37,H38)</f>
        <v>0</v>
      </c>
      <c r="J36" s="306">
        <f>F36</f>
        <v>0</v>
      </c>
      <c r="K36" s="18">
        <f>IFERROR(VLOOKUP(J36,AnsBTBL,2,FALSE),0)</f>
        <v>0</v>
      </c>
      <c r="L36" s="301">
        <f>IFERROR(AVERAGE(K36,K40),0)</f>
        <v>0</v>
      </c>
      <c r="M36" s="453">
        <f>SUM(L36,L37,L38)</f>
        <v>0</v>
      </c>
      <c r="N36" s="306">
        <f>J36</f>
        <v>0</v>
      </c>
      <c r="O36" s="18">
        <f>IFERROR(VLOOKUP(N36,AnsBTBL,2,FALSE),0)</f>
        <v>0</v>
      </c>
      <c r="P36" s="301">
        <f>IFERROR(AVERAGE(O36,O40),0)</f>
        <v>0</v>
      </c>
      <c r="Q36" s="453">
        <f>SUM(P36,P37,P38)</f>
        <v>0</v>
      </c>
      <c r="R36" s="306">
        <f>N36</f>
        <v>0</v>
      </c>
      <c r="S36" s="18">
        <f>IFERROR(VLOOKUP(R36,AnsBTBL,2,FALSE),0)</f>
        <v>0</v>
      </c>
      <c r="T36" s="301">
        <f>IFERROR(AVERAGE(S36,S40),0)</f>
        <v>0</v>
      </c>
      <c r="U36" s="453">
        <f>SUM(T36,T37,T38)</f>
        <v>0</v>
      </c>
      <c r="V36" s="306">
        <f>R36</f>
        <v>0</v>
      </c>
      <c r="W36" s="18">
        <f>IFERROR(VLOOKUP(V36,AnsBTBL,2,FALSE),0)</f>
        <v>0</v>
      </c>
      <c r="X36" s="301">
        <f>IFERROR(AVERAGE(W36,W40),0)</f>
        <v>0</v>
      </c>
      <c r="Y36" s="453">
        <f>SUM(X36,X37,X38)</f>
        <v>0</v>
      </c>
    </row>
    <row r="37" spans="1:25" ht="25.5" x14ac:dyDescent="0.2">
      <c r="A37" s="162" t="str">
        <f>Interview!A48</f>
        <v>G-EG-A-2-1</v>
      </c>
      <c r="B37" s="498"/>
      <c r="C37" s="261">
        <f>VLOOKUP(A37,'imp-questions'!A:H,5,FALSE)</f>
        <v>2</v>
      </c>
      <c r="D37" s="202" t="str">
        <f>VLOOKUP(A37,'imp-questions'!A:H,6,FALSE)</f>
        <v>Has the training been customized for individual roles, such as developers, testers, or security champions?</v>
      </c>
      <c r="E37" s="166" t="str">
        <f>CHAR(65+VLOOKUP(A37,'imp-questions'!A:H,8,FALSE))</f>
        <v>C</v>
      </c>
      <c r="F37" s="300">
        <f>Interview!F48</f>
        <v>0</v>
      </c>
      <c r="G37" s="18">
        <f>IFERROR(VLOOKUP(F37,AnsCTBL,2,FALSE),0)</f>
        <v>0</v>
      </c>
      <c r="H37" s="303">
        <f>IFERROR(AVERAGE(G37,G41),0)</f>
        <v>0</v>
      </c>
      <c r="I37" s="454"/>
      <c r="J37" s="306">
        <f t="shared" ref="J37:J38" si="13">F37</f>
        <v>0</v>
      </c>
      <c r="K37" s="18">
        <f>IFERROR(VLOOKUP(J37,AnsCTBL,2,FALSE),0)</f>
        <v>0</v>
      </c>
      <c r="L37" s="303">
        <f>IFERROR(AVERAGE(K37,K41),0)</f>
        <v>0</v>
      </c>
      <c r="M37" s="454"/>
      <c r="N37" s="306">
        <f t="shared" ref="N37:N38" si="14">J37</f>
        <v>0</v>
      </c>
      <c r="O37" s="18">
        <f>IFERROR(VLOOKUP(N37,AnsCTBL,2,FALSE),0)</f>
        <v>0</v>
      </c>
      <c r="P37" s="303">
        <f>IFERROR(AVERAGE(O37,O41),0)</f>
        <v>0</v>
      </c>
      <c r="Q37" s="454"/>
      <c r="R37" s="306">
        <f t="shared" ref="R37:R38" si="15">N37</f>
        <v>0</v>
      </c>
      <c r="S37" s="18">
        <f>IFERROR(VLOOKUP(R37,AnsCTBL,2,FALSE),0)</f>
        <v>0</v>
      </c>
      <c r="T37" s="303">
        <f>IFERROR(AVERAGE(S37,S41),0)</f>
        <v>0</v>
      </c>
      <c r="U37" s="454"/>
      <c r="V37" s="306">
        <f t="shared" ref="V37:V38" si="16">R37</f>
        <v>0</v>
      </c>
      <c r="W37" s="18">
        <f>IFERROR(VLOOKUP(V37,AnsCTBL,2,FALSE),0)</f>
        <v>0</v>
      </c>
      <c r="X37" s="303">
        <f>IFERROR(AVERAGE(W37,W41),0)</f>
        <v>0</v>
      </c>
      <c r="Y37" s="454"/>
    </row>
    <row r="38" spans="1:25" ht="25.5" x14ac:dyDescent="0.2">
      <c r="A38" s="162" t="str">
        <f>Interview!A50</f>
        <v>G-EG-A-3-1</v>
      </c>
      <c r="B38" s="499"/>
      <c r="C38" s="261">
        <f>VLOOKUP(A38,'imp-questions'!A:H,5,FALSE)</f>
        <v>3</v>
      </c>
      <c r="D38" s="296" t="str">
        <f>VLOOKUP(A38,'imp-questions'!A:H,6,FALSE)</f>
        <v>Have you implemented a Learning Management System or equivalent to track employee training / certification processes?</v>
      </c>
      <c r="E38" s="166" t="str">
        <f>CHAR(65+VLOOKUP(A38,'imp-questions'!A:H,8,FALSE))</f>
        <v>D</v>
      </c>
      <c r="F38" s="300">
        <f>Interview!F50</f>
        <v>0</v>
      </c>
      <c r="G38" s="18">
        <f>IFERROR(VLOOKUP(F38,AnsDTBL,2,FALSE),0)</f>
        <v>0</v>
      </c>
      <c r="H38" s="303">
        <f>IFERROR(AVERAGE(G38,G42),0)</f>
        <v>0</v>
      </c>
      <c r="I38" s="454"/>
      <c r="J38" s="306">
        <f t="shared" si="13"/>
        <v>0</v>
      </c>
      <c r="K38" s="18">
        <f>IFERROR(VLOOKUP(J38,AnsDTBL,2,FALSE),0)</f>
        <v>0</v>
      </c>
      <c r="L38" s="303">
        <f>IFERROR(AVERAGE(K38,K42),0)</f>
        <v>0</v>
      </c>
      <c r="M38" s="454"/>
      <c r="N38" s="306">
        <f t="shared" si="14"/>
        <v>0</v>
      </c>
      <c r="O38" s="18">
        <f>IFERROR(VLOOKUP(N38,AnsDTBL,2,FALSE),0)</f>
        <v>0</v>
      </c>
      <c r="P38" s="303">
        <f>IFERROR(AVERAGE(O38,O42),0)</f>
        <v>0</v>
      </c>
      <c r="Q38" s="454"/>
      <c r="R38" s="306">
        <f t="shared" si="15"/>
        <v>0</v>
      </c>
      <c r="S38" s="18">
        <f>IFERROR(VLOOKUP(R38,AnsDTBL,2,FALSE),0)</f>
        <v>0</v>
      </c>
      <c r="T38" s="303">
        <f>IFERROR(AVERAGE(S38,S42),0)</f>
        <v>0</v>
      </c>
      <c r="U38" s="454"/>
      <c r="V38" s="306">
        <f t="shared" si="16"/>
        <v>0</v>
      </c>
      <c r="W38" s="18">
        <f>IFERROR(VLOOKUP(V38,AnsDTBL,2,FALSE),0)</f>
        <v>0</v>
      </c>
      <c r="X38" s="303">
        <f>IFERROR(AVERAGE(W38,W42),0)</f>
        <v>0</v>
      </c>
      <c r="Y38" s="454"/>
    </row>
    <row r="39" spans="1:25" ht="12.75" x14ac:dyDescent="0.2">
      <c r="A39" s="162"/>
      <c r="B39" s="276"/>
      <c r="C39" s="262"/>
      <c r="D39" s="242"/>
      <c r="E39" s="242"/>
      <c r="F39" s="242"/>
      <c r="G39" s="242"/>
      <c r="H39" s="242"/>
      <c r="I39" s="454"/>
      <c r="J39" s="242"/>
      <c r="K39" s="242"/>
      <c r="L39" s="242"/>
      <c r="M39" s="454"/>
      <c r="N39" s="242"/>
      <c r="O39" s="242"/>
      <c r="P39" s="242"/>
      <c r="Q39" s="454"/>
      <c r="R39" s="242"/>
      <c r="S39" s="242"/>
      <c r="T39" s="242"/>
      <c r="U39" s="454"/>
      <c r="V39" s="242"/>
      <c r="W39" s="242"/>
      <c r="X39" s="242"/>
      <c r="Y39" s="454"/>
    </row>
    <row r="40" spans="1:25" ht="25.5" x14ac:dyDescent="0.2">
      <c r="A40" s="162" t="str">
        <f>Interview!A53</f>
        <v>G-EG-B-1-1</v>
      </c>
      <c r="B40" s="497" t="str">
        <f>VLOOKUP(A40,'imp-questions'!A:H,4,FALSE)</f>
        <v>Organization and Culture</v>
      </c>
      <c r="C40" s="261">
        <f>VLOOKUP(A40,'imp-questions'!A:H,5,FALSE)</f>
        <v>1</v>
      </c>
      <c r="D40" s="202" t="str">
        <f>VLOOKUP(A40,'imp-questions'!A:H,6,FALSE)</f>
        <v>Have you identified a "Security Champion" for each development team?</v>
      </c>
      <c r="E40" s="164" t="str">
        <f>CHAR(65+VLOOKUP(A40,'imp-questions'!A:H,8,FALSE))</f>
        <v>E</v>
      </c>
      <c r="F40" s="298">
        <f>Interview!F53</f>
        <v>0</v>
      </c>
      <c r="G40" s="18">
        <f>IFERROR(VLOOKUP(F40,AnsETBL,2,FALSE),0)</f>
        <v>0</v>
      </c>
      <c r="H40" s="132"/>
      <c r="I40" s="454"/>
      <c r="J40" s="306">
        <f>F40</f>
        <v>0</v>
      </c>
      <c r="K40" s="18">
        <f>IFERROR(VLOOKUP(J40,AnsETBL,2,FALSE),0)</f>
        <v>0</v>
      </c>
      <c r="L40" s="132"/>
      <c r="M40" s="454"/>
      <c r="N40" s="306">
        <f>J40</f>
        <v>0</v>
      </c>
      <c r="O40" s="18">
        <f>IFERROR(VLOOKUP(N40,AnsETBL,2,FALSE),0)</f>
        <v>0</v>
      </c>
      <c r="P40" s="132"/>
      <c r="Q40" s="454"/>
      <c r="R40" s="306">
        <f>N40</f>
        <v>0</v>
      </c>
      <c r="S40" s="18">
        <f>IFERROR(VLOOKUP(R40,AnsETBL,2,FALSE),0)</f>
        <v>0</v>
      </c>
      <c r="T40" s="132"/>
      <c r="U40" s="454"/>
      <c r="V40" s="306">
        <f>R40</f>
        <v>0</v>
      </c>
      <c r="W40" s="18">
        <f>IFERROR(VLOOKUP(V40,AnsETBL,2,FALSE),0)</f>
        <v>0</v>
      </c>
      <c r="X40" s="132"/>
      <c r="Y40" s="454"/>
    </row>
    <row r="41" spans="1:25" ht="25.5" x14ac:dyDescent="0.2">
      <c r="A41" s="162" t="str">
        <f>Interview!A55</f>
        <v>G-EG-B-2-1</v>
      </c>
      <c r="B41" s="498"/>
      <c r="C41" s="261">
        <f>VLOOKUP(A41,'imp-questions'!A:H,5,FALSE)</f>
        <v>2</v>
      </c>
      <c r="D41" s="202" t="str">
        <f>VLOOKUP(A41,'imp-questions'!A:H,6,FALSE)</f>
        <v>Does the organization have a Secure Software Center of Excellence (SSCE)?</v>
      </c>
      <c r="E41" s="164" t="str">
        <f>CHAR(65+VLOOKUP(A41,'imp-questions'!A:H,8,FALSE))</f>
        <v>F</v>
      </c>
      <c r="F41" s="300">
        <f>Interview!F55</f>
        <v>0</v>
      </c>
      <c r="G41" s="18">
        <f>IFERROR(VLOOKUP(F41,AnsFTBL,2,FALSE),0)</f>
        <v>0</v>
      </c>
      <c r="H41" s="132"/>
      <c r="I41" s="454"/>
      <c r="J41" s="306">
        <f t="shared" ref="J41:J42" si="17">F41</f>
        <v>0</v>
      </c>
      <c r="K41" s="18">
        <f>IFERROR(VLOOKUP(J41,AnsFTBL,2,FALSE),0)</f>
        <v>0</v>
      </c>
      <c r="L41" s="132"/>
      <c r="M41" s="454"/>
      <c r="N41" s="306">
        <f t="shared" ref="N41:N42" si="18">J41</f>
        <v>0</v>
      </c>
      <c r="O41" s="18">
        <f>IFERROR(VLOOKUP(N41,AnsFTBL,2,FALSE),0)</f>
        <v>0</v>
      </c>
      <c r="P41" s="132"/>
      <c r="Q41" s="454"/>
      <c r="R41" s="306">
        <f t="shared" ref="R41:R42" si="19">N41</f>
        <v>0</v>
      </c>
      <c r="S41" s="18">
        <f>IFERROR(VLOOKUP(R41,AnsFTBL,2,FALSE),0)</f>
        <v>0</v>
      </c>
      <c r="T41" s="132"/>
      <c r="U41" s="454"/>
      <c r="V41" s="306">
        <f t="shared" ref="V41:V42" si="20">R41</f>
        <v>0</v>
      </c>
      <c r="W41" s="18">
        <f>IFERROR(VLOOKUP(V41,AnsFTBL,2,FALSE),0)</f>
        <v>0</v>
      </c>
      <c r="X41" s="132"/>
      <c r="Y41" s="454"/>
    </row>
    <row r="42" spans="1:25" ht="38.25" x14ac:dyDescent="0.2">
      <c r="A42" s="162" t="str">
        <f>Interview!A57</f>
        <v>G-EG-B-3-1</v>
      </c>
      <c r="B42" s="499"/>
      <c r="C42" s="261">
        <f>VLOOKUP(A42,'imp-questions'!A:H,5,FALSE)</f>
        <v>3</v>
      </c>
      <c r="D42" s="296" t="str">
        <f>VLOOKUP(A42,'imp-questions'!A:H,6,FALSE)</f>
        <v>Is there a centralized portal where developers and application security professionals from different teams and business units are able to communicate and share information?</v>
      </c>
      <c r="E42" s="164" t="str">
        <f>CHAR(65+VLOOKUP(A42,'imp-questions'!A:H,8,FALSE))</f>
        <v>F</v>
      </c>
      <c r="F42" s="300">
        <f>Interview!F57</f>
        <v>0</v>
      </c>
      <c r="G42" s="18">
        <f>IFERROR(VLOOKUP(F42,AnsFTBL,2,FALSE),0)</f>
        <v>0</v>
      </c>
      <c r="H42" s="132"/>
      <c r="I42" s="455"/>
      <c r="J42" s="306">
        <f t="shared" si="17"/>
        <v>0</v>
      </c>
      <c r="K42" s="18">
        <f>IFERROR(VLOOKUP(J42,AnsFTBL,2,FALSE),0)</f>
        <v>0</v>
      </c>
      <c r="L42" s="132"/>
      <c r="M42" s="455"/>
      <c r="N42" s="306">
        <f t="shared" si="18"/>
        <v>0</v>
      </c>
      <c r="O42" s="18">
        <f>IFERROR(VLOOKUP(N42,AnsFTBL,2,FALSE),0)</f>
        <v>0</v>
      </c>
      <c r="P42" s="132"/>
      <c r="Q42" s="455"/>
      <c r="R42" s="306">
        <f t="shared" si="19"/>
        <v>0</v>
      </c>
      <c r="S42" s="18">
        <f>IFERROR(VLOOKUP(R42,AnsFTBL,2,FALSE),0)</f>
        <v>0</v>
      </c>
      <c r="T42" s="132"/>
      <c r="U42" s="455"/>
      <c r="V42" s="306">
        <f t="shared" si="20"/>
        <v>0</v>
      </c>
      <c r="W42" s="18">
        <f>IFERROR(VLOOKUP(V42,AnsFTBL,2,FALSE),0)</f>
        <v>0</v>
      </c>
      <c r="X42" s="132"/>
      <c r="Y42" s="455"/>
    </row>
    <row r="43" spans="1:25" ht="12.75" x14ac:dyDescent="0.2">
      <c r="A43" s="162"/>
      <c r="B43" s="276"/>
      <c r="C43" s="262"/>
      <c r="D43" s="242"/>
      <c r="E43" s="242"/>
      <c r="F43" s="242"/>
      <c r="G43" s="242"/>
      <c r="H43" s="242"/>
      <c r="I43" s="242"/>
      <c r="J43" s="242"/>
      <c r="K43" s="242"/>
      <c r="L43" s="242"/>
      <c r="M43" s="242"/>
      <c r="N43" s="242"/>
      <c r="O43" s="242"/>
      <c r="P43" s="242"/>
      <c r="Q43" s="242"/>
      <c r="R43" s="242"/>
      <c r="S43" s="242"/>
      <c r="T43" s="242"/>
      <c r="U43" s="242"/>
      <c r="V43" s="242"/>
      <c r="W43" s="242"/>
      <c r="X43" s="242"/>
      <c r="Y43" s="242"/>
    </row>
    <row r="44" spans="1:25" ht="12.75" x14ac:dyDescent="0.2">
      <c r="A44" s="162"/>
      <c r="B44" s="263" t="s">
        <v>226</v>
      </c>
      <c r="C44" s="263"/>
      <c r="D44" s="247"/>
      <c r="E44" s="247"/>
      <c r="F44" s="488" t="s">
        <v>60</v>
      </c>
      <c r="G44" s="488"/>
      <c r="H44" s="488"/>
      <c r="I44" s="488"/>
      <c r="J44" s="490" t="s">
        <v>506</v>
      </c>
      <c r="K44" s="488"/>
      <c r="L44" s="488"/>
      <c r="M44" s="491"/>
      <c r="N44" s="490" t="s">
        <v>507</v>
      </c>
      <c r="O44" s="488"/>
      <c r="P44" s="488"/>
      <c r="Q44" s="491"/>
      <c r="R44" s="490" t="s">
        <v>508</v>
      </c>
      <c r="S44" s="488"/>
      <c r="T44" s="488"/>
      <c r="U44" s="491"/>
      <c r="V44" s="490" t="s">
        <v>509</v>
      </c>
      <c r="W44" s="488"/>
      <c r="X44" s="488"/>
      <c r="Y44" s="491"/>
    </row>
    <row r="45" spans="1:25" x14ac:dyDescent="0.25">
      <c r="A45" s="162"/>
      <c r="B45" s="278" t="s">
        <v>503</v>
      </c>
      <c r="C45" s="264" t="s">
        <v>504</v>
      </c>
      <c r="D45" s="231" t="s">
        <v>24</v>
      </c>
      <c r="E45" s="232"/>
      <c r="F45" s="72" t="s">
        <v>34</v>
      </c>
      <c r="G45" s="72"/>
      <c r="H45" s="118"/>
      <c r="I45" s="252" t="s">
        <v>32</v>
      </c>
      <c r="J45" s="72" t="s">
        <v>34</v>
      </c>
      <c r="K45" s="72"/>
      <c r="L45" s="118"/>
      <c r="M45" s="252" t="s">
        <v>32</v>
      </c>
      <c r="N45" s="72" t="s">
        <v>34</v>
      </c>
      <c r="O45" s="72"/>
      <c r="P45" s="118"/>
      <c r="Q45" s="252" t="s">
        <v>32</v>
      </c>
      <c r="R45" s="72" t="s">
        <v>34</v>
      </c>
      <c r="S45" s="72"/>
      <c r="T45" s="118"/>
      <c r="U45" s="252" t="s">
        <v>32</v>
      </c>
      <c r="V45" s="72" t="s">
        <v>34</v>
      </c>
      <c r="W45" s="72"/>
      <c r="X45" s="118"/>
      <c r="Y45" s="252" t="s">
        <v>32</v>
      </c>
    </row>
    <row r="46" spans="1:25" ht="25.5" x14ac:dyDescent="0.2">
      <c r="A46" s="162" t="str">
        <f>Interview!A61</f>
        <v>D-TA-A-1-1</v>
      </c>
      <c r="B46" s="478" t="str">
        <f>VLOOKUP(A46,'imp-questions'!A:H,4,FALSE)</f>
        <v>Application Risk Profile</v>
      </c>
      <c r="C46" s="265">
        <f>VLOOKUP(A46,'imp-questions'!A:H,5,FALSE)</f>
        <v>1</v>
      </c>
      <c r="D46" s="202" t="str">
        <f>VLOOKUP(A46,'imp-questions'!A:H,6,FALSE)</f>
        <v>Are you classifying applications according to business risk based on a simple, but predefined set of questions?</v>
      </c>
      <c r="E46" s="164" t="str">
        <f>CHAR(65+VLOOKUP(A46,'imp-questions'!A:H,8,FALSE))</f>
        <v>B</v>
      </c>
      <c r="F46" s="5">
        <f>Interview!F61</f>
        <v>0</v>
      </c>
      <c r="G46" s="18">
        <f>IFERROR(VLOOKUP(F46,AnsBTBL,2,FALSE),0)</f>
        <v>0</v>
      </c>
      <c r="H46" s="301">
        <f>IFERROR(AVERAGE(G46,G50),0)</f>
        <v>0</v>
      </c>
      <c r="I46" s="456">
        <f>SUM(H46:H48)</f>
        <v>0</v>
      </c>
      <c r="J46" s="306">
        <f>F46</f>
        <v>0</v>
      </c>
      <c r="K46" s="18">
        <f>IFERROR(VLOOKUP(J46,AnsBTBL,2,FALSE),0)</f>
        <v>0</v>
      </c>
      <c r="L46" s="301">
        <f>IFERROR(AVERAGE(K46,K50),0)</f>
        <v>0</v>
      </c>
      <c r="M46" s="456">
        <f>SUM(L46:L48)</f>
        <v>0</v>
      </c>
      <c r="N46" s="306">
        <f>J46</f>
        <v>0</v>
      </c>
      <c r="O46" s="18">
        <f>IFERROR(VLOOKUP(N46,AnsBTBL,2,FALSE),0)</f>
        <v>0</v>
      </c>
      <c r="P46" s="301">
        <f>IFERROR(AVERAGE(O46,O50),0)</f>
        <v>0</v>
      </c>
      <c r="Q46" s="456">
        <f>SUM(P46:P48)</f>
        <v>0</v>
      </c>
      <c r="R46" s="306">
        <f>N46</f>
        <v>0</v>
      </c>
      <c r="S46" s="18">
        <f>IFERROR(VLOOKUP(R46,AnsBTBL,2,FALSE),0)</f>
        <v>0</v>
      </c>
      <c r="T46" s="301">
        <f>IFERROR(AVERAGE(S46,S50),0)</f>
        <v>0</v>
      </c>
      <c r="U46" s="456">
        <f>SUM(T46:T48)</f>
        <v>0</v>
      </c>
      <c r="V46" s="306">
        <f>R46</f>
        <v>0</v>
      </c>
      <c r="W46" s="18">
        <f>IFERROR(VLOOKUP(V46,AnsBTBL,2,FALSE),0)</f>
        <v>0</v>
      </c>
      <c r="X46" s="301">
        <f>IFERROR(AVERAGE(W46,W50),0)</f>
        <v>0</v>
      </c>
      <c r="Y46" s="456">
        <f>SUM(X46:X48)</f>
        <v>0</v>
      </c>
    </row>
    <row r="47" spans="1:25" ht="25.5" x14ac:dyDescent="0.2">
      <c r="A47" s="162" t="str">
        <f>Interview!A63</f>
        <v>D-TA-A-2-1</v>
      </c>
      <c r="B47" s="479"/>
      <c r="C47" s="265">
        <f>VLOOKUP(A47,'imp-questions'!A:H,5,FALSE)</f>
        <v>2</v>
      </c>
      <c r="D47" s="202" t="str">
        <f>VLOOKUP(A47,'imp-questions'!A:H,6,FALSE)</f>
        <v>Are you using centralized and quantified application risk profiles to evaluate business risk?</v>
      </c>
      <c r="E47" s="164" t="str">
        <f>CHAR(65+VLOOKUP(A47,'imp-questions'!A:H,8,FALSE))</f>
        <v>A</v>
      </c>
      <c r="F47" s="193">
        <f>Interview!F63</f>
        <v>0</v>
      </c>
      <c r="G47" s="18">
        <f>IFERROR(VLOOKUP(F47,AnsATBL,2,FALSE),0)</f>
        <v>0</v>
      </c>
      <c r="H47" s="301">
        <f>IFERROR(AVERAGE(G47,G51),0)</f>
        <v>0</v>
      </c>
      <c r="I47" s="457"/>
      <c r="J47" s="306">
        <f t="shared" ref="J47:J48" si="21">F47</f>
        <v>0</v>
      </c>
      <c r="K47" s="18">
        <f>IFERROR(VLOOKUP(J47,AnsATBL,2,FALSE),0)</f>
        <v>0</v>
      </c>
      <c r="L47" s="301">
        <f>IFERROR(AVERAGE(K47,K51),0)</f>
        <v>0</v>
      </c>
      <c r="M47" s="457"/>
      <c r="N47" s="306">
        <f t="shared" ref="N47:N48" si="22">J47</f>
        <v>0</v>
      </c>
      <c r="O47" s="18">
        <f>IFERROR(VLOOKUP(N47,AnsATBL,2,FALSE),0)</f>
        <v>0</v>
      </c>
      <c r="P47" s="301">
        <f>IFERROR(AVERAGE(O47,O51),0)</f>
        <v>0</v>
      </c>
      <c r="Q47" s="457"/>
      <c r="R47" s="306">
        <f t="shared" ref="R47:R48" si="23">N47</f>
        <v>0</v>
      </c>
      <c r="S47" s="18">
        <f>IFERROR(VLOOKUP(R47,AnsATBL,2,FALSE),0)</f>
        <v>0</v>
      </c>
      <c r="T47" s="301">
        <f>IFERROR(AVERAGE(S47,S51),0)</f>
        <v>0</v>
      </c>
      <c r="U47" s="457"/>
      <c r="V47" s="306">
        <f t="shared" ref="V47:V48" si="24">R47</f>
        <v>0</v>
      </c>
      <c r="W47" s="18">
        <f>IFERROR(VLOOKUP(V47,AnsATBL,2,FALSE),0)</f>
        <v>0</v>
      </c>
      <c r="X47" s="301">
        <f>IFERROR(AVERAGE(W47,W51),0)</f>
        <v>0</v>
      </c>
      <c r="Y47" s="457"/>
    </row>
    <row r="48" spans="1:25" ht="25.5" x14ac:dyDescent="0.2">
      <c r="A48" s="162" t="str">
        <f>Interview!A65</f>
        <v>D-TA-A-3-1</v>
      </c>
      <c r="B48" s="480"/>
      <c r="C48" s="265">
        <f>VLOOKUP(A48,'imp-questions'!A:H,5,FALSE)</f>
        <v>3</v>
      </c>
      <c r="D48" s="296" t="str">
        <f>VLOOKUP(A48,'imp-questions'!A:H,6,FALSE)</f>
        <v>Do you regularly review and update the risk profiles for your applications?</v>
      </c>
      <c r="E48" s="164" t="str">
        <f>CHAR(65+VLOOKUP(A48,'imp-questions'!A:H,8,FALSE))</f>
        <v>R</v>
      </c>
      <c r="F48" s="193">
        <f>Interview!F65</f>
        <v>0</v>
      </c>
      <c r="G48" s="194">
        <f>IFERROR(VLOOKUP(F48,AnsRTBL,2,FALSE),0)</f>
        <v>0</v>
      </c>
      <c r="H48" s="301">
        <f>IFERROR(AVERAGE(G48,G52),0)</f>
        <v>0</v>
      </c>
      <c r="I48" s="457"/>
      <c r="J48" s="306">
        <f t="shared" si="21"/>
        <v>0</v>
      </c>
      <c r="K48" s="194">
        <f>IFERROR(VLOOKUP(J48,AnsRTBL,2,FALSE),0)</f>
        <v>0</v>
      </c>
      <c r="L48" s="301">
        <f>IFERROR(AVERAGE(K48,K52),0)</f>
        <v>0</v>
      </c>
      <c r="M48" s="457"/>
      <c r="N48" s="306">
        <f t="shared" si="22"/>
        <v>0</v>
      </c>
      <c r="O48" s="194">
        <f>IFERROR(VLOOKUP(N48,AnsRTBL,2,FALSE),0)</f>
        <v>0</v>
      </c>
      <c r="P48" s="301">
        <f>IFERROR(AVERAGE(O48,O52),0)</f>
        <v>0</v>
      </c>
      <c r="Q48" s="457"/>
      <c r="R48" s="306">
        <f t="shared" si="23"/>
        <v>0</v>
      </c>
      <c r="S48" s="194">
        <f>IFERROR(VLOOKUP(R48,AnsRTBL,2,FALSE),0)</f>
        <v>0</v>
      </c>
      <c r="T48" s="301">
        <f>IFERROR(AVERAGE(S48,S52),0)</f>
        <v>0</v>
      </c>
      <c r="U48" s="457"/>
      <c r="V48" s="306">
        <f t="shared" si="24"/>
        <v>0</v>
      </c>
      <c r="W48" s="194">
        <f>IFERROR(VLOOKUP(V48,AnsRTBL,2,FALSE),0)</f>
        <v>0</v>
      </c>
      <c r="X48" s="301">
        <f>IFERROR(AVERAGE(W48,W52),0)</f>
        <v>0</v>
      </c>
      <c r="Y48" s="457"/>
    </row>
    <row r="49" spans="1:25" ht="12.75" x14ac:dyDescent="0.2">
      <c r="A49" s="162"/>
      <c r="B49" s="276"/>
      <c r="C49" s="262"/>
      <c r="D49" s="242"/>
      <c r="E49" s="242"/>
      <c r="F49" s="242"/>
      <c r="G49" s="242"/>
      <c r="H49" s="242"/>
      <c r="I49" s="457"/>
      <c r="J49" s="242"/>
      <c r="K49" s="242"/>
      <c r="L49" s="242"/>
      <c r="M49" s="457"/>
      <c r="N49" s="242"/>
      <c r="O49" s="242"/>
      <c r="P49" s="242"/>
      <c r="Q49" s="457"/>
      <c r="R49" s="242"/>
      <c r="S49" s="242"/>
      <c r="T49" s="242"/>
      <c r="U49" s="457"/>
      <c r="V49" s="242"/>
      <c r="W49" s="242"/>
      <c r="X49" s="242"/>
      <c r="Y49" s="457"/>
    </row>
    <row r="50" spans="1:25" ht="25.5" x14ac:dyDescent="0.2">
      <c r="A50" s="162" t="str">
        <f>Interview!A68</f>
        <v>D-TA-B-1-1</v>
      </c>
      <c r="B50" s="478" t="str">
        <f>VLOOKUP(A50,'imp-questions'!A:H,4,FALSE)</f>
        <v>Threat Modeling</v>
      </c>
      <c r="C50" s="265">
        <f>VLOOKUP(A50,'imp-questions'!A:H,5,FALSE)</f>
        <v>1</v>
      </c>
      <c r="D50" s="202" t="str">
        <f>VLOOKUP(A50,'imp-questions'!A:H,6,FALSE)</f>
        <v>Are you evaluating the technical architecture of your applications for potential threats?</v>
      </c>
      <c r="E50" s="164" t="str">
        <f>CHAR(65+VLOOKUP(A50,'imp-questions'!A:H,8,FALSE))</f>
        <v>B</v>
      </c>
      <c r="F50" s="193">
        <f>Interview!F68</f>
        <v>0</v>
      </c>
      <c r="G50" s="18">
        <f>IFERROR(VLOOKUP(F50,AnsBTBL,2,FALSE),0)</f>
        <v>0</v>
      </c>
      <c r="H50" s="132"/>
      <c r="I50" s="457"/>
      <c r="J50" s="306">
        <f>F50</f>
        <v>0</v>
      </c>
      <c r="K50" s="18">
        <f>IFERROR(VLOOKUP(J50,AnsBTBL,2,FALSE),0)</f>
        <v>0</v>
      </c>
      <c r="L50" s="132"/>
      <c r="M50" s="457"/>
      <c r="N50" s="306">
        <f>J50</f>
        <v>0</v>
      </c>
      <c r="O50" s="18">
        <f>IFERROR(VLOOKUP(N50,AnsBTBL,2,FALSE),0)</f>
        <v>0</v>
      </c>
      <c r="P50" s="132"/>
      <c r="Q50" s="457"/>
      <c r="R50" s="306">
        <f>N50</f>
        <v>0</v>
      </c>
      <c r="S50" s="18">
        <f>IFERROR(VLOOKUP(R50,AnsBTBL,2,FALSE),0)</f>
        <v>0</v>
      </c>
      <c r="T50" s="132"/>
      <c r="U50" s="457"/>
      <c r="V50" s="306">
        <f>R50</f>
        <v>0</v>
      </c>
      <c r="W50" s="18">
        <f>IFERROR(VLOOKUP(V50,AnsBTBL,2,FALSE),0)</f>
        <v>0</v>
      </c>
      <c r="X50" s="132"/>
      <c r="Y50" s="457"/>
    </row>
    <row r="51" spans="1:25" ht="25.5" x14ac:dyDescent="0.2">
      <c r="A51" s="162" t="str">
        <f>Interview!A70</f>
        <v>D-TA-B-2-1</v>
      </c>
      <c r="B51" s="479"/>
      <c r="C51" s="265">
        <f>VLOOKUP(A51,'imp-questions'!A:H,5,FALSE)</f>
        <v>2</v>
      </c>
      <c r="D51" s="202" t="str">
        <f>VLOOKUP(A51,'imp-questions'!A:H,6,FALSE)</f>
        <v>Are you using a standard methodology to evaluate the threats to your applications?</v>
      </c>
      <c r="E51" s="164" t="str">
        <f>CHAR(65+VLOOKUP(A51,'imp-questions'!A:H,8,FALSE))</f>
        <v>B</v>
      </c>
      <c r="F51" s="197">
        <f>Interview!F70</f>
        <v>0</v>
      </c>
      <c r="G51" s="18">
        <f>IFERROR(VLOOKUP(F51,AnsBTBL,2,FALSE),0)</f>
        <v>0</v>
      </c>
      <c r="H51" s="132"/>
      <c r="I51" s="457"/>
      <c r="J51" s="306">
        <f t="shared" ref="J51:J52" si="25">F51</f>
        <v>0</v>
      </c>
      <c r="K51" s="18">
        <f>IFERROR(VLOOKUP(J51,AnsBTBL,2,FALSE),0)</f>
        <v>0</v>
      </c>
      <c r="L51" s="132"/>
      <c r="M51" s="457"/>
      <c r="N51" s="306">
        <f t="shared" ref="N51:N52" si="26">J51</f>
        <v>0</v>
      </c>
      <c r="O51" s="18">
        <f>IFERROR(VLOOKUP(N51,AnsBTBL,2,FALSE),0)</f>
        <v>0</v>
      </c>
      <c r="P51" s="132"/>
      <c r="Q51" s="457"/>
      <c r="R51" s="306">
        <f t="shared" ref="R51:R52" si="27">N51</f>
        <v>0</v>
      </c>
      <c r="S51" s="18">
        <f>IFERROR(VLOOKUP(R51,AnsBTBL,2,FALSE),0)</f>
        <v>0</v>
      </c>
      <c r="T51" s="132"/>
      <c r="U51" s="457"/>
      <c r="V51" s="306">
        <f t="shared" ref="V51:V52" si="28">R51</f>
        <v>0</v>
      </c>
      <c r="W51" s="18">
        <f>IFERROR(VLOOKUP(V51,AnsBTBL,2,FALSE),0)</f>
        <v>0</v>
      </c>
      <c r="X51" s="132"/>
      <c r="Y51" s="457"/>
    </row>
    <row r="52" spans="1:25" ht="25.5" x14ac:dyDescent="0.2">
      <c r="A52" s="162" t="str">
        <f>Interview!A72</f>
        <v>D-TA-B-3-1</v>
      </c>
      <c r="B52" s="480"/>
      <c r="C52" s="265">
        <f>VLOOKUP(A52,'imp-questions'!A:H,5,FALSE)</f>
        <v>3</v>
      </c>
      <c r="D52" s="296" t="str">
        <f>VLOOKUP(A52,'imp-questions'!A:H,6,FALSE)</f>
        <v>Do you regularly review and update the threat models for your applications?</v>
      </c>
      <c r="E52" s="164" t="str">
        <f>CHAR(65+VLOOKUP(A52,'imp-questions'!A:H,8,FALSE))</f>
        <v>E</v>
      </c>
      <c r="F52" s="197">
        <f>Interview!F72</f>
        <v>0</v>
      </c>
      <c r="G52" s="18">
        <f>IFERROR(VLOOKUP(F52,AnsETBL,2,FALSE),0)</f>
        <v>0</v>
      </c>
      <c r="H52" s="132"/>
      <c r="I52" s="458"/>
      <c r="J52" s="306">
        <f t="shared" si="25"/>
        <v>0</v>
      </c>
      <c r="K52" s="18">
        <f>IFERROR(VLOOKUP(J52,AnsETBL,2,FALSE),0)</f>
        <v>0</v>
      </c>
      <c r="L52" s="132"/>
      <c r="M52" s="458"/>
      <c r="N52" s="306">
        <f t="shared" si="26"/>
        <v>0</v>
      </c>
      <c r="O52" s="18">
        <f>IFERROR(VLOOKUP(N52,AnsETBL,2,FALSE),0)</f>
        <v>0</v>
      </c>
      <c r="P52" s="132"/>
      <c r="Q52" s="458"/>
      <c r="R52" s="306">
        <f t="shared" si="27"/>
        <v>0</v>
      </c>
      <c r="S52" s="18">
        <f>IFERROR(VLOOKUP(R52,AnsETBL,2,FALSE),0)</f>
        <v>0</v>
      </c>
      <c r="T52" s="132"/>
      <c r="U52" s="458"/>
      <c r="V52" s="306">
        <f t="shared" si="28"/>
        <v>0</v>
      </c>
      <c r="W52" s="18">
        <f>IFERROR(VLOOKUP(V52,AnsETBL,2,FALSE),0)</f>
        <v>0</v>
      </c>
      <c r="X52" s="132"/>
      <c r="Y52" s="458"/>
    </row>
    <row r="53" spans="1:25" ht="12.75" x14ac:dyDescent="0.2">
      <c r="A53" s="162"/>
      <c r="B53" s="276"/>
      <c r="C53" s="262"/>
      <c r="D53" s="242"/>
      <c r="E53" s="242"/>
      <c r="F53" s="242"/>
      <c r="G53" s="242"/>
      <c r="H53" s="242"/>
      <c r="I53" s="242"/>
      <c r="J53" s="242"/>
      <c r="K53" s="242"/>
      <c r="L53" s="242"/>
      <c r="M53" s="242"/>
      <c r="N53" s="242"/>
      <c r="O53" s="242"/>
      <c r="P53" s="242"/>
      <c r="Q53" s="242"/>
      <c r="R53" s="242"/>
      <c r="S53" s="242"/>
      <c r="T53" s="242"/>
      <c r="U53" s="242"/>
      <c r="V53" s="242"/>
      <c r="W53" s="242"/>
      <c r="X53" s="242"/>
      <c r="Y53" s="242"/>
    </row>
    <row r="54" spans="1:25" x14ac:dyDescent="0.25">
      <c r="A54" s="162"/>
      <c r="B54" s="278" t="s">
        <v>503</v>
      </c>
      <c r="C54" s="264" t="s">
        <v>504</v>
      </c>
      <c r="D54" s="229" t="s">
        <v>25</v>
      </c>
      <c r="E54" s="230"/>
      <c r="F54" s="74" t="s">
        <v>34</v>
      </c>
      <c r="G54" s="74"/>
      <c r="H54" s="119"/>
      <c r="I54" s="252" t="s">
        <v>32</v>
      </c>
      <c r="J54" s="74" t="s">
        <v>34</v>
      </c>
      <c r="K54" s="74"/>
      <c r="L54" s="119"/>
      <c r="M54" s="252" t="s">
        <v>32</v>
      </c>
      <c r="N54" s="74" t="s">
        <v>34</v>
      </c>
      <c r="O54" s="74"/>
      <c r="P54" s="119"/>
      <c r="Q54" s="252" t="s">
        <v>32</v>
      </c>
      <c r="R54" s="74" t="s">
        <v>34</v>
      </c>
      <c r="S54" s="74"/>
      <c r="T54" s="119"/>
      <c r="U54" s="252" t="s">
        <v>32</v>
      </c>
      <c r="V54" s="74" t="s">
        <v>34</v>
      </c>
      <c r="W54" s="74"/>
      <c r="X54" s="119"/>
      <c r="Y54" s="252" t="s">
        <v>32</v>
      </c>
    </row>
    <row r="55" spans="1:25" ht="12.75" x14ac:dyDescent="0.2">
      <c r="A55" s="162" t="str">
        <f>Interview!A75</f>
        <v>D-SR-A-1-1</v>
      </c>
      <c r="B55" s="478" t="str">
        <f>VLOOKUP(A55,'imp-questions'!A:H,4,FALSE)</f>
        <v>Software Requirements</v>
      </c>
      <c r="C55" s="265">
        <f>VLOOKUP(A55,'imp-questions'!A:H,5,FALSE)</f>
        <v>1</v>
      </c>
      <c r="D55" s="202" t="str">
        <f>VLOOKUP(A55,'imp-questions'!A:H,6,FALSE)</f>
        <v>Do project teams specify security requirements during development?</v>
      </c>
      <c r="E55" s="164" t="str">
        <f>CHAR(65+VLOOKUP(A55,'imp-questions'!A:H,8,FALSE))</f>
        <v>E</v>
      </c>
      <c r="F55" s="193">
        <f>Interview!F75</f>
        <v>0</v>
      </c>
      <c r="G55" s="18">
        <f>IFERROR(VLOOKUP(F55,AnsETBL,2,FALSE),0)</f>
        <v>0</v>
      </c>
      <c r="H55" s="301">
        <f>IFERROR(AVERAGE(G55,G59),0)</f>
        <v>0</v>
      </c>
      <c r="I55" s="456">
        <f>SUM(H55:H57)</f>
        <v>0</v>
      </c>
      <c r="J55" s="306">
        <f>F55</f>
        <v>0</v>
      </c>
      <c r="K55" s="18">
        <f>IFERROR(VLOOKUP(J55,AnsETBL,2,FALSE),0)</f>
        <v>0</v>
      </c>
      <c r="L55" s="301">
        <f>IFERROR(AVERAGE(K55,K59),0)</f>
        <v>0</v>
      </c>
      <c r="M55" s="456">
        <f>SUM(L55:L57)</f>
        <v>0</v>
      </c>
      <c r="N55" s="306">
        <f>J55</f>
        <v>0</v>
      </c>
      <c r="O55" s="18">
        <f>IFERROR(VLOOKUP(N55,AnsETBL,2,FALSE),0)</f>
        <v>0</v>
      </c>
      <c r="P55" s="301">
        <f>IFERROR(AVERAGE(O55,O59),0)</f>
        <v>0</v>
      </c>
      <c r="Q55" s="456">
        <f>SUM(P55:P57)</f>
        <v>0</v>
      </c>
      <c r="R55" s="306">
        <f>N55</f>
        <v>0</v>
      </c>
      <c r="S55" s="18">
        <f>IFERROR(VLOOKUP(R55,AnsETBL,2,FALSE),0)</f>
        <v>0</v>
      </c>
      <c r="T55" s="301">
        <f>IFERROR(AVERAGE(S55,S59),0)</f>
        <v>0</v>
      </c>
      <c r="U55" s="456">
        <f>SUM(T55:T57)</f>
        <v>0</v>
      </c>
      <c r="V55" s="306">
        <f>R55</f>
        <v>0</v>
      </c>
      <c r="W55" s="18">
        <f>IFERROR(VLOOKUP(V55,AnsETBL,2,FALSE),0)</f>
        <v>0</v>
      </c>
      <c r="X55" s="301">
        <f>IFERROR(AVERAGE(W55,W59),0)</f>
        <v>0</v>
      </c>
      <c r="Y55" s="456">
        <f>SUM(X55:X57)</f>
        <v>0</v>
      </c>
    </row>
    <row r="56" spans="1:25" ht="25.5" x14ac:dyDescent="0.2">
      <c r="A56" s="162" t="str">
        <f>Interview!A77</f>
        <v>D-SR-A-2-1</v>
      </c>
      <c r="B56" s="479"/>
      <c r="C56" s="265">
        <f>VLOOKUP(A56,'imp-questions'!A:H,5,FALSE)</f>
        <v>2</v>
      </c>
      <c r="D56" s="202" t="str">
        <f>VLOOKUP(A56,'imp-questions'!A:H,6,FALSE)</f>
        <v>Are the artifacts of the security requirements gathering process well defined and structured, with prioritization?</v>
      </c>
      <c r="E56" s="164" t="str">
        <f>CHAR(65+VLOOKUP(A56,'imp-questions'!A:H,8,FALSE))</f>
        <v>B</v>
      </c>
      <c r="F56" s="198">
        <f>Interview!F77</f>
        <v>0</v>
      </c>
      <c r="G56" s="18">
        <f>IFERROR(VLOOKUP(F56,AnsBTBL,2,FALSE),0)</f>
        <v>0</v>
      </c>
      <c r="H56" s="301">
        <f>IFERROR(AVERAGE(G56,G60),0)</f>
        <v>0</v>
      </c>
      <c r="I56" s="457"/>
      <c r="J56" s="306">
        <f t="shared" ref="J56:J57" si="29">F56</f>
        <v>0</v>
      </c>
      <c r="K56" s="18">
        <f>IFERROR(VLOOKUP(J56,AnsBTBL,2,FALSE),0)</f>
        <v>0</v>
      </c>
      <c r="L56" s="301">
        <f>IFERROR(AVERAGE(K56,K60),0)</f>
        <v>0</v>
      </c>
      <c r="M56" s="457"/>
      <c r="N56" s="306">
        <f t="shared" ref="N56:N57" si="30">J56</f>
        <v>0</v>
      </c>
      <c r="O56" s="18">
        <f>IFERROR(VLOOKUP(N56,AnsBTBL,2,FALSE),0)</f>
        <v>0</v>
      </c>
      <c r="P56" s="301">
        <f>IFERROR(AVERAGE(O56,O60),0)</f>
        <v>0</v>
      </c>
      <c r="Q56" s="457"/>
      <c r="R56" s="306">
        <f t="shared" ref="R56:R57" si="31">N56</f>
        <v>0</v>
      </c>
      <c r="S56" s="18">
        <f>IFERROR(VLOOKUP(R56,AnsBTBL,2,FALSE),0)</f>
        <v>0</v>
      </c>
      <c r="T56" s="301">
        <f>IFERROR(AVERAGE(S56,S60),0)</f>
        <v>0</v>
      </c>
      <c r="U56" s="457"/>
      <c r="V56" s="306">
        <f t="shared" ref="V56:V57" si="32">R56</f>
        <v>0</v>
      </c>
      <c r="W56" s="18">
        <f>IFERROR(VLOOKUP(V56,AnsBTBL,2,FALSE),0)</f>
        <v>0</v>
      </c>
      <c r="X56" s="301">
        <f>IFERROR(AVERAGE(W56,W60),0)</f>
        <v>0</v>
      </c>
      <c r="Y56" s="457"/>
    </row>
    <row r="57" spans="1:25" ht="25.5" x14ac:dyDescent="0.2">
      <c r="A57" s="162" t="str">
        <f>Interview!A79</f>
        <v>D-SR-A-3-1</v>
      </c>
      <c r="B57" s="481"/>
      <c r="C57" s="265">
        <f>VLOOKUP(A57,'imp-questions'!A:H,5,FALSE)</f>
        <v>3</v>
      </c>
      <c r="D57" s="202" t="str">
        <f>VLOOKUP(A57,'imp-questions'!A:H,6,FALSE)</f>
        <v>Is a standard requirements framework used to streamline the elicitation of security requirements?</v>
      </c>
      <c r="E57" s="164" t="str">
        <f>CHAR(65+VLOOKUP(A57,'imp-questions'!A:H,8,FALSE))</f>
        <v>A</v>
      </c>
      <c r="F57" s="193">
        <f>Interview!F79</f>
        <v>0</v>
      </c>
      <c r="G57" s="18">
        <f>IFERROR(VLOOKUP(F57,AnsATBL,2,FALSE),0)</f>
        <v>0</v>
      </c>
      <c r="H57" s="301">
        <f>IFERROR(AVERAGE(G57,G61),0)</f>
        <v>0</v>
      </c>
      <c r="I57" s="457"/>
      <c r="J57" s="306">
        <f t="shared" si="29"/>
        <v>0</v>
      </c>
      <c r="K57" s="18">
        <f>IFERROR(VLOOKUP(J57,AnsATBL,2,FALSE),0)</f>
        <v>0</v>
      </c>
      <c r="L57" s="301">
        <f>IFERROR(AVERAGE(K57,K61),0)</f>
        <v>0</v>
      </c>
      <c r="M57" s="457"/>
      <c r="N57" s="306">
        <f t="shared" si="30"/>
        <v>0</v>
      </c>
      <c r="O57" s="18">
        <f>IFERROR(VLOOKUP(N57,AnsATBL,2,FALSE),0)</f>
        <v>0</v>
      </c>
      <c r="P57" s="301">
        <f>IFERROR(AVERAGE(O57,O61),0)</f>
        <v>0</v>
      </c>
      <c r="Q57" s="457"/>
      <c r="R57" s="306">
        <f t="shared" si="31"/>
        <v>0</v>
      </c>
      <c r="S57" s="18">
        <f>IFERROR(VLOOKUP(R57,AnsATBL,2,FALSE),0)</f>
        <v>0</v>
      </c>
      <c r="T57" s="301">
        <f>IFERROR(AVERAGE(S57,S61),0)</f>
        <v>0</v>
      </c>
      <c r="U57" s="457"/>
      <c r="V57" s="306">
        <f t="shared" si="32"/>
        <v>0</v>
      </c>
      <c r="W57" s="18">
        <f>IFERROR(VLOOKUP(V57,AnsATBL,2,FALSE),0)</f>
        <v>0</v>
      </c>
      <c r="X57" s="301">
        <f>IFERROR(AVERAGE(W57,W61),0)</f>
        <v>0</v>
      </c>
      <c r="Y57" s="457"/>
    </row>
    <row r="58" spans="1:25" ht="12.75" x14ac:dyDescent="0.2">
      <c r="A58" s="162"/>
      <c r="B58" s="279"/>
      <c r="C58" s="262"/>
      <c r="D58" s="242"/>
      <c r="E58" s="242"/>
      <c r="F58" s="242"/>
      <c r="G58" s="242"/>
      <c r="H58" s="242"/>
      <c r="I58" s="457"/>
      <c r="J58" s="242"/>
      <c r="K58" s="242"/>
      <c r="L58" s="242"/>
      <c r="M58" s="457"/>
      <c r="N58" s="242"/>
      <c r="O58" s="242"/>
      <c r="P58" s="242"/>
      <c r="Q58" s="457"/>
      <c r="R58" s="242"/>
      <c r="S58" s="242"/>
      <c r="T58" s="242"/>
      <c r="U58" s="457"/>
      <c r="V58" s="242"/>
      <c r="W58" s="242"/>
      <c r="X58" s="242"/>
      <c r="Y58" s="457"/>
    </row>
    <row r="59" spans="1:25" ht="25.5" x14ac:dyDescent="0.2">
      <c r="A59" s="162" t="str">
        <f>Interview!A82</f>
        <v>D-SR-B-1-1</v>
      </c>
      <c r="B59" s="478" t="str">
        <f>VLOOKUP(A59,'imp-questions'!A:H,4,FALSE)</f>
        <v>Supplier Security</v>
      </c>
      <c r="C59" s="265">
        <f>VLOOKUP(A59,'imp-questions'!A:H,5,FALSE)</f>
        <v>1</v>
      </c>
      <c r="D59" s="202" t="str">
        <f>VLOOKUP(A59,'imp-questions'!A:H,6,FALSE)</f>
        <v>Do stakeholders review vendor collaborations for security requirements and methodology?</v>
      </c>
      <c r="E59" s="164" t="str">
        <f>CHAR(65+VLOOKUP(A59,'imp-questions'!A:H,8,FALSE))</f>
        <v>B</v>
      </c>
      <c r="F59" s="193">
        <f>Interview!F82</f>
        <v>0</v>
      </c>
      <c r="G59" s="18">
        <f>IFERROR(VLOOKUP(F59,AnsBTBL,2,FALSE),0)</f>
        <v>0</v>
      </c>
      <c r="H59" s="132"/>
      <c r="I59" s="457"/>
      <c r="J59" s="306">
        <f>F59</f>
        <v>0</v>
      </c>
      <c r="K59" s="18">
        <f>IFERROR(VLOOKUP(J59,AnsBTBL,2,FALSE),0)</f>
        <v>0</v>
      </c>
      <c r="L59" s="132"/>
      <c r="M59" s="457"/>
      <c r="N59" s="306">
        <f>J59</f>
        <v>0</v>
      </c>
      <c r="O59" s="18">
        <f>IFERROR(VLOOKUP(N59,AnsBTBL,2,FALSE),0)</f>
        <v>0</v>
      </c>
      <c r="P59" s="132"/>
      <c r="Q59" s="457"/>
      <c r="R59" s="306">
        <f>N59</f>
        <v>0</v>
      </c>
      <c r="S59" s="18">
        <f>IFERROR(VLOOKUP(R59,AnsBTBL,2,FALSE),0)</f>
        <v>0</v>
      </c>
      <c r="T59" s="132"/>
      <c r="U59" s="457"/>
      <c r="V59" s="306">
        <f>R59</f>
        <v>0</v>
      </c>
      <c r="W59" s="18">
        <f>IFERROR(VLOOKUP(V59,AnsBTBL,2,FALSE),0)</f>
        <v>0</v>
      </c>
      <c r="X59" s="132"/>
      <c r="Y59" s="457"/>
    </row>
    <row r="60" spans="1:25" ht="38.25" x14ac:dyDescent="0.2">
      <c r="A60" s="162" t="str">
        <f>Interview!A84</f>
        <v>D-SR-B-2-1</v>
      </c>
      <c r="B60" s="479"/>
      <c r="C60" s="265">
        <f>VLOOKUP(A60,'imp-questions'!A:H,5,FALSE)</f>
        <v>2</v>
      </c>
      <c r="D60" s="202" t="str">
        <f>VLOOKUP(A60,'imp-questions'!A:H,6,FALSE)</f>
        <v>Does the vendor meet the security responsibilities and quality measures to be in line with service level agreements as defined by the organization?</v>
      </c>
      <c r="E60" s="164" t="str">
        <f>CHAR(65+VLOOKUP(A60,'imp-questions'!A:H,8,FALSE))</f>
        <v>B</v>
      </c>
      <c r="F60" s="198">
        <f>Interview!F84</f>
        <v>0</v>
      </c>
      <c r="G60" s="18">
        <f>IFERROR(VLOOKUP(F60,AnsBTBL,2,FALSE),0)</f>
        <v>0</v>
      </c>
      <c r="H60" s="132"/>
      <c r="I60" s="457"/>
      <c r="J60" s="306">
        <f t="shared" ref="J60:J61" si="33">F60</f>
        <v>0</v>
      </c>
      <c r="K60" s="18">
        <f>IFERROR(VLOOKUP(J60,AnsBTBL,2,FALSE),0)</f>
        <v>0</v>
      </c>
      <c r="L60" s="132"/>
      <c r="M60" s="457"/>
      <c r="N60" s="306">
        <f t="shared" ref="N60:N61" si="34">J60</f>
        <v>0</v>
      </c>
      <c r="O60" s="18">
        <f>IFERROR(VLOOKUP(N60,AnsBTBL,2,FALSE),0)</f>
        <v>0</v>
      </c>
      <c r="P60" s="132"/>
      <c r="Q60" s="457"/>
      <c r="R60" s="306">
        <f t="shared" ref="R60:R61" si="35">N60</f>
        <v>0</v>
      </c>
      <c r="S60" s="18">
        <f>IFERROR(VLOOKUP(R60,AnsBTBL,2,FALSE),0)</f>
        <v>0</v>
      </c>
      <c r="T60" s="132"/>
      <c r="U60" s="457"/>
      <c r="V60" s="306">
        <f t="shared" ref="V60:V61" si="36">R60</f>
        <v>0</v>
      </c>
      <c r="W60" s="18">
        <f>IFERROR(VLOOKUP(V60,AnsBTBL,2,FALSE),0)</f>
        <v>0</v>
      </c>
      <c r="X60" s="132"/>
      <c r="Y60" s="457"/>
    </row>
    <row r="61" spans="1:25" ht="25.5" x14ac:dyDescent="0.2">
      <c r="A61" s="162" t="str">
        <f>Interview!A86</f>
        <v>D-SR-B-3-1</v>
      </c>
      <c r="B61" s="480"/>
      <c r="C61" s="265">
        <f>VLOOKUP(A61,'imp-questions'!A:H,5,FALSE)</f>
        <v>3</v>
      </c>
      <c r="D61" s="296" t="str">
        <f>VLOOKUP(A61,'imp-questions'!A:H,6,FALSE)</f>
        <v>Are vendors aligned with standard security controls and software development tools and processes that the organization utilizes?</v>
      </c>
      <c r="E61" s="164" t="str">
        <f>CHAR(65+VLOOKUP(A61,'imp-questions'!A:H,8,FALSE))</f>
        <v>B</v>
      </c>
      <c r="F61" s="198">
        <f>Interview!F86</f>
        <v>0</v>
      </c>
      <c r="G61" s="18">
        <f>IFERROR(VLOOKUP(F61,AnsBTBL,2,FALSE),0)</f>
        <v>0</v>
      </c>
      <c r="H61" s="132"/>
      <c r="I61" s="458"/>
      <c r="J61" s="306">
        <f t="shared" si="33"/>
        <v>0</v>
      </c>
      <c r="K61" s="18">
        <f>IFERROR(VLOOKUP(J61,AnsBTBL,2,FALSE),0)</f>
        <v>0</v>
      </c>
      <c r="L61" s="132"/>
      <c r="M61" s="458"/>
      <c r="N61" s="306">
        <f t="shared" si="34"/>
        <v>0</v>
      </c>
      <c r="O61" s="18">
        <f>IFERROR(VLOOKUP(N61,AnsBTBL,2,FALSE),0)</f>
        <v>0</v>
      </c>
      <c r="P61" s="132"/>
      <c r="Q61" s="458"/>
      <c r="R61" s="306">
        <f t="shared" si="35"/>
        <v>0</v>
      </c>
      <c r="S61" s="18">
        <f>IFERROR(VLOOKUP(R61,AnsBTBL,2,FALSE),0)</f>
        <v>0</v>
      </c>
      <c r="T61" s="132"/>
      <c r="U61" s="458"/>
      <c r="V61" s="306">
        <f t="shared" si="36"/>
        <v>0</v>
      </c>
      <c r="W61" s="18">
        <f>IFERROR(VLOOKUP(V61,AnsBTBL,2,FALSE),0)</f>
        <v>0</v>
      </c>
      <c r="X61" s="132"/>
      <c r="Y61" s="458"/>
    </row>
    <row r="62" spans="1:25" ht="12.75" x14ac:dyDescent="0.2">
      <c r="A62" s="162"/>
      <c r="B62" s="276"/>
      <c r="C62" s="262"/>
      <c r="D62" s="242"/>
      <c r="E62" s="242"/>
      <c r="F62" s="242"/>
      <c r="G62" s="242"/>
      <c r="H62" s="242"/>
      <c r="I62" s="242"/>
      <c r="J62" s="242"/>
      <c r="K62" s="242"/>
      <c r="L62" s="242"/>
      <c r="M62" s="242"/>
      <c r="N62" s="242"/>
      <c r="O62" s="242"/>
      <c r="P62" s="242"/>
      <c r="Q62" s="242"/>
      <c r="R62" s="242"/>
      <c r="S62" s="242"/>
      <c r="T62" s="242"/>
      <c r="U62" s="242"/>
      <c r="V62" s="242"/>
      <c r="W62" s="242"/>
      <c r="X62" s="242"/>
      <c r="Y62" s="242"/>
    </row>
    <row r="63" spans="1:25" x14ac:dyDescent="0.25">
      <c r="A63" s="162"/>
      <c r="B63" s="278" t="s">
        <v>503</v>
      </c>
      <c r="C63" s="264" t="s">
        <v>504</v>
      </c>
      <c r="D63" s="229" t="s">
        <v>26</v>
      </c>
      <c r="E63" s="230"/>
      <c r="F63" s="74" t="s">
        <v>34</v>
      </c>
      <c r="G63" s="74"/>
      <c r="H63" s="119"/>
      <c r="I63" s="252" t="s">
        <v>32</v>
      </c>
      <c r="J63" s="74" t="s">
        <v>34</v>
      </c>
      <c r="K63" s="74"/>
      <c r="L63" s="119"/>
      <c r="M63" s="252" t="s">
        <v>32</v>
      </c>
      <c r="N63" s="74" t="s">
        <v>34</v>
      </c>
      <c r="O63" s="74"/>
      <c r="P63" s="119"/>
      <c r="Q63" s="252" t="s">
        <v>32</v>
      </c>
      <c r="R63" s="74" t="s">
        <v>34</v>
      </c>
      <c r="S63" s="74"/>
      <c r="T63" s="119"/>
      <c r="U63" s="252" t="s">
        <v>32</v>
      </c>
      <c r="V63" s="74" t="s">
        <v>34</v>
      </c>
      <c r="W63" s="74"/>
      <c r="X63" s="119"/>
      <c r="Y63" s="252" t="s">
        <v>32</v>
      </c>
    </row>
    <row r="64" spans="1:25" ht="12.75" x14ac:dyDescent="0.2">
      <c r="A64" s="162" t="str">
        <f>Interview!A89</f>
        <v>D-SA-A-1-1</v>
      </c>
      <c r="B64" s="478" t="str">
        <f>VLOOKUP(A64,'imp-questions'!A:H,4,FALSE)</f>
        <v>Architecture Design</v>
      </c>
      <c r="C64" s="265">
        <f>VLOOKUP(A64,'imp-questions'!A:H,5,FALSE)</f>
        <v>1</v>
      </c>
      <c r="D64" s="202" t="str">
        <f>VLOOKUP(A64,'imp-questions'!A:H,6,FALSE)</f>
        <v>Do teams use security principles during design?</v>
      </c>
      <c r="E64" s="164" t="str">
        <f>CHAR(65+VLOOKUP(A64,'imp-questions'!A:H,8,FALSE))</f>
        <v>E</v>
      </c>
      <c r="F64" s="193">
        <f>Interview!F89</f>
        <v>0</v>
      </c>
      <c r="G64" s="18">
        <f>IFERROR(VLOOKUP(F64,AnsETBL,2,FALSE),0)</f>
        <v>0</v>
      </c>
      <c r="H64" s="301">
        <f>IFERROR(AVERAGE(G64,G68),0)</f>
        <v>0</v>
      </c>
      <c r="I64" s="456">
        <f>SUM(H64:H66)</f>
        <v>0</v>
      </c>
      <c r="J64" s="306">
        <f>F64</f>
        <v>0</v>
      </c>
      <c r="K64" s="18">
        <f>IFERROR(VLOOKUP(J64,AnsETBL,2,FALSE),0)</f>
        <v>0</v>
      </c>
      <c r="L64" s="301">
        <f>IFERROR(AVERAGE(K64,K68),0)</f>
        <v>0</v>
      </c>
      <c r="M64" s="456">
        <f>SUM(L64:L66)</f>
        <v>0</v>
      </c>
      <c r="N64" s="306">
        <f>J64</f>
        <v>0</v>
      </c>
      <c r="O64" s="18">
        <f>IFERROR(VLOOKUP(N64,AnsETBL,2,FALSE),0)</f>
        <v>0</v>
      </c>
      <c r="P64" s="301">
        <f>IFERROR(AVERAGE(O64,O68),0)</f>
        <v>0</v>
      </c>
      <c r="Q64" s="456">
        <f>SUM(P64:P66)</f>
        <v>0</v>
      </c>
      <c r="R64" s="306">
        <f>N64</f>
        <v>0</v>
      </c>
      <c r="S64" s="18">
        <f>IFERROR(VLOOKUP(R64,AnsETBL,2,FALSE),0)</f>
        <v>0</v>
      </c>
      <c r="T64" s="301">
        <f>IFERROR(AVERAGE(S64,S68),0)</f>
        <v>0</v>
      </c>
      <c r="U64" s="456">
        <f>SUM(T64:T66)</f>
        <v>0</v>
      </c>
      <c r="V64" s="306">
        <f>R64</f>
        <v>0</v>
      </c>
      <c r="W64" s="18">
        <f>IFERROR(VLOOKUP(V64,AnsETBL,2,FALSE),0)</f>
        <v>0</v>
      </c>
      <c r="X64" s="301">
        <f>IFERROR(AVERAGE(W64,W68),0)</f>
        <v>0</v>
      </c>
      <c r="Y64" s="456">
        <f>SUM(X64:X66)</f>
        <v>0</v>
      </c>
    </row>
    <row r="65" spans="1:25" ht="12.75" x14ac:dyDescent="0.2">
      <c r="A65" s="162" t="str">
        <f>Interview!A91</f>
        <v>D-SA-A-2-1</v>
      </c>
      <c r="B65" s="479"/>
      <c r="C65" s="265">
        <f>VLOOKUP(A65,'imp-questions'!A:H,5,FALSE)</f>
        <v>2</v>
      </c>
      <c r="D65" s="202" t="str">
        <f>VLOOKUP(A65,'imp-questions'!A:H,6,FALSE)</f>
        <v>Do you favour the use of standard security services during design?</v>
      </c>
      <c r="E65" s="164" t="str">
        <f>CHAR(65+VLOOKUP(A65,'imp-questions'!A:H,8,FALSE))</f>
        <v>A</v>
      </c>
      <c r="F65" s="193">
        <f>Interview!F91</f>
        <v>0</v>
      </c>
      <c r="G65" s="18">
        <f>IFERROR(VLOOKUP(F65,AnsATBL,2,FALSE),0)</f>
        <v>0</v>
      </c>
      <c r="H65" s="301">
        <f>IFERROR(AVERAGE(G65,G69),0)</f>
        <v>0</v>
      </c>
      <c r="I65" s="457"/>
      <c r="J65" s="306">
        <f t="shared" ref="J65:J66" si="37">F65</f>
        <v>0</v>
      </c>
      <c r="K65" s="18">
        <f>IFERROR(VLOOKUP(J65,AnsATBL,2,FALSE),0)</f>
        <v>0</v>
      </c>
      <c r="L65" s="301">
        <f>IFERROR(AVERAGE(K65,K69),0)</f>
        <v>0</v>
      </c>
      <c r="M65" s="457"/>
      <c r="N65" s="306">
        <f t="shared" ref="N65:N66" si="38">J65</f>
        <v>0</v>
      </c>
      <c r="O65" s="18">
        <f>IFERROR(VLOOKUP(N65,AnsATBL,2,FALSE),0)</f>
        <v>0</v>
      </c>
      <c r="P65" s="301">
        <f>IFERROR(AVERAGE(O65,O69),0)</f>
        <v>0</v>
      </c>
      <c r="Q65" s="457"/>
      <c r="R65" s="306">
        <f t="shared" ref="R65:R66" si="39">N65</f>
        <v>0</v>
      </c>
      <c r="S65" s="18">
        <f>IFERROR(VLOOKUP(R65,AnsATBL,2,FALSE),0)</f>
        <v>0</v>
      </c>
      <c r="T65" s="301">
        <f>IFERROR(AVERAGE(S65,S69),0)</f>
        <v>0</v>
      </c>
      <c r="U65" s="457"/>
      <c r="V65" s="306">
        <f t="shared" ref="V65:V66" si="40">R65</f>
        <v>0</v>
      </c>
      <c r="W65" s="18">
        <f>IFERROR(VLOOKUP(V65,AnsATBL,2,FALSE),0)</f>
        <v>0</v>
      </c>
      <c r="X65" s="301">
        <f>IFERROR(AVERAGE(W65,W69),0)</f>
        <v>0</v>
      </c>
      <c r="Y65" s="457"/>
    </row>
    <row r="66" spans="1:25" ht="12.75" x14ac:dyDescent="0.2">
      <c r="A66" s="162" t="str">
        <f>Interview!A93</f>
        <v>D-SA-A-3-1</v>
      </c>
      <c r="B66" s="481"/>
      <c r="C66" s="265">
        <f>VLOOKUP(A66,'imp-questions'!A:H,5,FALSE)</f>
        <v>3</v>
      </c>
      <c r="D66" s="296" t="str">
        <f>VLOOKUP(A66,'imp-questions'!A:H,6,FALSE)</f>
        <v>Do you base your design on available reference architectures?</v>
      </c>
      <c r="E66" s="164" t="str">
        <f>CHAR(65+VLOOKUP(A66,'imp-questions'!A:H,8,FALSE))</f>
        <v>A</v>
      </c>
      <c r="F66" s="193">
        <f>Interview!F93</f>
        <v>0</v>
      </c>
      <c r="G66" s="18">
        <f>IFERROR(VLOOKUP(F66,AnsATBL,2,FALSE),0)</f>
        <v>0</v>
      </c>
      <c r="H66" s="301">
        <f>IFERROR(AVERAGE(G66,G70),0)</f>
        <v>0</v>
      </c>
      <c r="I66" s="457"/>
      <c r="J66" s="306">
        <f t="shared" si="37"/>
        <v>0</v>
      </c>
      <c r="K66" s="18">
        <f>IFERROR(VLOOKUP(J66,AnsATBL,2,FALSE),0)</f>
        <v>0</v>
      </c>
      <c r="L66" s="301">
        <f>IFERROR(AVERAGE(K66,K70),0)</f>
        <v>0</v>
      </c>
      <c r="M66" s="457"/>
      <c r="N66" s="306">
        <f t="shared" si="38"/>
        <v>0</v>
      </c>
      <c r="O66" s="18">
        <f>IFERROR(VLOOKUP(N66,AnsATBL,2,FALSE),0)</f>
        <v>0</v>
      </c>
      <c r="P66" s="301">
        <f>IFERROR(AVERAGE(O66,O70),0)</f>
        <v>0</v>
      </c>
      <c r="Q66" s="457"/>
      <c r="R66" s="306">
        <f t="shared" si="39"/>
        <v>0</v>
      </c>
      <c r="S66" s="18">
        <f>IFERROR(VLOOKUP(R66,AnsATBL,2,FALSE),0)</f>
        <v>0</v>
      </c>
      <c r="T66" s="301">
        <f>IFERROR(AVERAGE(S66,S70),0)</f>
        <v>0</v>
      </c>
      <c r="U66" s="457"/>
      <c r="V66" s="306">
        <f t="shared" si="40"/>
        <v>0</v>
      </c>
      <c r="W66" s="18">
        <f>IFERROR(VLOOKUP(V66,AnsATBL,2,FALSE),0)</f>
        <v>0</v>
      </c>
      <c r="X66" s="301">
        <f>IFERROR(AVERAGE(W66,W70),0)</f>
        <v>0</v>
      </c>
      <c r="Y66" s="457"/>
    </row>
    <row r="67" spans="1:25" ht="12.75" x14ac:dyDescent="0.2">
      <c r="A67" s="162"/>
      <c r="B67" s="279"/>
      <c r="C67" s="262"/>
      <c r="D67" s="242"/>
      <c r="E67" s="242"/>
      <c r="F67" s="242"/>
      <c r="G67" s="242"/>
      <c r="H67" s="242"/>
      <c r="I67" s="457"/>
      <c r="J67" s="242"/>
      <c r="K67" s="242"/>
      <c r="L67" s="242"/>
      <c r="M67" s="457"/>
      <c r="N67" s="242"/>
      <c r="O67" s="242"/>
      <c r="P67" s="242"/>
      <c r="Q67" s="457"/>
      <c r="R67" s="242"/>
      <c r="S67" s="242"/>
      <c r="T67" s="242"/>
      <c r="U67" s="457"/>
      <c r="V67" s="242"/>
      <c r="W67" s="242"/>
      <c r="X67" s="242"/>
      <c r="Y67" s="457"/>
    </row>
    <row r="68" spans="1:25" ht="25.5" x14ac:dyDescent="0.2">
      <c r="A68" s="162" t="str">
        <f>Interview!A96</f>
        <v>D-SA-B-1-1</v>
      </c>
      <c r="B68" s="478" t="str">
        <f>VLOOKUP(A68,'imp-questions'!A:H,4,FALSE)</f>
        <v>Technology Management</v>
      </c>
      <c r="C68" s="265">
        <f>VLOOKUP(A68,'imp-questions'!A:H,5,FALSE)</f>
        <v>1</v>
      </c>
      <c r="D68" s="202" t="str">
        <f>VLOOKUP(A68,'imp-questions'!A:H,6,FALSE)</f>
        <v>Do you evaluate the security quality of important technologies used within the development organisation?</v>
      </c>
      <c r="E68" s="164" t="str">
        <f>CHAR(65+VLOOKUP(A68,'imp-questions'!A:H,8,FALSE))</f>
        <v>A</v>
      </c>
      <c r="F68" s="193">
        <f>Interview!F96</f>
        <v>0</v>
      </c>
      <c r="G68" s="18">
        <f>IFERROR(VLOOKUP(F68,AnsATBL,2,FALSE),0)</f>
        <v>0</v>
      </c>
      <c r="H68" s="132"/>
      <c r="I68" s="457"/>
      <c r="J68" s="306">
        <f>F68</f>
        <v>0</v>
      </c>
      <c r="K68" s="18">
        <f>IFERROR(VLOOKUP(J68,AnsATBL,2,FALSE),0)</f>
        <v>0</v>
      </c>
      <c r="L68" s="132"/>
      <c r="M68" s="457"/>
      <c r="N68" s="306">
        <f>J68</f>
        <v>0</v>
      </c>
      <c r="O68" s="18">
        <f>IFERROR(VLOOKUP(N68,AnsATBL,2,FALSE),0)</f>
        <v>0</v>
      </c>
      <c r="P68" s="132"/>
      <c r="Q68" s="457"/>
      <c r="R68" s="306">
        <f>N68</f>
        <v>0</v>
      </c>
      <c r="S68" s="18">
        <f>IFERROR(VLOOKUP(R68,AnsATBL,2,FALSE),0)</f>
        <v>0</v>
      </c>
      <c r="T68" s="132"/>
      <c r="U68" s="457"/>
      <c r="V68" s="306">
        <f>R68</f>
        <v>0</v>
      </c>
      <c r="W68" s="18">
        <f>IFERROR(VLOOKUP(V68,AnsATBL,2,FALSE),0)</f>
        <v>0</v>
      </c>
      <c r="X68" s="132"/>
      <c r="Y68" s="457"/>
    </row>
    <row r="69" spans="1:25" ht="25.5" x14ac:dyDescent="0.2">
      <c r="A69" s="162" t="str">
        <f>Interview!A98</f>
        <v>D-SA-B-2-1</v>
      </c>
      <c r="B69" s="479"/>
      <c r="C69" s="265">
        <f>VLOOKUP(A69,'imp-questions'!A:H,5,FALSE)</f>
        <v>2</v>
      </c>
      <c r="D69" s="202" t="str">
        <f>VLOOKUP(A69,'imp-questions'!A:H,6,FALSE)</f>
        <v>Do you have a list of recommended technologies for use in the development organisation?</v>
      </c>
      <c r="E69" s="164" t="str">
        <f>CHAR(65+VLOOKUP(A69,'imp-questions'!A:H,8,FALSE))</f>
        <v>M</v>
      </c>
      <c r="F69" s="198">
        <f>Interview!F98</f>
        <v>0</v>
      </c>
      <c r="G69" s="18">
        <f>IFERROR(VLOOKUP(F69,AnsMTBL,2,FALSE),0)</f>
        <v>0</v>
      </c>
      <c r="H69" s="132"/>
      <c r="I69" s="457"/>
      <c r="J69" s="306">
        <f t="shared" ref="J69:J70" si="41">F69</f>
        <v>0</v>
      </c>
      <c r="K69" s="18">
        <f>IFERROR(VLOOKUP(J69,AnsMTBL,2,FALSE),0)</f>
        <v>0</v>
      </c>
      <c r="L69" s="132"/>
      <c r="M69" s="457"/>
      <c r="N69" s="306">
        <f t="shared" ref="N69:N70" si="42">J69</f>
        <v>0</v>
      </c>
      <c r="O69" s="18">
        <f>IFERROR(VLOOKUP(N69,AnsMTBL,2,FALSE),0)</f>
        <v>0</v>
      </c>
      <c r="P69" s="132"/>
      <c r="Q69" s="457"/>
      <c r="R69" s="306">
        <f t="shared" ref="R69:R70" si="43">N69</f>
        <v>0</v>
      </c>
      <c r="S69" s="18">
        <f>IFERROR(VLOOKUP(R69,AnsMTBL,2,FALSE),0)</f>
        <v>0</v>
      </c>
      <c r="T69" s="132"/>
      <c r="U69" s="457"/>
      <c r="V69" s="306">
        <f t="shared" ref="V69:V70" si="44">R69</f>
        <v>0</v>
      </c>
      <c r="W69" s="18">
        <f>IFERROR(VLOOKUP(V69,AnsMTBL,2,FALSE),0)</f>
        <v>0</v>
      </c>
      <c r="X69" s="132"/>
      <c r="Y69" s="457"/>
    </row>
    <row r="70" spans="1:25" ht="25.5" x14ac:dyDescent="0.2">
      <c r="A70" s="162" t="str">
        <f>Interview!A100</f>
        <v>D-SA-B-3-1</v>
      </c>
      <c r="B70" s="479"/>
      <c r="C70" s="265">
        <f>VLOOKUP(A70,'imp-questions'!A:H,5,FALSE)</f>
        <v>3</v>
      </c>
      <c r="D70" s="296" t="str">
        <f>VLOOKUP(A70,'imp-questions'!A:H,6,FALSE)</f>
        <v>Do you enforce the use of recommended technologies within the development organisation?</v>
      </c>
      <c r="E70" s="164" t="str">
        <f>CHAR(65+VLOOKUP(A70,'imp-questions'!A:H,8,FALSE))</f>
        <v>A</v>
      </c>
      <c r="F70" s="193">
        <f>Interview!F100</f>
        <v>0</v>
      </c>
      <c r="G70" s="18">
        <f>IFERROR(VLOOKUP(F70,AnsATBL,2,FALSE),0)</f>
        <v>0</v>
      </c>
      <c r="H70" s="132"/>
      <c r="I70" s="459"/>
      <c r="J70" s="306">
        <f t="shared" si="41"/>
        <v>0</v>
      </c>
      <c r="K70" s="18">
        <f>IFERROR(VLOOKUP(J70,AnsATBL,2,FALSE),0)</f>
        <v>0</v>
      </c>
      <c r="L70" s="132"/>
      <c r="M70" s="459"/>
      <c r="N70" s="306">
        <f t="shared" si="42"/>
        <v>0</v>
      </c>
      <c r="O70" s="18">
        <f>IFERROR(VLOOKUP(N70,AnsATBL,2,FALSE),0)</f>
        <v>0</v>
      </c>
      <c r="P70" s="132"/>
      <c r="Q70" s="459"/>
      <c r="R70" s="306">
        <f t="shared" si="43"/>
        <v>0</v>
      </c>
      <c r="S70" s="18">
        <f>IFERROR(VLOOKUP(R70,AnsATBL,2,FALSE),0)</f>
        <v>0</v>
      </c>
      <c r="T70" s="132"/>
      <c r="U70" s="459"/>
      <c r="V70" s="306">
        <f t="shared" si="44"/>
        <v>0</v>
      </c>
      <c r="W70" s="18">
        <f>IFERROR(VLOOKUP(V70,AnsATBL,2,FALSE),0)</f>
        <v>0</v>
      </c>
      <c r="X70" s="132"/>
      <c r="Y70" s="459"/>
    </row>
    <row r="71" spans="1:25" ht="12.75" x14ac:dyDescent="0.2">
      <c r="A71" s="162"/>
      <c r="B71" s="279"/>
      <c r="C71" s="262"/>
      <c r="D71" s="242"/>
      <c r="E71" s="242"/>
      <c r="F71" s="242"/>
      <c r="G71" s="242"/>
      <c r="H71" s="242"/>
      <c r="I71" s="242"/>
      <c r="J71" s="242"/>
      <c r="K71" s="242"/>
      <c r="L71" s="242"/>
      <c r="M71" s="242"/>
      <c r="N71" s="242"/>
      <c r="O71" s="242"/>
      <c r="P71" s="242"/>
      <c r="Q71" s="242"/>
      <c r="R71" s="242"/>
      <c r="S71" s="242"/>
      <c r="T71" s="242"/>
      <c r="U71" s="242"/>
      <c r="V71" s="242"/>
      <c r="W71" s="242"/>
      <c r="X71" s="242"/>
      <c r="Y71" s="242"/>
    </row>
    <row r="72" spans="1:25" ht="25.5" x14ac:dyDescent="0.2">
      <c r="A72" s="162"/>
      <c r="B72" s="266" t="s">
        <v>286</v>
      </c>
      <c r="C72" s="266"/>
      <c r="D72" s="246"/>
      <c r="E72" s="246"/>
      <c r="F72" s="489" t="s">
        <v>60</v>
      </c>
      <c r="G72" s="489"/>
      <c r="H72" s="489"/>
      <c r="I72" s="489"/>
      <c r="J72" s="492" t="s">
        <v>506</v>
      </c>
      <c r="K72" s="489"/>
      <c r="L72" s="489"/>
      <c r="M72" s="493"/>
      <c r="N72" s="492" t="s">
        <v>507</v>
      </c>
      <c r="O72" s="489"/>
      <c r="P72" s="489"/>
      <c r="Q72" s="493"/>
      <c r="R72" s="492" t="s">
        <v>508</v>
      </c>
      <c r="S72" s="489"/>
      <c r="T72" s="489"/>
      <c r="U72" s="493"/>
      <c r="V72" s="492" t="s">
        <v>509</v>
      </c>
      <c r="W72" s="489"/>
      <c r="X72" s="489"/>
      <c r="Y72" s="493"/>
    </row>
    <row r="73" spans="1:25" x14ac:dyDescent="0.25">
      <c r="A73" s="162"/>
      <c r="B73" s="280" t="s">
        <v>503</v>
      </c>
      <c r="C73" s="267" t="s">
        <v>504</v>
      </c>
      <c r="D73" s="280" t="s">
        <v>287</v>
      </c>
      <c r="E73" s="233"/>
      <c r="F73" s="177" t="s">
        <v>34</v>
      </c>
      <c r="G73" s="177"/>
      <c r="H73" s="178"/>
      <c r="I73" s="253" t="s">
        <v>32</v>
      </c>
      <c r="J73" s="177" t="s">
        <v>34</v>
      </c>
      <c r="K73" s="177"/>
      <c r="L73" s="178"/>
      <c r="M73" s="253" t="s">
        <v>32</v>
      </c>
      <c r="N73" s="177" t="s">
        <v>34</v>
      </c>
      <c r="O73" s="177"/>
      <c r="P73" s="178"/>
      <c r="Q73" s="253" t="s">
        <v>32</v>
      </c>
      <c r="R73" s="177" t="s">
        <v>34</v>
      </c>
      <c r="S73" s="177"/>
      <c r="T73" s="178"/>
      <c r="U73" s="253" t="s">
        <v>32</v>
      </c>
      <c r="V73" s="177" t="s">
        <v>34</v>
      </c>
      <c r="W73" s="177"/>
      <c r="X73" s="178"/>
      <c r="Y73" s="253" t="s">
        <v>32</v>
      </c>
    </row>
    <row r="74" spans="1:25" ht="12.75" x14ac:dyDescent="0.2">
      <c r="A74" s="162" t="str">
        <f>Interview!A104</f>
        <v>I-SB-A-1-1</v>
      </c>
      <c r="B74" s="471" t="str">
        <f>VLOOKUP(A74,'imp-questions'!A:H,4,FALSE)</f>
        <v>Build Process</v>
      </c>
      <c r="C74" s="268">
        <f>VLOOKUP(A74,'imp-questions'!A:H,5,FALSE)</f>
        <v>1</v>
      </c>
      <c r="D74" s="202" t="str">
        <f>VLOOKUP(A74,'imp-questions'!A:H,6,FALSE)</f>
        <v>Do you use repeatable build processes?</v>
      </c>
      <c r="E74" s="164" t="str">
        <f>CHAR(65+VLOOKUP(A74,'imp-questions'!A:H,8,FALSE))</f>
        <v>A</v>
      </c>
      <c r="F74" s="193">
        <f>Interview!F104</f>
        <v>0</v>
      </c>
      <c r="G74" s="18">
        <f>IFERROR(VLOOKUP(F74,AnsATBL,2,FALSE),0)</f>
        <v>0</v>
      </c>
      <c r="H74" s="301">
        <f>IFERROR(AVERAGE(G74,G78),0)</f>
        <v>0</v>
      </c>
      <c r="I74" s="460">
        <f>SUM(H74:H76)</f>
        <v>0</v>
      </c>
      <c r="J74" s="306">
        <f>F74</f>
        <v>0</v>
      </c>
      <c r="K74" s="18">
        <f>IFERROR(VLOOKUP(J74,AnsATBL,2,FALSE),0)</f>
        <v>0</v>
      </c>
      <c r="L74" s="301">
        <f>IFERROR(AVERAGE(K74,K78),0)</f>
        <v>0</v>
      </c>
      <c r="M74" s="460">
        <f>SUM(L74:L76)</f>
        <v>0</v>
      </c>
      <c r="N74" s="306">
        <f>J74</f>
        <v>0</v>
      </c>
      <c r="O74" s="18">
        <f>IFERROR(VLOOKUP(N74,AnsATBL,2,FALSE),0)</f>
        <v>0</v>
      </c>
      <c r="P74" s="301">
        <f>IFERROR(AVERAGE(O74,O78),0)</f>
        <v>0</v>
      </c>
      <c r="Q74" s="460">
        <f>SUM(P74:P76)</f>
        <v>0</v>
      </c>
      <c r="R74" s="306">
        <f>N74</f>
        <v>0</v>
      </c>
      <c r="S74" s="18">
        <f>IFERROR(VLOOKUP(R74,AnsATBL,2,FALSE),0)</f>
        <v>0</v>
      </c>
      <c r="T74" s="301">
        <f>IFERROR(AVERAGE(S74,S78),0)</f>
        <v>0</v>
      </c>
      <c r="U74" s="460">
        <f>SUM(T74:T76)</f>
        <v>0</v>
      </c>
      <c r="V74" s="306">
        <f>R74</f>
        <v>0</v>
      </c>
      <c r="W74" s="18">
        <f>IFERROR(VLOOKUP(V74,AnsATBL,2,FALSE),0)</f>
        <v>0</v>
      </c>
      <c r="X74" s="301">
        <f>IFERROR(AVERAGE(W74,W78),0)</f>
        <v>0</v>
      </c>
      <c r="Y74" s="460">
        <f>SUM(X74:X76)</f>
        <v>0</v>
      </c>
    </row>
    <row r="75" spans="1:25" ht="12.75" x14ac:dyDescent="0.2">
      <c r="A75" s="162" t="str">
        <f>Interview!A106</f>
        <v>I-SB-A-2-1</v>
      </c>
      <c r="B75" s="472"/>
      <c r="C75" s="268">
        <f>VLOOKUP(A75,'imp-questions'!A:H,5,FALSE)</f>
        <v>2</v>
      </c>
      <c r="D75" s="202" t="str">
        <f>VLOOKUP(A75,'imp-questions'!A:H,6,FALSE)</f>
        <v>Are build processes automated?</v>
      </c>
      <c r="E75" s="164" t="str">
        <f>CHAR(65+VLOOKUP(A75,'imp-questions'!A:H,8,FALSE))</f>
        <v>A</v>
      </c>
      <c r="F75" s="193">
        <f>Interview!F106</f>
        <v>0</v>
      </c>
      <c r="G75" s="18">
        <f>IFERROR(VLOOKUP(F75,AnsATBL,2,FALSE),0)</f>
        <v>0</v>
      </c>
      <c r="H75" s="301">
        <f>IFERROR(AVERAGE(G75,G79),0)</f>
        <v>0</v>
      </c>
      <c r="I75" s="461"/>
      <c r="J75" s="306">
        <f t="shared" ref="J75:J76" si="45">F75</f>
        <v>0</v>
      </c>
      <c r="K75" s="18">
        <f>IFERROR(VLOOKUP(J75,AnsATBL,2,FALSE),0)</f>
        <v>0</v>
      </c>
      <c r="L75" s="301">
        <f>IFERROR(AVERAGE(K75,K79),0)</f>
        <v>0</v>
      </c>
      <c r="M75" s="461"/>
      <c r="N75" s="306">
        <f t="shared" ref="N75:N76" si="46">J75</f>
        <v>0</v>
      </c>
      <c r="O75" s="18">
        <f>IFERROR(VLOOKUP(N75,AnsATBL,2,FALSE),0)</f>
        <v>0</v>
      </c>
      <c r="P75" s="301">
        <f>IFERROR(AVERAGE(O75,O79),0)</f>
        <v>0</v>
      </c>
      <c r="Q75" s="461"/>
      <c r="R75" s="306">
        <f t="shared" ref="R75:R76" si="47">N75</f>
        <v>0</v>
      </c>
      <c r="S75" s="18">
        <f>IFERROR(VLOOKUP(R75,AnsATBL,2,FALSE),0)</f>
        <v>0</v>
      </c>
      <c r="T75" s="301">
        <f>IFERROR(AVERAGE(S75,S79),0)</f>
        <v>0</v>
      </c>
      <c r="U75" s="461"/>
      <c r="V75" s="306">
        <f t="shared" ref="V75:V76" si="48">R75</f>
        <v>0</v>
      </c>
      <c r="W75" s="18">
        <f>IFERROR(VLOOKUP(V75,AnsATBL,2,FALSE),0)</f>
        <v>0</v>
      </c>
      <c r="X75" s="301">
        <f>IFERROR(AVERAGE(W75,W79),0)</f>
        <v>0</v>
      </c>
      <c r="Y75" s="461"/>
    </row>
    <row r="76" spans="1:25" ht="12.75" x14ac:dyDescent="0.2">
      <c r="A76" s="162" t="str">
        <f>Interview!A108</f>
        <v>I-SB-A-3-1</v>
      </c>
      <c r="B76" s="473"/>
      <c r="C76" s="268">
        <f>VLOOKUP(A76,'imp-questions'!A:H,5,FALSE)</f>
        <v>3</v>
      </c>
      <c r="D76" s="296" t="str">
        <f>VLOOKUP(A76,'imp-questions'!A:H,6,FALSE)</f>
        <v>Do you integrate automated security checks in build processes?</v>
      </c>
      <c r="E76" s="164" t="str">
        <f>CHAR(65+VLOOKUP(A76,'imp-questions'!A:H,8,FALSE))</f>
        <v>A</v>
      </c>
      <c r="F76" s="193">
        <f>Interview!F108</f>
        <v>0</v>
      </c>
      <c r="G76" s="18">
        <f>IFERROR(VLOOKUP(F76,AnsATBL,2,FALSE),0)</f>
        <v>0</v>
      </c>
      <c r="H76" s="301">
        <f>IFERROR(AVERAGE(G76,G80),0)</f>
        <v>0</v>
      </c>
      <c r="I76" s="461"/>
      <c r="J76" s="306">
        <f t="shared" si="45"/>
        <v>0</v>
      </c>
      <c r="K76" s="18">
        <f>IFERROR(VLOOKUP(J76,AnsATBL,2,FALSE),0)</f>
        <v>0</v>
      </c>
      <c r="L76" s="301">
        <f>IFERROR(AVERAGE(K76,K80),0)</f>
        <v>0</v>
      </c>
      <c r="M76" s="461"/>
      <c r="N76" s="306">
        <f t="shared" si="46"/>
        <v>0</v>
      </c>
      <c r="O76" s="18">
        <f>IFERROR(VLOOKUP(N76,AnsATBL,2,FALSE),0)</f>
        <v>0</v>
      </c>
      <c r="P76" s="301">
        <f>IFERROR(AVERAGE(O76,O80),0)</f>
        <v>0</v>
      </c>
      <c r="Q76" s="461"/>
      <c r="R76" s="306">
        <f t="shared" si="47"/>
        <v>0</v>
      </c>
      <c r="S76" s="18">
        <f>IFERROR(VLOOKUP(R76,AnsATBL,2,FALSE),0)</f>
        <v>0</v>
      </c>
      <c r="T76" s="301">
        <f>IFERROR(AVERAGE(S76,S80),0)</f>
        <v>0</v>
      </c>
      <c r="U76" s="461"/>
      <c r="V76" s="306">
        <f t="shared" si="48"/>
        <v>0</v>
      </c>
      <c r="W76" s="18">
        <f>IFERROR(VLOOKUP(V76,AnsATBL,2,FALSE),0)</f>
        <v>0</v>
      </c>
      <c r="X76" s="301">
        <f>IFERROR(AVERAGE(W76,W80),0)</f>
        <v>0</v>
      </c>
      <c r="Y76" s="461"/>
    </row>
    <row r="77" spans="1:25" ht="12.75" x14ac:dyDescent="0.2">
      <c r="A77" s="162"/>
      <c r="B77" s="276"/>
      <c r="C77" s="262"/>
      <c r="D77" s="242"/>
      <c r="E77" s="242"/>
      <c r="F77" s="242"/>
      <c r="G77" s="242"/>
      <c r="H77" s="242"/>
      <c r="I77" s="461"/>
      <c r="J77" s="242"/>
      <c r="K77" s="242"/>
      <c r="L77" s="242"/>
      <c r="M77" s="461"/>
      <c r="N77" s="242"/>
      <c r="O77" s="242"/>
      <c r="P77" s="242"/>
      <c r="Q77" s="461"/>
      <c r="R77" s="242"/>
      <c r="S77" s="242"/>
      <c r="T77" s="242"/>
      <c r="U77" s="461"/>
      <c r="V77" s="242"/>
      <c r="W77" s="242"/>
      <c r="X77" s="242"/>
      <c r="Y77" s="461"/>
    </row>
    <row r="78" spans="1:25" ht="12.75" x14ac:dyDescent="0.2">
      <c r="A78" s="162" t="str">
        <f>Interview!A111</f>
        <v>I-SB-B-1-1</v>
      </c>
      <c r="B78" s="471" t="str">
        <f>VLOOKUP(A78,'imp-questions'!A:H,4,FALSE)</f>
        <v>Software Dependencies</v>
      </c>
      <c r="C78" s="268">
        <f>VLOOKUP(A78,'imp-questions'!A:H,5,FALSE)</f>
        <v>1</v>
      </c>
      <c r="D78" s="202" t="str">
        <f>VLOOKUP(A78,'imp-questions'!A:H,6,FALSE)</f>
        <v>Do you evaluate security risk stemming from used dependencies?</v>
      </c>
      <c r="E78" s="164" t="str">
        <f>CHAR(65+VLOOKUP(A78,'imp-questions'!A:H,8,FALSE))</f>
        <v>A</v>
      </c>
      <c r="F78" s="193">
        <f>Interview!F111</f>
        <v>0</v>
      </c>
      <c r="G78" s="18">
        <f>IFERROR(VLOOKUP(F78,AnsATBL,2,FALSE),0)</f>
        <v>0</v>
      </c>
      <c r="H78" s="132"/>
      <c r="I78" s="461"/>
      <c r="J78" s="306">
        <f>F78</f>
        <v>0</v>
      </c>
      <c r="K78" s="18">
        <f>IFERROR(VLOOKUP(J78,AnsATBL,2,FALSE),0)</f>
        <v>0</v>
      </c>
      <c r="L78" s="132"/>
      <c r="M78" s="461"/>
      <c r="N78" s="306">
        <f>J78</f>
        <v>0</v>
      </c>
      <c r="O78" s="18">
        <f>IFERROR(VLOOKUP(N78,AnsATBL,2,FALSE),0)</f>
        <v>0</v>
      </c>
      <c r="P78" s="132"/>
      <c r="Q78" s="461"/>
      <c r="R78" s="306">
        <f>N78</f>
        <v>0</v>
      </c>
      <c r="S78" s="18">
        <f>IFERROR(VLOOKUP(R78,AnsATBL,2,FALSE),0)</f>
        <v>0</v>
      </c>
      <c r="T78" s="132"/>
      <c r="U78" s="461"/>
      <c r="V78" s="306">
        <f>R78</f>
        <v>0</v>
      </c>
      <c r="W78" s="18">
        <f>IFERROR(VLOOKUP(V78,AnsATBL,2,FALSE),0)</f>
        <v>0</v>
      </c>
      <c r="X78" s="132"/>
      <c r="Y78" s="461"/>
    </row>
    <row r="79" spans="1:25" ht="12.75" x14ac:dyDescent="0.2">
      <c r="A79" s="162" t="str">
        <f>Interview!A113</f>
        <v>I-SB-B-2-1</v>
      </c>
      <c r="B79" s="472"/>
      <c r="C79" s="268">
        <f>VLOOKUP(A79,'imp-questions'!A:H,5,FALSE)</f>
        <v>2</v>
      </c>
      <c r="D79" s="202" t="str">
        <f>VLOOKUP(A79,'imp-questions'!A:H,6,FALSE)</f>
        <v>Is 3rd party dependency risk handled by a formal process?</v>
      </c>
      <c r="E79" s="164" t="str">
        <f>CHAR(65+VLOOKUP(A79,'imp-questions'!A:H,8,FALSE))</f>
        <v>A</v>
      </c>
      <c r="F79" s="193">
        <f>Interview!F113</f>
        <v>0</v>
      </c>
      <c r="G79" s="18">
        <f>IFERROR(VLOOKUP(F79,AnsATBL,2,FALSE),0)</f>
        <v>0</v>
      </c>
      <c r="H79" s="132"/>
      <c r="I79" s="461"/>
      <c r="J79" s="306">
        <f t="shared" ref="J79:J80" si="49">F79</f>
        <v>0</v>
      </c>
      <c r="K79" s="18">
        <f>IFERROR(VLOOKUP(J79,AnsATBL,2,FALSE),0)</f>
        <v>0</v>
      </c>
      <c r="L79" s="132"/>
      <c r="M79" s="461"/>
      <c r="N79" s="306">
        <f t="shared" ref="N79:N80" si="50">J79</f>
        <v>0</v>
      </c>
      <c r="O79" s="18">
        <f>IFERROR(VLOOKUP(N79,AnsATBL,2,FALSE),0)</f>
        <v>0</v>
      </c>
      <c r="P79" s="132"/>
      <c r="Q79" s="461"/>
      <c r="R79" s="306">
        <f t="shared" ref="R79:R80" si="51">N79</f>
        <v>0</v>
      </c>
      <c r="S79" s="18">
        <f>IFERROR(VLOOKUP(R79,AnsATBL,2,FALSE),0)</f>
        <v>0</v>
      </c>
      <c r="T79" s="132"/>
      <c r="U79" s="461"/>
      <c r="V79" s="306">
        <f t="shared" ref="V79:V80" si="52">R79</f>
        <v>0</v>
      </c>
      <c r="W79" s="18">
        <f>IFERROR(VLOOKUP(V79,AnsATBL,2,FALSE),0)</f>
        <v>0</v>
      </c>
      <c r="X79" s="132"/>
      <c r="Y79" s="461"/>
    </row>
    <row r="80" spans="1:25" ht="25.5" x14ac:dyDescent="0.2">
      <c r="A80" s="162" t="str">
        <f>Interview!A115</f>
        <v>I-SB-B-3-1</v>
      </c>
      <c r="B80" s="473"/>
      <c r="C80" s="268">
        <f>VLOOKUP(A80,'imp-questions'!A:H,5,FALSE)</f>
        <v>3</v>
      </c>
      <c r="D80" s="296" t="str">
        <f>VLOOKUP(A80,'imp-questions'!A:H,6,FALSE)</f>
        <v>Do you prevent build of software if it's affected by vulnerabilities in dependencies?</v>
      </c>
      <c r="E80" s="164" t="str">
        <f>CHAR(65+VLOOKUP(A80,'imp-questions'!A:H,8,FALSE))</f>
        <v>A</v>
      </c>
      <c r="F80" s="193">
        <f>Interview!F115</f>
        <v>0</v>
      </c>
      <c r="G80" s="18">
        <f>IFERROR(VLOOKUP(F80,AnsATBL,2,FALSE),0)</f>
        <v>0</v>
      </c>
      <c r="H80" s="132"/>
      <c r="I80" s="462"/>
      <c r="J80" s="306">
        <f t="shared" si="49"/>
        <v>0</v>
      </c>
      <c r="K80" s="18">
        <f>IFERROR(VLOOKUP(J80,AnsATBL,2,FALSE),0)</f>
        <v>0</v>
      </c>
      <c r="L80" s="132"/>
      <c r="M80" s="462"/>
      <c r="N80" s="306">
        <f t="shared" si="50"/>
        <v>0</v>
      </c>
      <c r="O80" s="18">
        <f>IFERROR(VLOOKUP(N80,AnsATBL,2,FALSE),0)</f>
        <v>0</v>
      </c>
      <c r="P80" s="132"/>
      <c r="Q80" s="462"/>
      <c r="R80" s="306">
        <f t="shared" si="51"/>
        <v>0</v>
      </c>
      <c r="S80" s="18">
        <f>IFERROR(VLOOKUP(R80,AnsATBL,2,FALSE),0)</f>
        <v>0</v>
      </c>
      <c r="T80" s="132"/>
      <c r="U80" s="462"/>
      <c r="V80" s="306">
        <f t="shared" si="52"/>
        <v>0</v>
      </c>
      <c r="W80" s="18">
        <f>IFERROR(VLOOKUP(V80,AnsATBL,2,FALSE),0)</f>
        <v>0</v>
      </c>
      <c r="X80" s="132"/>
      <c r="Y80" s="462"/>
    </row>
    <row r="81" spans="1:25" ht="12.75" x14ac:dyDescent="0.2">
      <c r="A81" s="162"/>
      <c r="B81" s="276"/>
      <c r="C81" s="262"/>
      <c r="D81" s="242"/>
      <c r="E81" s="242"/>
      <c r="F81" s="242"/>
      <c r="G81" s="242"/>
      <c r="H81" s="242"/>
      <c r="I81" s="242"/>
      <c r="J81" s="242"/>
      <c r="K81" s="242"/>
      <c r="L81" s="242"/>
      <c r="M81" s="242"/>
      <c r="N81" s="242"/>
      <c r="O81" s="242"/>
      <c r="P81" s="242"/>
      <c r="Q81" s="242"/>
      <c r="R81" s="242"/>
      <c r="S81" s="242"/>
      <c r="T81" s="242"/>
      <c r="U81" s="242"/>
      <c r="V81" s="242"/>
      <c r="W81" s="242"/>
      <c r="X81" s="242"/>
      <c r="Y81" s="242"/>
    </row>
    <row r="82" spans="1:25" x14ac:dyDescent="0.25">
      <c r="A82" s="162"/>
      <c r="B82" s="280" t="s">
        <v>503</v>
      </c>
      <c r="C82" s="267" t="s">
        <v>504</v>
      </c>
      <c r="D82" s="220" t="s">
        <v>308</v>
      </c>
      <c r="E82" s="227"/>
      <c r="F82" s="181" t="s">
        <v>34</v>
      </c>
      <c r="G82" s="181"/>
      <c r="H82" s="182"/>
      <c r="I82" s="253" t="s">
        <v>32</v>
      </c>
      <c r="J82" s="181" t="s">
        <v>34</v>
      </c>
      <c r="K82" s="181"/>
      <c r="L82" s="182"/>
      <c r="M82" s="253" t="s">
        <v>32</v>
      </c>
      <c r="N82" s="181" t="s">
        <v>34</v>
      </c>
      <c r="O82" s="181"/>
      <c r="P82" s="182"/>
      <c r="Q82" s="253" t="s">
        <v>32</v>
      </c>
      <c r="R82" s="181" t="s">
        <v>34</v>
      </c>
      <c r="S82" s="181"/>
      <c r="T82" s="182"/>
      <c r="U82" s="253" t="s">
        <v>32</v>
      </c>
      <c r="V82" s="181" t="s">
        <v>34</v>
      </c>
      <c r="W82" s="181"/>
      <c r="X82" s="182"/>
      <c r="Y82" s="253" t="s">
        <v>32</v>
      </c>
    </row>
    <row r="83" spans="1:25" ht="12.75" x14ac:dyDescent="0.2">
      <c r="A83" s="162" t="str">
        <f>Interview!A118</f>
        <v>I-SD-A-1-1</v>
      </c>
      <c r="B83" s="471" t="str">
        <f>VLOOKUP(A83,'imp-questions'!A:H,4,FALSE)</f>
        <v>Deployment Process</v>
      </c>
      <c r="C83" s="268">
        <f>VLOOKUP(A83,'imp-questions'!A:H,5,FALSE)</f>
        <v>1</v>
      </c>
      <c r="D83" s="202" t="str">
        <f>VLOOKUP(A83,'imp-questions'!A:H,6,FALSE)</f>
        <v>Do you use repeatable deployment processes?</v>
      </c>
      <c r="E83" s="164" t="str">
        <f>CHAR(65+VLOOKUP(A83,'imp-questions'!A:H,8,FALSE))</f>
        <v>A</v>
      </c>
      <c r="F83" s="193">
        <f>Interview!F118</f>
        <v>0</v>
      </c>
      <c r="G83" s="18">
        <f>IFERROR(VLOOKUP(F83,AnsATBL,2,FALSE),0)</f>
        <v>0</v>
      </c>
      <c r="H83" s="301">
        <f>IFERROR(AVERAGE(G83,G87),0)</f>
        <v>0</v>
      </c>
      <c r="I83" s="460">
        <f>SUM(H83:H85)</f>
        <v>0</v>
      </c>
      <c r="J83" s="306">
        <f>F83</f>
        <v>0</v>
      </c>
      <c r="K83" s="18">
        <f>IFERROR(VLOOKUP(J83,AnsATBL,2,FALSE),0)</f>
        <v>0</v>
      </c>
      <c r="L83" s="301">
        <f>IFERROR(AVERAGE(K83,K87),0)</f>
        <v>0</v>
      </c>
      <c r="M83" s="460">
        <f>SUM(L83:L85)</f>
        <v>0</v>
      </c>
      <c r="N83" s="306">
        <f>J83</f>
        <v>0</v>
      </c>
      <c r="O83" s="18">
        <f>IFERROR(VLOOKUP(N83,AnsATBL,2,FALSE),0)</f>
        <v>0</v>
      </c>
      <c r="P83" s="301">
        <f>IFERROR(AVERAGE(O83,O87),0)</f>
        <v>0</v>
      </c>
      <c r="Q83" s="460">
        <f>SUM(P83:P85)</f>
        <v>0</v>
      </c>
      <c r="R83" s="306">
        <f>N83</f>
        <v>0</v>
      </c>
      <c r="S83" s="18">
        <f>IFERROR(VLOOKUP(R83,AnsATBL,2,FALSE),0)</f>
        <v>0</v>
      </c>
      <c r="T83" s="301">
        <f>IFERROR(AVERAGE(S83,S87),0)</f>
        <v>0</v>
      </c>
      <c r="U83" s="460">
        <f>SUM(T83:T85)</f>
        <v>0</v>
      </c>
      <c r="V83" s="306">
        <f>R83</f>
        <v>0</v>
      </c>
      <c r="W83" s="18">
        <f>IFERROR(VLOOKUP(V83,AnsATBL,2,FALSE),0)</f>
        <v>0</v>
      </c>
      <c r="X83" s="301">
        <f>IFERROR(AVERAGE(W83,W87),0)</f>
        <v>0</v>
      </c>
      <c r="Y83" s="460">
        <f>SUM(X83:X85)</f>
        <v>0</v>
      </c>
    </row>
    <row r="84" spans="1:25" ht="12.75" x14ac:dyDescent="0.2">
      <c r="A84" s="162" t="str">
        <f>Interview!A120</f>
        <v>I-SD-A-2-1</v>
      </c>
      <c r="B84" s="472"/>
      <c r="C84" s="268">
        <f>VLOOKUP(A84,'imp-questions'!A:H,5,FALSE)</f>
        <v>2</v>
      </c>
      <c r="D84" s="202" t="str">
        <f>VLOOKUP(A84,'imp-questions'!A:H,6,FALSE)</f>
        <v>Are deployment processes automated and taking into account security?</v>
      </c>
      <c r="E84" s="164" t="str">
        <f>CHAR(65+VLOOKUP(A84,'imp-questions'!A:H,8,FALSE))</f>
        <v>A</v>
      </c>
      <c r="F84" s="193">
        <f>Interview!F120</f>
        <v>0</v>
      </c>
      <c r="G84" s="18">
        <f>IFERROR(VLOOKUP(F84,AnsATBL,2,FALSE),0)</f>
        <v>0</v>
      </c>
      <c r="H84" s="301">
        <f>IFERROR(AVERAGE(G84,G88),0)</f>
        <v>0</v>
      </c>
      <c r="I84" s="461"/>
      <c r="J84" s="306">
        <f t="shared" ref="J84:J85" si="53">F84</f>
        <v>0</v>
      </c>
      <c r="K84" s="18">
        <f>IFERROR(VLOOKUP(J84,AnsATBL,2,FALSE),0)</f>
        <v>0</v>
      </c>
      <c r="L84" s="301">
        <f>IFERROR(AVERAGE(K84,K88),0)</f>
        <v>0</v>
      </c>
      <c r="M84" s="461"/>
      <c r="N84" s="306">
        <f t="shared" ref="N84:N85" si="54">J84</f>
        <v>0</v>
      </c>
      <c r="O84" s="18">
        <f>IFERROR(VLOOKUP(N84,AnsATBL,2,FALSE),0)</f>
        <v>0</v>
      </c>
      <c r="P84" s="301">
        <f>IFERROR(AVERAGE(O84,O88),0)</f>
        <v>0</v>
      </c>
      <c r="Q84" s="461"/>
      <c r="R84" s="306">
        <f t="shared" ref="R84:R85" si="55">N84</f>
        <v>0</v>
      </c>
      <c r="S84" s="18">
        <f>IFERROR(VLOOKUP(R84,AnsATBL,2,FALSE),0)</f>
        <v>0</v>
      </c>
      <c r="T84" s="301">
        <f>IFERROR(AVERAGE(S84,S88),0)</f>
        <v>0</v>
      </c>
      <c r="U84" s="461"/>
      <c r="V84" s="306">
        <f t="shared" ref="V84:V85" si="56">R84</f>
        <v>0</v>
      </c>
      <c r="W84" s="18">
        <f>IFERROR(VLOOKUP(V84,AnsATBL,2,FALSE),0)</f>
        <v>0</v>
      </c>
      <c r="X84" s="301">
        <f>IFERROR(AVERAGE(W84,W88),0)</f>
        <v>0</v>
      </c>
      <c r="Y84" s="461"/>
    </row>
    <row r="85" spans="1:25" ht="12.75" x14ac:dyDescent="0.2">
      <c r="A85" s="162" t="str">
        <f>Interview!A122</f>
        <v>I-SD-A-3-1</v>
      </c>
      <c r="B85" s="473"/>
      <c r="C85" s="268">
        <f>VLOOKUP(A85,'imp-questions'!A:H,5,FALSE)</f>
        <v>3</v>
      </c>
      <c r="D85" s="296" t="str">
        <f>VLOOKUP(A85,'imp-questions'!A:H,6,FALSE)</f>
        <v>Do you consistently validate the integrity of deployed artifacts?</v>
      </c>
      <c r="E85" s="164" t="str">
        <f>CHAR(65+VLOOKUP(A85,'imp-questions'!A:H,8,FALSE))</f>
        <v>A</v>
      </c>
      <c r="F85" s="193">
        <f>Interview!F122</f>
        <v>0</v>
      </c>
      <c r="G85" s="18">
        <f>IFERROR(VLOOKUP(F85,AnsATBL,2,FALSE),0)</f>
        <v>0</v>
      </c>
      <c r="H85" s="301">
        <f>IFERROR(AVERAGE(G85,G89),0)</f>
        <v>0</v>
      </c>
      <c r="I85" s="461"/>
      <c r="J85" s="306">
        <f t="shared" si="53"/>
        <v>0</v>
      </c>
      <c r="K85" s="18">
        <f>IFERROR(VLOOKUP(J85,AnsATBL,2,FALSE),0)</f>
        <v>0</v>
      </c>
      <c r="L85" s="301">
        <f>IFERROR(AVERAGE(K85,K89),0)</f>
        <v>0</v>
      </c>
      <c r="M85" s="461"/>
      <c r="N85" s="306">
        <f t="shared" si="54"/>
        <v>0</v>
      </c>
      <c r="O85" s="18">
        <f>IFERROR(VLOOKUP(N85,AnsATBL,2,FALSE),0)</f>
        <v>0</v>
      </c>
      <c r="P85" s="301">
        <f>IFERROR(AVERAGE(O85,O89),0)</f>
        <v>0</v>
      </c>
      <c r="Q85" s="461"/>
      <c r="R85" s="306">
        <f t="shared" si="55"/>
        <v>0</v>
      </c>
      <c r="S85" s="18">
        <f>IFERROR(VLOOKUP(R85,AnsATBL,2,FALSE),0)</f>
        <v>0</v>
      </c>
      <c r="T85" s="301">
        <f>IFERROR(AVERAGE(S85,S89),0)</f>
        <v>0</v>
      </c>
      <c r="U85" s="461"/>
      <c r="V85" s="306">
        <f t="shared" si="56"/>
        <v>0</v>
      </c>
      <c r="W85" s="18">
        <f>IFERROR(VLOOKUP(V85,AnsATBL,2,FALSE),0)</f>
        <v>0</v>
      </c>
      <c r="X85" s="301">
        <f>IFERROR(AVERAGE(W85,W89),0)</f>
        <v>0</v>
      </c>
      <c r="Y85" s="461"/>
    </row>
    <row r="86" spans="1:25" ht="12.75" x14ac:dyDescent="0.2">
      <c r="A86" s="162"/>
      <c r="B86" s="276"/>
      <c r="C86" s="262"/>
      <c r="D86" s="242"/>
      <c r="E86" s="242"/>
      <c r="F86" s="242"/>
      <c r="G86" s="242"/>
      <c r="H86" s="242"/>
      <c r="I86" s="461"/>
      <c r="J86" s="242"/>
      <c r="K86" s="242"/>
      <c r="L86" s="242"/>
      <c r="M86" s="461"/>
      <c r="N86" s="242"/>
      <c r="O86" s="242"/>
      <c r="P86" s="242"/>
      <c r="Q86" s="461"/>
      <c r="R86" s="242"/>
      <c r="S86" s="242"/>
      <c r="T86" s="242"/>
      <c r="U86" s="461"/>
      <c r="V86" s="242"/>
      <c r="W86" s="242"/>
      <c r="X86" s="242"/>
      <c r="Y86" s="461"/>
    </row>
    <row r="87" spans="1:25" ht="25.5" x14ac:dyDescent="0.2">
      <c r="A87" s="162" t="str">
        <f>Interview!A125</f>
        <v>I-SD-B-1-1</v>
      </c>
      <c r="B87" s="471" t="str">
        <f>VLOOKUP(A87,'imp-questions'!A:H,4,FALSE)</f>
        <v>Secret Management</v>
      </c>
      <c r="C87" s="268">
        <f>VLOOKUP(A87,'imp-questions'!A:H,5,FALSE)</f>
        <v>1</v>
      </c>
      <c r="D87" s="202" t="str">
        <f>VLOOKUP(A87,'imp-questions'!A:H,6,FALSE)</f>
        <v>Do you limit access to application secrets according to the need to know principle?</v>
      </c>
      <c r="E87" s="164" t="str">
        <f>CHAR(65+VLOOKUP(A87,'imp-questions'!A:H,8,FALSE))</f>
        <v>A</v>
      </c>
      <c r="F87" s="193">
        <f>Interview!F125</f>
        <v>0</v>
      </c>
      <c r="G87" s="18">
        <f>IFERROR(VLOOKUP(F87,AnsATBL,2,FALSE),0)</f>
        <v>0</v>
      </c>
      <c r="H87" s="132"/>
      <c r="I87" s="461"/>
      <c r="J87" s="306">
        <f>F87</f>
        <v>0</v>
      </c>
      <c r="K87" s="18">
        <f>IFERROR(VLOOKUP(J87,AnsATBL,2,FALSE),0)</f>
        <v>0</v>
      </c>
      <c r="L87" s="132"/>
      <c r="M87" s="461"/>
      <c r="N87" s="306">
        <f>J87</f>
        <v>0</v>
      </c>
      <c r="O87" s="18">
        <f>IFERROR(VLOOKUP(N87,AnsATBL,2,FALSE),0)</f>
        <v>0</v>
      </c>
      <c r="P87" s="132"/>
      <c r="Q87" s="461"/>
      <c r="R87" s="306">
        <f>N87</f>
        <v>0</v>
      </c>
      <c r="S87" s="18">
        <f>IFERROR(VLOOKUP(R87,AnsATBL,2,FALSE),0)</f>
        <v>0</v>
      </c>
      <c r="T87" s="132"/>
      <c r="U87" s="461"/>
      <c r="V87" s="306">
        <f>R87</f>
        <v>0</v>
      </c>
      <c r="W87" s="18">
        <f>IFERROR(VLOOKUP(V87,AnsATBL,2,FALSE),0)</f>
        <v>0</v>
      </c>
      <c r="X87" s="132"/>
      <c r="Y87" s="461"/>
    </row>
    <row r="88" spans="1:25" ht="38.25" x14ac:dyDescent="0.2">
      <c r="A88" s="162" t="str">
        <f>Interview!A127</f>
        <v>I-SD-B-2-1</v>
      </c>
      <c r="B88" s="472"/>
      <c r="C88" s="268">
        <f>VLOOKUP(A88,'imp-questions'!A:H,5,FALSE)</f>
        <v>2</v>
      </c>
      <c r="D88" s="202" t="str">
        <f>VLOOKUP(A88,'imp-questions'!A:H,6,FALSE)</f>
        <v>Do you minimize permanent storage of secrets in application artefacts, for instance by injecting them into the configuration using an automated process?</v>
      </c>
      <c r="E88" s="164" t="str">
        <f>CHAR(65+VLOOKUP(A88,'imp-questions'!A:H,8,FALSE))</f>
        <v>A</v>
      </c>
      <c r="F88" s="193">
        <f>Interview!F127</f>
        <v>0</v>
      </c>
      <c r="G88" s="18">
        <f>IFERROR(VLOOKUP(F88,AnsATBL,2,FALSE),0)</f>
        <v>0</v>
      </c>
      <c r="H88" s="132"/>
      <c r="I88" s="461"/>
      <c r="J88" s="306">
        <f t="shared" ref="J88:J89" si="57">F88</f>
        <v>0</v>
      </c>
      <c r="K88" s="18">
        <f>IFERROR(VLOOKUP(J88,AnsATBL,2,FALSE),0)</f>
        <v>0</v>
      </c>
      <c r="L88" s="132"/>
      <c r="M88" s="461"/>
      <c r="N88" s="306">
        <f t="shared" ref="N88:N89" si="58">J88</f>
        <v>0</v>
      </c>
      <c r="O88" s="18">
        <f>IFERROR(VLOOKUP(N88,AnsATBL,2,FALSE),0)</f>
        <v>0</v>
      </c>
      <c r="P88" s="132"/>
      <c r="Q88" s="461"/>
      <c r="R88" s="306">
        <f t="shared" ref="R88:R89" si="59">N88</f>
        <v>0</v>
      </c>
      <c r="S88" s="18">
        <f>IFERROR(VLOOKUP(R88,AnsATBL,2,FALSE),0)</f>
        <v>0</v>
      </c>
      <c r="T88" s="132"/>
      <c r="U88" s="461"/>
      <c r="V88" s="306">
        <f t="shared" ref="V88:V89" si="60">R88</f>
        <v>0</v>
      </c>
      <c r="W88" s="18">
        <f>IFERROR(VLOOKUP(V88,AnsATBL,2,FALSE),0)</f>
        <v>0</v>
      </c>
      <c r="X88" s="132"/>
      <c r="Y88" s="461"/>
    </row>
    <row r="89" spans="1:25" ht="12.75" x14ac:dyDescent="0.2">
      <c r="A89" s="162" t="str">
        <f>Interview!A129</f>
        <v>I-SD-B-3-1</v>
      </c>
      <c r="B89" s="473"/>
      <c r="C89" s="268">
        <f>VLOOKUP(A89,'imp-questions'!A:H,5,FALSE)</f>
        <v>3</v>
      </c>
      <c r="D89" s="296" t="str">
        <f>VLOOKUP(A89,'imp-questions'!A:H,6,FALSE)</f>
        <v>Do you regenerate application secrets during deployment?</v>
      </c>
      <c r="E89" s="164" t="str">
        <f>CHAR(65+VLOOKUP(A89,'imp-questions'!A:H,8,FALSE))</f>
        <v>A</v>
      </c>
      <c r="F89" s="193">
        <f>Interview!F129</f>
        <v>0</v>
      </c>
      <c r="G89" s="18">
        <f>IFERROR(VLOOKUP(F89,AnsATBL,2,FALSE),0)</f>
        <v>0</v>
      </c>
      <c r="H89" s="132"/>
      <c r="I89" s="462"/>
      <c r="J89" s="306">
        <f t="shared" si="57"/>
        <v>0</v>
      </c>
      <c r="K89" s="18">
        <f>IFERROR(VLOOKUP(J89,AnsATBL,2,FALSE),0)</f>
        <v>0</v>
      </c>
      <c r="L89" s="132"/>
      <c r="M89" s="462"/>
      <c r="N89" s="306">
        <f t="shared" si="58"/>
        <v>0</v>
      </c>
      <c r="O89" s="18">
        <f>IFERROR(VLOOKUP(N89,AnsATBL,2,FALSE),0)</f>
        <v>0</v>
      </c>
      <c r="P89" s="132"/>
      <c r="Q89" s="462"/>
      <c r="R89" s="306">
        <f t="shared" si="59"/>
        <v>0</v>
      </c>
      <c r="S89" s="18">
        <f>IFERROR(VLOOKUP(R89,AnsATBL,2,FALSE),0)</f>
        <v>0</v>
      </c>
      <c r="T89" s="132"/>
      <c r="U89" s="462"/>
      <c r="V89" s="306">
        <f t="shared" si="60"/>
        <v>0</v>
      </c>
      <c r="W89" s="18">
        <f>IFERROR(VLOOKUP(V89,AnsATBL,2,FALSE),0)</f>
        <v>0</v>
      </c>
      <c r="X89" s="132"/>
      <c r="Y89" s="462"/>
    </row>
    <row r="90" spans="1:25" ht="12.75" x14ac:dyDescent="0.2">
      <c r="A90" s="162"/>
      <c r="B90" s="276"/>
      <c r="C90" s="262"/>
      <c r="D90" s="242"/>
      <c r="E90" s="242"/>
      <c r="F90" s="242"/>
      <c r="G90" s="242"/>
      <c r="H90" s="242"/>
      <c r="I90" s="242"/>
      <c r="J90" s="242"/>
      <c r="K90" s="242"/>
      <c r="L90" s="242"/>
      <c r="M90" s="242"/>
      <c r="N90" s="242"/>
      <c r="O90" s="242"/>
      <c r="P90" s="242"/>
      <c r="Q90" s="242"/>
      <c r="R90" s="242"/>
      <c r="S90" s="242"/>
      <c r="T90" s="242"/>
      <c r="U90" s="242"/>
      <c r="V90" s="242"/>
      <c r="W90" s="242"/>
      <c r="X90" s="242"/>
      <c r="Y90" s="242"/>
    </row>
    <row r="91" spans="1:25" x14ac:dyDescent="0.25">
      <c r="A91" s="162"/>
      <c r="B91" s="280" t="s">
        <v>503</v>
      </c>
      <c r="C91" s="267" t="s">
        <v>504</v>
      </c>
      <c r="D91" s="220" t="s">
        <v>329</v>
      </c>
      <c r="E91" s="227"/>
      <c r="F91" s="181" t="s">
        <v>34</v>
      </c>
      <c r="G91" s="181"/>
      <c r="H91" s="182"/>
      <c r="I91" s="253" t="s">
        <v>32</v>
      </c>
      <c r="J91" s="181" t="s">
        <v>34</v>
      </c>
      <c r="K91" s="181"/>
      <c r="L91" s="182"/>
      <c r="M91" s="253" t="s">
        <v>32</v>
      </c>
      <c r="N91" s="181" t="s">
        <v>34</v>
      </c>
      <c r="O91" s="181"/>
      <c r="P91" s="182"/>
      <c r="Q91" s="253" t="s">
        <v>32</v>
      </c>
      <c r="R91" s="181" t="s">
        <v>34</v>
      </c>
      <c r="S91" s="181"/>
      <c r="T91" s="182"/>
      <c r="U91" s="253" t="s">
        <v>32</v>
      </c>
      <c r="V91" s="181" t="s">
        <v>34</v>
      </c>
      <c r="W91" s="181"/>
      <c r="X91" s="182"/>
      <c r="Y91" s="253" t="s">
        <v>32</v>
      </c>
    </row>
    <row r="92" spans="1:25" ht="25.5" x14ac:dyDescent="0.2">
      <c r="A92" s="162" t="str">
        <f>Interview!A132</f>
        <v>I-DM-A-1-1</v>
      </c>
      <c r="B92" s="471" t="str">
        <f>VLOOKUP(A92,'imp-questions'!A:H,4,FALSE)</f>
        <v>Defect Tracking (Flaws/Bugs/Process)</v>
      </c>
      <c r="C92" s="268">
        <f>VLOOKUP(A92,'imp-questions'!A:H,5,FALSE)</f>
        <v>1</v>
      </c>
      <c r="D92" s="202" t="str">
        <f>VLOOKUP(A92,'imp-questions'!A:H,6,FALSE)</f>
        <v>Do you track all known security defects in a central location per defined scope?</v>
      </c>
      <c r="E92" s="164" t="str">
        <f>CHAR(65+VLOOKUP(A92,'imp-questions'!A:H,8,FALSE))</f>
        <v>A</v>
      </c>
      <c r="F92" s="193">
        <f>Interview!F132</f>
        <v>0</v>
      </c>
      <c r="G92" s="18">
        <f>IFERROR(VLOOKUP(F92,AnsATBL,2,FALSE),0)</f>
        <v>0</v>
      </c>
      <c r="H92" s="301">
        <f>IFERROR(AVERAGE(G92,G96),0)</f>
        <v>0</v>
      </c>
      <c r="I92" s="460">
        <f>SUM(H92:H94)</f>
        <v>0</v>
      </c>
      <c r="J92" s="306">
        <f>F92</f>
        <v>0</v>
      </c>
      <c r="K92" s="18">
        <f>IFERROR(VLOOKUP(J92,AnsATBL,2,FALSE),0)</f>
        <v>0</v>
      </c>
      <c r="L92" s="301">
        <f>IFERROR(AVERAGE(K92,K96),0)</f>
        <v>0</v>
      </c>
      <c r="M92" s="460">
        <f>SUM(L92:L94)</f>
        <v>0</v>
      </c>
      <c r="N92" s="306">
        <f>J92</f>
        <v>0</v>
      </c>
      <c r="O92" s="18">
        <f>IFERROR(VLOOKUP(N92,AnsATBL,2,FALSE),0)</f>
        <v>0</v>
      </c>
      <c r="P92" s="301">
        <f>IFERROR(AVERAGE(O92,O96),0)</f>
        <v>0</v>
      </c>
      <c r="Q92" s="460">
        <f>SUM(P92:P94)</f>
        <v>0</v>
      </c>
      <c r="R92" s="306">
        <f>N92</f>
        <v>0</v>
      </c>
      <c r="S92" s="18">
        <f>IFERROR(VLOOKUP(R92,AnsATBL,2,FALSE),0)</f>
        <v>0</v>
      </c>
      <c r="T92" s="301">
        <f>IFERROR(AVERAGE(S92,S96),0)</f>
        <v>0</v>
      </c>
      <c r="U92" s="460">
        <f>SUM(T92:T94)</f>
        <v>0</v>
      </c>
      <c r="V92" s="306">
        <f>R92</f>
        <v>0</v>
      </c>
      <c r="W92" s="18">
        <f>IFERROR(VLOOKUP(V92,AnsATBL,2,FALSE),0)</f>
        <v>0</v>
      </c>
      <c r="X92" s="301">
        <f>IFERROR(AVERAGE(W92,W96),0)</f>
        <v>0</v>
      </c>
      <c r="Y92" s="460">
        <f>SUM(X92:X94)</f>
        <v>0</v>
      </c>
    </row>
    <row r="93" spans="1:25" ht="12.75" x14ac:dyDescent="0.2">
      <c r="A93" s="162" t="str">
        <f>Interview!A134</f>
        <v>I-DM-A-2-1</v>
      </c>
      <c r="B93" s="472"/>
      <c r="C93" s="268">
        <f>VLOOKUP(A93,'imp-questions'!A:H,5,FALSE)</f>
        <v>2</v>
      </c>
      <c r="D93" s="202" t="str">
        <f>VLOOKUP(A93,'imp-questions'!A:H,6,FALSE)</f>
        <v>Do you take action on defects exceeding defined threshold?</v>
      </c>
      <c r="E93" s="164" t="str">
        <f>CHAR(65+VLOOKUP(A93,'imp-questions'!A:H,8,FALSE))</f>
        <v>A</v>
      </c>
      <c r="F93" s="193">
        <f>Interview!F134</f>
        <v>0</v>
      </c>
      <c r="G93" s="18">
        <f>IFERROR(VLOOKUP(F93,AnsATBL,2,FALSE),0)</f>
        <v>0</v>
      </c>
      <c r="H93" s="301">
        <f>IFERROR(AVERAGE(G93,G97),0)</f>
        <v>0</v>
      </c>
      <c r="I93" s="461"/>
      <c r="J93" s="306">
        <f t="shared" ref="J93:J94" si="61">F93</f>
        <v>0</v>
      </c>
      <c r="K93" s="18">
        <f>IFERROR(VLOOKUP(J93,AnsATBL,2,FALSE),0)</f>
        <v>0</v>
      </c>
      <c r="L93" s="301">
        <f>IFERROR(AVERAGE(K93,K97),0)</f>
        <v>0</v>
      </c>
      <c r="M93" s="461"/>
      <c r="N93" s="306">
        <f t="shared" ref="N93:N94" si="62">J93</f>
        <v>0</v>
      </c>
      <c r="O93" s="18">
        <f>IFERROR(VLOOKUP(N93,AnsATBL,2,FALSE),0)</f>
        <v>0</v>
      </c>
      <c r="P93" s="301">
        <f>IFERROR(AVERAGE(O93,O97),0)</f>
        <v>0</v>
      </c>
      <c r="Q93" s="461"/>
      <c r="R93" s="306">
        <f t="shared" ref="R93:R94" si="63">N93</f>
        <v>0</v>
      </c>
      <c r="S93" s="18">
        <f>IFERROR(VLOOKUP(R93,AnsATBL,2,FALSE),0)</f>
        <v>0</v>
      </c>
      <c r="T93" s="301">
        <f>IFERROR(AVERAGE(S93,S97),0)</f>
        <v>0</v>
      </c>
      <c r="U93" s="461"/>
      <c r="V93" s="306">
        <f t="shared" ref="V93:V94" si="64">R93</f>
        <v>0</v>
      </c>
      <c r="W93" s="18">
        <f>IFERROR(VLOOKUP(V93,AnsATBL,2,FALSE),0)</f>
        <v>0</v>
      </c>
      <c r="X93" s="301">
        <f>IFERROR(AVERAGE(W93,W97),0)</f>
        <v>0</v>
      </c>
      <c r="Y93" s="461"/>
    </row>
    <row r="94" spans="1:25" ht="12.75" x14ac:dyDescent="0.2">
      <c r="A94" s="162" t="str">
        <f>Interview!A136</f>
        <v>I-DM-A-3-1</v>
      </c>
      <c r="B94" s="473"/>
      <c r="C94" s="268">
        <f>VLOOKUP(A94,'imp-questions'!A:H,5,FALSE)</f>
        <v>3</v>
      </c>
      <c r="D94" s="296" t="str">
        <f>VLOOKUP(A94,'imp-questions'!A:H,6,FALSE)</f>
        <v>Does independent security staff enforce the defined threshold?</v>
      </c>
      <c r="E94" s="164" t="str">
        <f>CHAR(65+VLOOKUP(A94,'imp-questions'!A:H,8,FALSE))</f>
        <v>A</v>
      </c>
      <c r="F94" s="193">
        <f>Interview!F136</f>
        <v>0</v>
      </c>
      <c r="G94" s="18">
        <f>IFERROR(VLOOKUP(F94,AnsATBL,2,FALSE),0)</f>
        <v>0</v>
      </c>
      <c r="H94" s="301">
        <f>IFERROR(AVERAGE(G94,G98),0)</f>
        <v>0</v>
      </c>
      <c r="I94" s="461"/>
      <c r="J94" s="306">
        <f t="shared" si="61"/>
        <v>0</v>
      </c>
      <c r="K94" s="18">
        <f>IFERROR(VLOOKUP(J94,AnsATBL,2,FALSE),0)</f>
        <v>0</v>
      </c>
      <c r="L94" s="301">
        <f>IFERROR(AVERAGE(K94,K98),0)</f>
        <v>0</v>
      </c>
      <c r="M94" s="461"/>
      <c r="N94" s="306">
        <f t="shared" si="62"/>
        <v>0</v>
      </c>
      <c r="O94" s="18">
        <f>IFERROR(VLOOKUP(N94,AnsATBL,2,FALSE),0)</f>
        <v>0</v>
      </c>
      <c r="P94" s="301">
        <f>IFERROR(AVERAGE(O94,O98),0)</f>
        <v>0</v>
      </c>
      <c r="Q94" s="461"/>
      <c r="R94" s="306">
        <f t="shared" si="63"/>
        <v>0</v>
      </c>
      <c r="S94" s="18">
        <f>IFERROR(VLOOKUP(R94,AnsATBL,2,FALSE),0)</f>
        <v>0</v>
      </c>
      <c r="T94" s="301">
        <f>IFERROR(AVERAGE(S94,S98),0)</f>
        <v>0</v>
      </c>
      <c r="U94" s="461"/>
      <c r="V94" s="306">
        <f t="shared" si="64"/>
        <v>0</v>
      </c>
      <c r="W94" s="18">
        <f>IFERROR(VLOOKUP(V94,AnsATBL,2,FALSE),0)</f>
        <v>0</v>
      </c>
      <c r="X94" s="301">
        <f>IFERROR(AVERAGE(W94,W98),0)</f>
        <v>0</v>
      </c>
      <c r="Y94" s="461"/>
    </row>
    <row r="95" spans="1:25" ht="12.75" x14ac:dyDescent="0.2">
      <c r="A95" s="162"/>
      <c r="B95" s="276"/>
      <c r="C95" s="262"/>
      <c r="D95" s="242"/>
      <c r="E95" s="242"/>
      <c r="F95" s="242"/>
      <c r="G95" s="242"/>
      <c r="H95" s="242"/>
      <c r="I95" s="461"/>
      <c r="J95" s="242"/>
      <c r="K95" s="242"/>
      <c r="L95" s="242"/>
      <c r="M95" s="461"/>
      <c r="N95" s="242"/>
      <c r="O95" s="242"/>
      <c r="P95" s="242"/>
      <c r="Q95" s="461"/>
      <c r="R95" s="242"/>
      <c r="S95" s="242"/>
      <c r="T95" s="242"/>
      <c r="U95" s="461"/>
      <c r="V95" s="242"/>
      <c r="W95" s="242"/>
      <c r="X95" s="242"/>
      <c r="Y95" s="461"/>
    </row>
    <row r="96" spans="1:25" ht="25.5" x14ac:dyDescent="0.2">
      <c r="A96" s="162" t="str">
        <f>Interview!A139</f>
        <v>I-DM-B-1-1</v>
      </c>
      <c r="B96" s="471" t="str">
        <f>VLOOKUP(A96,'imp-questions'!A:H,4,FALSE)</f>
        <v>Metrics and Feedback/Learning</v>
      </c>
      <c r="C96" s="268">
        <f>VLOOKUP(A96,'imp-questions'!A:H,5,FALSE)</f>
        <v>1</v>
      </c>
      <c r="D96" s="202" t="str">
        <f>VLOOKUP(A96,'imp-questions'!A:H,6,FALSE)</f>
        <v>Do you share defect information for remediation and improving training materials?</v>
      </c>
      <c r="E96" s="164" t="str">
        <f>CHAR(65+VLOOKUP(A96,'imp-questions'!A:H,8,FALSE))</f>
        <v>A</v>
      </c>
      <c r="F96" s="193">
        <f>Interview!F139</f>
        <v>0</v>
      </c>
      <c r="G96" s="18">
        <f>IFERROR(VLOOKUP(F96,AnsATBL,2,FALSE),0)</f>
        <v>0</v>
      </c>
      <c r="H96" s="132"/>
      <c r="I96" s="461"/>
      <c r="J96" s="306">
        <f>F96</f>
        <v>0</v>
      </c>
      <c r="K96" s="18">
        <f>IFERROR(VLOOKUP(J96,AnsATBL,2,FALSE),0)</f>
        <v>0</v>
      </c>
      <c r="L96" s="132"/>
      <c r="M96" s="461"/>
      <c r="N96" s="306">
        <f>J96</f>
        <v>0</v>
      </c>
      <c r="O96" s="18">
        <f>IFERROR(VLOOKUP(N96,AnsATBL,2,FALSE),0)</f>
        <v>0</v>
      </c>
      <c r="P96" s="132"/>
      <c r="Q96" s="461"/>
      <c r="R96" s="306">
        <f>N96</f>
        <v>0</v>
      </c>
      <c r="S96" s="18">
        <f>IFERROR(VLOOKUP(R96,AnsATBL,2,FALSE),0)</f>
        <v>0</v>
      </c>
      <c r="T96" s="132"/>
      <c r="U96" s="461"/>
      <c r="V96" s="306">
        <f>R96</f>
        <v>0</v>
      </c>
      <c r="W96" s="18">
        <f>IFERROR(VLOOKUP(V96,AnsATBL,2,FALSE),0)</f>
        <v>0</v>
      </c>
      <c r="X96" s="132"/>
      <c r="Y96" s="461"/>
    </row>
    <row r="97" spans="1:25" ht="12.75" x14ac:dyDescent="0.2">
      <c r="A97" s="162" t="str">
        <f>Interview!A141</f>
        <v>I-DM-B-2-1</v>
      </c>
      <c r="B97" s="472"/>
      <c r="C97" s="268">
        <f>VLOOKUP(A97,'imp-questions'!A:H,5,FALSE)</f>
        <v>2</v>
      </c>
      <c r="D97" s="202" t="str">
        <f>VLOOKUP(A97,'imp-questions'!A:H,6,FALSE)</f>
        <v>Do you improve your assurance program upon well-defined metrics?</v>
      </c>
      <c r="E97" s="164" t="str">
        <f>CHAR(65+VLOOKUP(A97,'imp-questions'!A:H,8,FALSE))</f>
        <v>A</v>
      </c>
      <c r="F97" s="193">
        <f>Interview!F141</f>
        <v>0</v>
      </c>
      <c r="G97" s="18">
        <f>IFERROR(VLOOKUP(F97,AnsATBL,2,FALSE),0)</f>
        <v>0</v>
      </c>
      <c r="H97" s="132"/>
      <c r="I97" s="461"/>
      <c r="J97" s="306">
        <f t="shared" ref="J97:J98" si="65">F97</f>
        <v>0</v>
      </c>
      <c r="K97" s="18">
        <f>IFERROR(VLOOKUP(J97,AnsATBL,2,FALSE),0)</f>
        <v>0</v>
      </c>
      <c r="L97" s="132"/>
      <c r="M97" s="461"/>
      <c r="N97" s="306">
        <f t="shared" ref="N97:N98" si="66">J97</f>
        <v>0</v>
      </c>
      <c r="O97" s="18">
        <f>IFERROR(VLOOKUP(N97,AnsATBL,2,FALSE),0)</f>
        <v>0</v>
      </c>
      <c r="P97" s="132"/>
      <c r="Q97" s="461"/>
      <c r="R97" s="306">
        <f t="shared" ref="R97:R98" si="67">N97</f>
        <v>0</v>
      </c>
      <c r="S97" s="18">
        <f>IFERROR(VLOOKUP(R97,AnsATBL,2,FALSE),0)</f>
        <v>0</v>
      </c>
      <c r="T97" s="132"/>
      <c r="U97" s="461"/>
      <c r="V97" s="306">
        <f t="shared" ref="V97:V98" si="68">R97</f>
        <v>0</v>
      </c>
      <c r="W97" s="18">
        <f>IFERROR(VLOOKUP(V97,AnsATBL,2,FALSE),0)</f>
        <v>0</v>
      </c>
      <c r="X97" s="132"/>
      <c r="Y97" s="461"/>
    </row>
    <row r="98" spans="1:25" ht="12.75" x14ac:dyDescent="0.2">
      <c r="A98" s="162" t="str">
        <f>Interview!A143</f>
        <v>I-DM-B-3-1</v>
      </c>
      <c r="B98" s="473"/>
      <c r="C98" s="268">
        <f>VLOOKUP(A98,'imp-questions'!A:H,5,FALSE)</f>
        <v>3</v>
      </c>
      <c r="D98" s="296" t="str">
        <f>VLOOKUP(A98,'imp-questions'!A:H,6,FALSE)</f>
        <v>Do you enrich defect metrics with relevant real time information?</v>
      </c>
      <c r="E98" s="164" t="str">
        <f>CHAR(65+VLOOKUP(A98,'imp-questions'!A:H,8,FALSE))</f>
        <v>A</v>
      </c>
      <c r="F98" s="193">
        <f>Interview!F143</f>
        <v>0</v>
      </c>
      <c r="G98" s="18">
        <f>IFERROR(VLOOKUP(F98,AnsATBL,2,FALSE),0)</f>
        <v>0</v>
      </c>
      <c r="H98" s="132"/>
      <c r="I98" s="463"/>
      <c r="J98" s="306">
        <f t="shared" si="65"/>
        <v>0</v>
      </c>
      <c r="K98" s="18">
        <f>IFERROR(VLOOKUP(J98,AnsATBL,2,FALSE),0)</f>
        <v>0</v>
      </c>
      <c r="L98" s="132"/>
      <c r="M98" s="463"/>
      <c r="N98" s="306">
        <f t="shared" si="66"/>
        <v>0</v>
      </c>
      <c r="O98" s="18">
        <f>IFERROR(VLOOKUP(N98,AnsATBL,2,FALSE),0)</f>
        <v>0</v>
      </c>
      <c r="P98" s="132"/>
      <c r="Q98" s="463"/>
      <c r="R98" s="306">
        <f t="shared" si="67"/>
        <v>0</v>
      </c>
      <c r="S98" s="18">
        <f>IFERROR(VLOOKUP(R98,AnsATBL,2,FALSE),0)</f>
        <v>0</v>
      </c>
      <c r="T98" s="132"/>
      <c r="U98" s="463"/>
      <c r="V98" s="306">
        <f t="shared" si="68"/>
        <v>0</v>
      </c>
      <c r="W98" s="18">
        <f>IFERROR(VLOOKUP(V98,AnsATBL,2,FALSE),0)</f>
        <v>0</v>
      </c>
      <c r="X98" s="132"/>
      <c r="Y98" s="463"/>
    </row>
    <row r="99" spans="1:25" ht="12.75" x14ac:dyDescent="0.2">
      <c r="A99" s="162"/>
      <c r="B99" s="276"/>
      <c r="C99" s="262"/>
      <c r="D99" s="242"/>
      <c r="E99" s="242"/>
      <c r="F99" s="242"/>
      <c r="G99" s="242"/>
      <c r="H99" s="242"/>
      <c r="I99" s="242"/>
      <c r="J99" s="242"/>
      <c r="K99" s="242"/>
      <c r="L99" s="242"/>
      <c r="M99" s="242"/>
      <c r="N99" s="242"/>
      <c r="O99" s="242"/>
      <c r="P99" s="242"/>
      <c r="Q99" s="242"/>
      <c r="R99" s="242"/>
      <c r="S99" s="242"/>
      <c r="T99" s="242"/>
      <c r="U99" s="242"/>
      <c r="V99" s="242"/>
      <c r="W99" s="242"/>
      <c r="X99" s="242"/>
      <c r="Y99" s="242"/>
    </row>
    <row r="100" spans="1:25" ht="12.75" x14ac:dyDescent="0.2">
      <c r="A100" s="162"/>
      <c r="B100" s="269" t="s">
        <v>27</v>
      </c>
      <c r="C100" s="269"/>
      <c r="D100" s="245"/>
      <c r="E100" s="245"/>
      <c r="F100" s="483" t="s">
        <v>60</v>
      </c>
      <c r="G100" s="483"/>
      <c r="H100" s="483"/>
      <c r="I100" s="483"/>
      <c r="J100" s="482" t="s">
        <v>506</v>
      </c>
      <c r="K100" s="483"/>
      <c r="L100" s="483"/>
      <c r="M100" s="484"/>
      <c r="N100" s="482" t="s">
        <v>507</v>
      </c>
      <c r="O100" s="483"/>
      <c r="P100" s="483"/>
      <c r="Q100" s="484"/>
      <c r="R100" s="482" t="s">
        <v>508</v>
      </c>
      <c r="S100" s="483"/>
      <c r="T100" s="483"/>
      <c r="U100" s="484"/>
      <c r="V100" s="482" t="s">
        <v>509</v>
      </c>
      <c r="W100" s="483"/>
      <c r="X100" s="483"/>
      <c r="Y100" s="484"/>
    </row>
    <row r="101" spans="1:25" x14ac:dyDescent="0.25">
      <c r="A101" s="162"/>
      <c r="B101" s="281" t="s">
        <v>503</v>
      </c>
      <c r="C101" s="270" t="s">
        <v>504</v>
      </c>
      <c r="D101" s="292" t="s">
        <v>350</v>
      </c>
      <c r="E101" s="228"/>
      <c r="F101" s="77" t="s">
        <v>34</v>
      </c>
      <c r="G101" s="77"/>
      <c r="H101" s="120"/>
      <c r="I101" s="254" t="s">
        <v>32</v>
      </c>
      <c r="J101" s="77" t="s">
        <v>34</v>
      </c>
      <c r="K101" s="77"/>
      <c r="L101" s="120"/>
      <c r="M101" s="254" t="s">
        <v>32</v>
      </c>
      <c r="N101" s="77" t="s">
        <v>34</v>
      </c>
      <c r="O101" s="77"/>
      <c r="P101" s="120"/>
      <c r="Q101" s="254" t="s">
        <v>32</v>
      </c>
      <c r="R101" s="77" t="s">
        <v>34</v>
      </c>
      <c r="S101" s="77"/>
      <c r="T101" s="120"/>
      <c r="U101" s="254" t="s">
        <v>32</v>
      </c>
      <c r="V101" s="77" t="s">
        <v>34</v>
      </c>
      <c r="W101" s="77"/>
      <c r="X101" s="120"/>
      <c r="Y101" s="254" t="s">
        <v>32</v>
      </c>
    </row>
    <row r="102" spans="1:25" ht="25.5" x14ac:dyDescent="0.2">
      <c r="A102" s="162" t="str">
        <f>Interview!A147</f>
        <v>V-AA-A-1-1</v>
      </c>
      <c r="B102" s="475" t="str">
        <f>VLOOKUP(A102,'imp-questions'!A:H,4,FALSE)</f>
        <v>Architecture Validation</v>
      </c>
      <c r="C102" s="271">
        <f>VLOOKUP(A102,'imp-questions'!A:H,5,FALSE)</f>
        <v>1</v>
      </c>
      <c r="D102" s="202" t="str">
        <f>VLOOKUP(A102,'imp-questions'!A:H,6,FALSE)</f>
        <v>Do you review the application architecture for key security objectives and threats on an ad-hoc basis?</v>
      </c>
      <c r="E102" s="184" t="str">
        <f>CHAR(65+VLOOKUP(A102,'imp-questions'!A:H,8,FALSE))</f>
        <v>A</v>
      </c>
      <c r="F102" s="193">
        <f>Interview!F147</f>
        <v>0</v>
      </c>
      <c r="G102" s="18">
        <f>IFERROR(VLOOKUP(F102,AnsATBL,2,FALSE),0)</f>
        <v>0</v>
      </c>
      <c r="H102" s="301">
        <f>IFERROR(AVERAGE(G102,G106),0)</f>
        <v>0</v>
      </c>
      <c r="I102" s="464">
        <f>SUM(H102:H104)</f>
        <v>0</v>
      </c>
      <c r="J102" s="306">
        <f>F102</f>
        <v>0</v>
      </c>
      <c r="K102" s="18">
        <f>IFERROR(VLOOKUP(J102,AnsATBL,2,FALSE),0)</f>
        <v>0</v>
      </c>
      <c r="L102" s="301">
        <f>IFERROR(AVERAGE(K102,K106),0)</f>
        <v>0</v>
      </c>
      <c r="M102" s="464">
        <f>SUM(L102:L104)</f>
        <v>0</v>
      </c>
      <c r="N102" s="306">
        <f>J102</f>
        <v>0</v>
      </c>
      <c r="O102" s="18">
        <f>IFERROR(VLOOKUP(N102,AnsATBL,2,FALSE),0)</f>
        <v>0</v>
      </c>
      <c r="P102" s="301">
        <f>IFERROR(AVERAGE(O102,O106),0)</f>
        <v>0</v>
      </c>
      <c r="Q102" s="464">
        <f>SUM(P102:P104)</f>
        <v>0</v>
      </c>
      <c r="R102" s="306">
        <f>N102</f>
        <v>0</v>
      </c>
      <c r="S102" s="18">
        <f>IFERROR(VLOOKUP(R102,AnsATBL,2,FALSE),0)</f>
        <v>0</v>
      </c>
      <c r="T102" s="301">
        <f>IFERROR(AVERAGE(S102,S106),0)</f>
        <v>0</v>
      </c>
      <c r="U102" s="464">
        <f>SUM(T102:T104)</f>
        <v>0</v>
      </c>
      <c r="V102" s="306">
        <f>R102</f>
        <v>0</v>
      </c>
      <c r="W102" s="18">
        <f>IFERROR(VLOOKUP(V102,AnsATBL,2,FALSE),0)</f>
        <v>0</v>
      </c>
      <c r="X102" s="301">
        <f>IFERROR(AVERAGE(W102,W106),0)</f>
        <v>0</v>
      </c>
      <c r="Y102" s="464">
        <f>SUM(X102:X104)</f>
        <v>0</v>
      </c>
    </row>
    <row r="103" spans="1:25" ht="25.5" x14ac:dyDescent="0.2">
      <c r="A103" s="162" t="str">
        <f>Interview!A149</f>
        <v>V-AA-A-2-1</v>
      </c>
      <c r="B103" s="476"/>
      <c r="C103" s="271">
        <f>VLOOKUP(A103,'imp-questions'!A:H,5,FALSE)</f>
        <v>2</v>
      </c>
      <c r="D103" s="202" t="str">
        <f>VLOOKUP(A103,'imp-questions'!A:H,6,FALSE)</f>
        <v>Do you thoroughly review your software architecture regularly using an agreed upon methodology?</v>
      </c>
      <c r="E103" s="184" t="str">
        <f>CHAR(65+VLOOKUP(A103,'imp-questions'!A:H,8,FALSE))</f>
        <v>A</v>
      </c>
      <c r="F103" s="193">
        <f>Interview!F149</f>
        <v>0</v>
      </c>
      <c r="G103" s="18">
        <f>IFERROR(VLOOKUP(F103,AnsATBL,2,FALSE),0)</f>
        <v>0</v>
      </c>
      <c r="H103" s="301">
        <f>IFERROR(AVERAGE(G103,G107),0)</f>
        <v>0</v>
      </c>
      <c r="I103" s="465"/>
      <c r="J103" s="306">
        <f t="shared" ref="J103:J104" si="69">F103</f>
        <v>0</v>
      </c>
      <c r="K103" s="18">
        <f>IFERROR(VLOOKUP(J103,AnsATBL,2,FALSE),0)</f>
        <v>0</v>
      </c>
      <c r="L103" s="301">
        <f>IFERROR(AVERAGE(K103,K107),0)</f>
        <v>0</v>
      </c>
      <c r="M103" s="465"/>
      <c r="N103" s="306">
        <f t="shared" ref="N103:N104" si="70">J103</f>
        <v>0</v>
      </c>
      <c r="O103" s="18">
        <f>IFERROR(VLOOKUP(N103,AnsATBL,2,FALSE),0)</f>
        <v>0</v>
      </c>
      <c r="P103" s="301">
        <f>IFERROR(AVERAGE(O103,O107),0)</f>
        <v>0</v>
      </c>
      <c r="Q103" s="465"/>
      <c r="R103" s="306">
        <f t="shared" ref="R103:R104" si="71">N103</f>
        <v>0</v>
      </c>
      <c r="S103" s="18">
        <f>IFERROR(VLOOKUP(R103,AnsATBL,2,FALSE),0)</f>
        <v>0</v>
      </c>
      <c r="T103" s="301">
        <f>IFERROR(AVERAGE(S103,S107),0)</f>
        <v>0</v>
      </c>
      <c r="U103" s="465"/>
      <c r="V103" s="306">
        <f t="shared" ref="V103:V104" si="72">R103</f>
        <v>0</v>
      </c>
      <c r="W103" s="18">
        <f>IFERROR(VLOOKUP(V103,AnsATBL,2,FALSE),0)</f>
        <v>0</v>
      </c>
      <c r="X103" s="301">
        <f>IFERROR(AVERAGE(W103,W107),0)</f>
        <v>0</v>
      </c>
      <c r="Y103" s="465"/>
    </row>
    <row r="104" spans="1:25" ht="12.75" x14ac:dyDescent="0.2">
      <c r="A104" s="162" t="str">
        <f>Interview!A151</f>
        <v>V-AA-A-3-1</v>
      </c>
      <c r="B104" s="477"/>
      <c r="C104" s="271">
        <f>VLOOKUP(A104,'imp-questions'!A:H,5,FALSE)</f>
        <v>3</v>
      </c>
      <c r="D104" s="296" t="str">
        <f>VLOOKUP(A104,'imp-questions'!A:H,6,FALSE)</f>
        <v>Do you regularly review the effectiveness of the security controls?</v>
      </c>
      <c r="E104" s="184" t="str">
        <f>CHAR(65+VLOOKUP(A104,'imp-questions'!A:H,8,FALSE))</f>
        <v>A</v>
      </c>
      <c r="F104" s="193">
        <f>Interview!F151</f>
        <v>0</v>
      </c>
      <c r="G104" s="18">
        <f>IFERROR(VLOOKUP(F104,AnsATBL,2,FALSE),0)</f>
        <v>0</v>
      </c>
      <c r="H104" s="301">
        <f>IFERROR(AVERAGE(G104,G108),0)</f>
        <v>0</v>
      </c>
      <c r="I104" s="465"/>
      <c r="J104" s="306">
        <f t="shared" si="69"/>
        <v>0</v>
      </c>
      <c r="K104" s="18">
        <f>IFERROR(VLOOKUP(J104,AnsATBL,2,FALSE),0)</f>
        <v>0</v>
      </c>
      <c r="L104" s="301">
        <f>IFERROR(AVERAGE(K104,K108),0)</f>
        <v>0</v>
      </c>
      <c r="M104" s="465"/>
      <c r="N104" s="306">
        <f t="shared" si="70"/>
        <v>0</v>
      </c>
      <c r="O104" s="18">
        <f>IFERROR(VLOOKUP(N104,AnsATBL,2,FALSE),0)</f>
        <v>0</v>
      </c>
      <c r="P104" s="301">
        <f>IFERROR(AVERAGE(O104,O108),0)</f>
        <v>0</v>
      </c>
      <c r="Q104" s="465"/>
      <c r="R104" s="306">
        <f t="shared" si="71"/>
        <v>0</v>
      </c>
      <c r="S104" s="18">
        <f>IFERROR(VLOOKUP(R104,AnsATBL,2,FALSE),0)</f>
        <v>0</v>
      </c>
      <c r="T104" s="301">
        <f>IFERROR(AVERAGE(S104,S108),0)</f>
        <v>0</v>
      </c>
      <c r="U104" s="465"/>
      <c r="V104" s="306">
        <f t="shared" si="72"/>
        <v>0</v>
      </c>
      <c r="W104" s="18">
        <f>IFERROR(VLOOKUP(V104,AnsATBL,2,FALSE),0)</f>
        <v>0</v>
      </c>
      <c r="X104" s="301">
        <f>IFERROR(AVERAGE(W104,W108),0)</f>
        <v>0</v>
      </c>
      <c r="Y104" s="465"/>
    </row>
    <row r="105" spans="1:25" ht="12.75" x14ac:dyDescent="0.2">
      <c r="A105" s="162"/>
      <c r="B105" s="276"/>
      <c r="C105" s="262"/>
      <c r="D105" s="244"/>
      <c r="E105" s="244"/>
      <c r="F105" s="244"/>
      <c r="G105" s="244"/>
      <c r="H105" s="244"/>
      <c r="I105" s="465"/>
      <c r="J105" s="244"/>
      <c r="K105" s="244"/>
      <c r="L105" s="244"/>
      <c r="M105" s="465"/>
      <c r="N105" s="244"/>
      <c r="O105" s="244"/>
      <c r="P105" s="244"/>
      <c r="Q105" s="465"/>
      <c r="R105" s="244"/>
      <c r="S105" s="244"/>
      <c r="T105" s="244"/>
      <c r="U105" s="465"/>
      <c r="V105" s="244"/>
      <c r="W105" s="244"/>
      <c r="X105" s="244"/>
      <c r="Y105" s="465"/>
    </row>
    <row r="106" spans="1:25" ht="12.75" x14ac:dyDescent="0.2">
      <c r="A106" s="162" t="str">
        <f>Interview!A154</f>
        <v>V-AA-B-1-1</v>
      </c>
      <c r="B106" s="475" t="str">
        <f>VLOOKUP(A106,'imp-questions'!A:H,4,FALSE)</f>
        <v>Architecture Compliance</v>
      </c>
      <c r="C106" s="271">
        <f>VLOOKUP(A106,'imp-questions'!A:H,5,FALSE)</f>
        <v>1</v>
      </c>
      <c r="D106" s="202" t="str">
        <f>VLOOKUP(A106,'imp-questions'!A:H,6,FALSE)</f>
        <v>Do you review the architecture against compliance requirements?</v>
      </c>
      <c r="E106" s="184" t="str">
        <f>CHAR(65+VLOOKUP(A106,'imp-questions'!A:H,8,FALSE))</f>
        <v>B</v>
      </c>
      <c r="F106" s="200">
        <f>Interview!F154</f>
        <v>0</v>
      </c>
      <c r="G106" s="18">
        <f>IFERROR(VLOOKUP(F106,AnsBTBL,2,FALSE),0)</f>
        <v>0</v>
      </c>
      <c r="H106" s="302"/>
      <c r="I106" s="465"/>
      <c r="J106" s="306">
        <f>F106</f>
        <v>0</v>
      </c>
      <c r="K106" s="18">
        <f>IFERROR(VLOOKUP(J106,AnsBTBL,2,FALSE),0)</f>
        <v>0</v>
      </c>
      <c r="L106" s="302"/>
      <c r="M106" s="465"/>
      <c r="N106" s="306">
        <f>J106</f>
        <v>0</v>
      </c>
      <c r="O106" s="18">
        <f>IFERROR(VLOOKUP(N106,AnsBTBL,2,FALSE),0)</f>
        <v>0</v>
      </c>
      <c r="P106" s="302"/>
      <c r="Q106" s="465"/>
      <c r="R106" s="306">
        <f>N106</f>
        <v>0</v>
      </c>
      <c r="S106" s="18">
        <f>IFERROR(VLOOKUP(R106,AnsBTBL,2,FALSE),0)</f>
        <v>0</v>
      </c>
      <c r="T106" s="302"/>
      <c r="U106" s="465"/>
      <c r="V106" s="306">
        <f>R106</f>
        <v>0</v>
      </c>
      <c r="W106" s="18">
        <f>IFERROR(VLOOKUP(V106,AnsBTBL,2,FALSE),0)</f>
        <v>0</v>
      </c>
      <c r="X106" s="302"/>
      <c r="Y106" s="465"/>
    </row>
    <row r="107" spans="1:25" ht="25.5" x14ac:dyDescent="0.2">
      <c r="A107" s="162" t="str">
        <f>Interview!A156</f>
        <v>V-AA-B-2-1</v>
      </c>
      <c r="B107" s="476"/>
      <c r="C107" s="271">
        <f>VLOOKUP(A107,'imp-questions'!A:H,5,FALSE)</f>
        <v>2</v>
      </c>
      <c r="D107" s="202" t="str">
        <f>VLOOKUP(A107,'imp-questions'!A:H,6,FALSE)</f>
        <v>Do you analyze the architecture against known security requirements and best practices ?</v>
      </c>
      <c r="E107" s="184" t="str">
        <f>CHAR(65+VLOOKUP(A107,'imp-questions'!A:H,8,FALSE))</f>
        <v>B</v>
      </c>
      <c r="F107" s="201">
        <f>Interview!F156</f>
        <v>0</v>
      </c>
      <c r="G107" s="18">
        <f>IFERROR(VLOOKUP(F107,AnsBTBL,2,FALSE),0)</f>
        <v>0</v>
      </c>
      <c r="H107" s="302"/>
      <c r="I107" s="465"/>
      <c r="J107" s="306">
        <f t="shared" ref="J107:J108" si="73">F107</f>
        <v>0</v>
      </c>
      <c r="K107" s="18">
        <f>IFERROR(VLOOKUP(J107,AnsBTBL,2,FALSE),0)</f>
        <v>0</v>
      </c>
      <c r="L107" s="302"/>
      <c r="M107" s="465"/>
      <c r="N107" s="306">
        <f t="shared" ref="N107:N108" si="74">J107</f>
        <v>0</v>
      </c>
      <c r="O107" s="18">
        <f>IFERROR(VLOOKUP(N107,AnsBTBL,2,FALSE),0)</f>
        <v>0</v>
      </c>
      <c r="P107" s="302"/>
      <c r="Q107" s="465"/>
      <c r="R107" s="306">
        <f t="shared" ref="R107:R108" si="75">N107</f>
        <v>0</v>
      </c>
      <c r="S107" s="18">
        <f>IFERROR(VLOOKUP(R107,AnsBTBL,2,FALSE),0)</f>
        <v>0</v>
      </c>
      <c r="T107" s="302"/>
      <c r="U107" s="465"/>
      <c r="V107" s="306">
        <f t="shared" ref="V107:V108" si="76">R107</f>
        <v>0</v>
      </c>
      <c r="W107" s="18">
        <f>IFERROR(VLOOKUP(V107,AnsBTBL,2,FALSE),0)</f>
        <v>0</v>
      </c>
      <c r="X107" s="302"/>
      <c r="Y107" s="465"/>
    </row>
    <row r="108" spans="1:25" ht="25.5" x14ac:dyDescent="0.2">
      <c r="A108" s="162" t="str">
        <f>Interview!A158</f>
        <v>V-AA-B-3-1</v>
      </c>
      <c r="B108" s="477"/>
      <c r="C108" s="271">
        <f>VLOOKUP(A108,'imp-questions'!A:H,5,FALSE)</f>
        <v>3</v>
      </c>
      <c r="D108" s="296" t="str">
        <f>VLOOKUP(A108,'imp-questions'!A:H,6,FALSE)</f>
        <v>Do you feed architecture review results back into the enterprise architecture?</v>
      </c>
      <c r="E108" s="184" t="str">
        <f>CHAR(65+VLOOKUP(A108,'imp-questions'!A:H,8,FALSE))</f>
        <v>B</v>
      </c>
      <c r="F108" s="201">
        <f>Interview!F158</f>
        <v>0</v>
      </c>
      <c r="G108" s="18">
        <f>IFERROR(VLOOKUP(F108,AnsBTBL,2,FALSE),0)</f>
        <v>0</v>
      </c>
      <c r="H108" s="302"/>
      <c r="I108" s="466"/>
      <c r="J108" s="306">
        <f t="shared" si="73"/>
        <v>0</v>
      </c>
      <c r="K108" s="18">
        <f>IFERROR(VLOOKUP(J108,AnsBTBL,2,FALSE),0)</f>
        <v>0</v>
      </c>
      <c r="L108" s="302"/>
      <c r="M108" s="466"/>
      <c r="N108" s="306">
        <f t="shared" si="74"/>
        <v>0</v>
      </c>
      <c r="O108" s="18">
        <f>IFERROR(VLOOKUP(N108,AnsBTBL,2,FALSE),0)</f>
        <v>0</v>
      </c>
      <c r="P108" s="302"/>
      <c r="Q108" s="466"/>
      <c r="R108" s="306">
        <f t="shared" si="75"/>
        <v>0</v>
      </c>
      <c r="S108" s="18">
        <f>IFERROR(VLOOKUP(R108,AnsBTBL,2,FALSE),0)</f>
        <v>0</v>
      </c>
      <c r="T108" s="302"/>
      <c r="U108" s="466"/>
      <c r="V108" s="306">
        <f t="shared" si="76"/>
        <v>0</v>
      </c>
      <c r="W108" s="18">
        <f>IFERROR(VLOOKUP(V108,AnsBTBL,2,FALSE),0)</f>
        <v>0</v>
      </c>
      <c r="X108" s="302"/>
      <c r="Y108" s="466"/>
    </row>
    <row r="109" spans="1:25" ht="12.75" x14ac:dyDescent="0.2">
      <c r="A109" s="162"/>
      <c r="B109" s="276"/>
      <c r="C109" s="262"/>
      <c r="D109" s="244"/>
      <c r="E109" s="244"/>
      <c r="F109" s="244"/>
      <c r="G109" s="244"/>
      <c r="H109" s="244"/>
      <c r="I109" s="244"/>
      <c r="J109" s="244"/>
      <c r="K109" s="244"/>
      <c r="L109" s="244"/>
      <c r="M109" s="242"/>
      <c r="N109" s="244"/>
      <c r="O109" s="244"/>
      <c r="P109" s="244"/>
      <c r="Q109" s="242"/>
      <c r="R109" s="244"/>
      <c r="S109" s="244"/>
      <c r="T109" s="244"/>
      <c r="U109" s="242"/>
      <c r="V109" s="244"/>
      <c r="W109" s="244"/>
      <c r="X109" s="244"/>
      <c r="Y109" s="242"/>
    </row>
    <row r="110" spans="1:25" x14ac:dyDescent="0.25">
      <c r="A110" s="162"/>
      <c r="B110" s="281" t="s">
        <v>503</v>
      </c>
      <c r="C110" s="270" t="s">
        <v>504</v>
      </c>
      <c r="D110" s="293" t="s">
        <v>370</v>
      </c>
      <c r="E110" s="224"/>
      <c r="F110" s="79" t="s">
        <v>34</v>
      </c>
      <c r="G110" s="79"/>
      <c r="H110" s="121"/>
      <c r="I110" s="254" t="s">
        <v>32</v>
      </c>
      <c r="J110" s="79" t="s">
        <v>34</v>
      </c>
      <c r="K110" s="79"/>
      <c r="L110" s="121"/>
      <c r="M110" s="254" t="s">
        <v>32</v>
      </c>
      <c r="N110" s="79" t="s">
        <v>34</v>
      </c>
      <c r="O110" s="79"/>
      <c r="P110" s="121"/>
      <c r="Q110" s="254" t="s">
        <v>32</v>
      </c>
      <c r="R110" s="79" t="s">
        <v>34</v>
      </c>
      <c r="S110" s="79"/>
      <c r="T110" s="121"/>
      <c r="U110" s="254" t="s">
        <v>32</v>
      </c>
      <c r="V110" s="79" t="s">
        <v>34</v>
      </c>
      <c r="W110" s="79"/>
      <c r="X110" s="121"/>
      <c r="Y110" s="254" t="s">
        <v>32</v>
      </c>
    </row>
    <row r="111" spans="1:25" ht="25.5" x14ac:dyDescent="0.2">
      <c r="A111" s="162" t="str">
        <f>Interview!A161</f>
        <v>V-RT-A-1-1</v>
      </c>
      <c r="B111" s="475" t="str">
        <f>VLOOKUP(A111,'imp-questions'!A:H,4,FALSE)</f>
        <v>Control Verification</v>
      </c>
      <c r="C111" s="271">
        <f>VLOOKUP(A111,'imp-questions'!A:H,5,FALSE)</f>
        <v>1</v>
      </c>
      <c r="D111" s="202" t="str">
        <f>VLOOKUP(A111,'imp-questions'!A:H,6,FALSE)</f>
        <v>Do you test applications for the correct functioning of standard security controls?</v>
      </c>
      <c r="E111" s="164" t="str">
        <f>CHAR(65+VLOOKUP(A111,'imp-questions'!A:H,8,FALSE))</f>
        <v>B</v>
      </c>
      <c r="F111" s="193">
        <f>Interview!F161</f>
        <v>0</v>
      </c>
      <c r="G111" s="18">
        <f>IFERROR(VLOOKUP(F111,AnsBTBL,2,FALSE),0)</f>
        <v>0</v>
      </c>
      <c r="H111" s="301">
        <f>IFERROR(AVERAGE(G111,G115),0)</f>
        <v>0</v>
      </c>
      <c r="I111" s="464">
        <f>SUM(H111:H113)</f>
        <v>0</v>
      </c>
      <c r="J111" s="306">
        <f>F111</f>
        <v>0</v>
      </c>
      <c r="K111" s="18">
        <f>IFERROR(VLOOKUP(J111,AnsBTBL,2,FALSE),0)</f>
        <v>0</v>
      </c>
      <c r="L111" s="301">
        <f>IFERROR(AVERAGE(K111,K115),0)</f>
        <v>0</v>
      </c>
      <c r="M111" s="464">
        <f>SUM(L111:L113)</f>
        <v>0</v>
      </c>
      <c r="N111" s="306">
        <f>J111</f>
        <v>0</v>
      </c>
      <c r="O111" s="18">
        <f>IFERROR(VLOOKUP(N111,AnsBTBL,2,FALSE),0)</f>
        <v>0</v>
      </c>
      <c r="P111" s="301">
        <f>IFERROR(AVERAGE(O111,O115),0)</f>
        <v>0</v>
      </c>
      <c r="Q111" s="464">
        <f>SUM(P111:P113)</f>
        <v>0</v>
      </c>
      <c r="R111" s="306">
        <f>N111</f>
        <v>0</v>
      </c>
      <c r="S111" s="18">
        <f>IFERROR(VLOOKUP(R111,AnsBTBL,2,FALSE),0)</f>
        <v>0</v>
      </c>
      <c r="T111" s="301">
        <f>IFERROR(AVERAGE(S111,S115),0)</f>
        <v>0</v>
      </c>
      <c r="U111" s="464">
        <f>SUM(T111:T113)</f>
        <v>0</v>
      </c>
      <c r="V111" s="306">
        <f>R111</f>
        <v>0</v>
      </c>
      <c r="W111" s="18">
        <f>IFERROR(VLOOKUP(V111,AnsBTBL,2,FALSE),0)</f>
        <v>0</v>
      </c>
      <c r="X111" s="301">
        <f>IFERROR(AVERAGE(W111,W115),0)</f>
        <v>0</v>
      </c>
      <c r="Y111" s="464">
        <f>SUM(X111:X113)</f>
        <v>0</v>
      </c>
    </row>
    <row r="112" spans="1:25" ht="25.5" x14ac:dyDescent="0.2">
      <c r="A112" s="162" t="str">
        <f>Interview!A163</f>
        <v>V-RT-A-2-1</v>
      </c>
      <c r="B112" s="476"/>
      <c r="C112" s="271">
        <f>VLOOKUP(A112,'imp-questions'!A:H,5,FALSE)</f>
        <v>2</v>
      </c>
      <c r="D112" s="202" t="str">
        <f>VLOOKUP(A112,'imp-questions'!A:H,6,FALSE)</f>
        <v>Do you test security controls based on the specific application security requirements?</v>
      </c>
      <c r="E112" s="164" t="str">
        <f>CHAR(65+VLOOKUP(A112,'imp-questions'!A:H,8,FALSE))</f>
        <v>B</v>
      </c>
      <c r="F112" s="198">
        <f>Interview!F163</f>
        <v>0</v>
      </c>
      <c r="G112" s="18">
        <f>IFERROR(VLOOKUP(F112,AnsBTBL,2,FALSE),0)</f>
        <v>0</v>
      </c>
      <c r="H112" s="301">
        <f>IFERROR(AVERAGE(G112,G116),0)</f>
        <v>0</v>
      </c>
      <c r="I112" s="465"/>
      <c r="J112" s="306">
        <f t="shared" ref="J112:J113" si="77">F112</f>
        <v>0</v>
      </c>
      <c r="K112" s="18">
        <f>IFERROR(VLOOKUP(J112,AnsBTBL,2,FALSE),0)</f>
        <v>0</v>
      </c>
      <c r="L112" s="301">
        <f>IFERROR(AVERAGE(K112,K116),0)</f>
        <v>0</v>
      </c>
      <c r="M112" s="465"/>
      <c r="N112" s="306">
        <f t="shared" ref="N112:N113" si="78">J112</f>
        <v>0</v>
      </c>
      <c r="O112" s="18">
        <f>IFERROR(VLOOKUP(N112,AnsBTBL,2,FALSE),0)</f>
        <v>0</v>
      </c>
      <c r="P112" s="301">
        <f>IFERROR(AVERAGE(O112,O116),0)</f>
        <v>0</v>
      </c>
      <c r="Q112" s="465"/>
      <c r="R112" s="306">
        <f t="shared" ref="R112:R113" si="79">N112</f>
        <v>0</v>
      </c>
      <c r="S112" s="18">
        <f>IFERROR(VLOOKUP(R112,AnsBTBL,2,FALSE),0)</f>
        <v>0</v>
      </c>
      <c r="T112" s="301">
        <f>IFERROR(AVERAGE(S112,S116),0)</f>
        <v>0</v>
      </c>
      <c r="U112" s="465"/>
      <c r="V112" s="306">
        <f t="shared" ref="V112:V113" si="80">R112</f>
        <v>0</v>
      </c>
      <c r="W112" s="18">
        <f>IFERROR(VLOOKUP(V112,AnsBTBL,2,FALSE),0)</f>
        <v>0</v>
      </c>
      <c r="X112" s="301">
        <f>IFERROR(AVERAGE(W112,W116),0)</f>
        <v>0</v>
      </c>
      <c r="Y112" s="465"/>
    </row>
    <row r="113" spans="1:25" ht="12.75" x14ac:dyDescent="0.2">
      <c r="A113" s="162" t="str">
        <f>Interview!A165</f>
        <v>V-RT-A-3-1</v>
      </c>
      <c r="B113" s="477"/>
      <c r="C113" s="271">
        <f>VLOOKUP(A113,'imp-questions'!A:H,5,FALSE)</f>
        <v>3</v>
      </c>
      <c r="D113" s="296" t="str">
        <f>VLOOKUP(A113,'imp-questions'!A:H,6,FALSE)</f>
        <v>Do you automatically test applications for security regressions?</v>
      </c>
      <c r="E113" s="164" t="str">
        <f>CHAR(65+VLOOKUP(A113,'imp-questions'!A:H,8,FALSE))</f>
        <v>B</v>
      </c>
      <c r="F113" s="198">
        <f>Interview!F165</f>
        <v>0</v>
      </c>
      <c r="G113" s="18">
        <f>IFERROR(VLOOKUP(F113,AnsBTBL,2,FALSE),0)</f>
        <v>0</v>
      </c>
      <c r="H113" s="301">
        <f>IFERROR(AVERAGE(G113,G117),0)</f>
        <v>0</v>
      </c>
      <c r="I113" s="465"/>
      <c r="J113" s="306">
        <f t="shared" si="77"/>
        <v>0</v>
      </c>
      <c r="K113" s="18">
        <f>IFERROR(VLOOKUP(J113,AnsBTBL,2,FALSE),0)</f>
        <v>0</v>
      </c>
      <c r="L113" s="301">
        <f>IFERROR(AVERAGE(K113,K117),0)</f>
        <v>0</v>
      </c>
      <c r="M113" s="465"/>
      <c r="N113" s="306">
        <f t="shared" si="78"/>
        <v>0</v>
      </c>
      <c r="O113" s="18">
        <f>IFERROR(VLOOKUP(N113,AnsBTBL,2,FALSE),0)</f>
        <v>0</v>
      </c>
      <c r="P113" s="301">
        <f>IFERROR(AVERAGE(O113,O117),0)</f>
        <v>0</v>
      </c>
      <c r="Q113" s="465"/>
      <c r="R113" s="306">
        <f t="shared" si="79"/>
        <v>0</v>
      </c>
      <c r="S113" s="18">
        <f>IFERROR(VLOOKUP(R113,AnsBTBL,2,FALSE),0)</f>
        <v>0</v>
      </c>
      <c r="T113" s="301">
        <f>IFERROR(AVERAGE(S113,S117),0)</f>
        <v>0</v>
      </c>
      <c r="U113" s="465"/>
      <c r="V113" s="306">
        <f t="shared" si="80"/>
        <v>0</v>
      </c>
      <c r="W113" s="18">
        <f>IFERROR(VLOOKUP(V113,AnsBTBL,2,FALSE),0)</f>
        <v>0</v>
      </c>
      <c r="X113" s="301">
        <f>IFERROR(AVERAGE(W113,W117),0)</f>
        <v>0</v>
      </c>
      <c r="Y113" s="465"/>
    </row>
    <row r="114" spans="1:25" ht="12.75" x14ac:dyDescent="0.2">
      <c r="A114" s="162"/>
      <c r="B114" s="276"/>
      <c r="C114" s="262"/>
      <c r="D114" s="242"/>
      <c r="E114" s="242"/>
      <c r="F114" s="242"/>
      <c r="G114" s="242"/>
      <c r="H114" s="242"/>
      <c r="I114" s="465"/>
      <c r="J114" s="242"/>
      <c r="K114" s="242"/>
      <c r="L114" s="242"/>
      <c r="M114" s="465"/>
      <c r="N114" s="242"/>
      <c r="O114" s="242"/>
      <c r="P114" s="242"/>
      <c r="Q114" s="465"/>
      <c r="R114" s="242"/>
      <c r="S114" s="242"/>
      <c r="T114" s="242"/>
      <c r="U114" s="465"/>
      <c r="V114" s="242"/>
      <c r="W114" s="242"/>
      <c r="X114" s="242"/>
      <c r="Y114" s="465"/>
    </row>
    <row r="115" spans="1:25" ht="12.75" x14ac:dyDescent="0.2">
      <c r="A115" s="162" t="str">
        <f>Interview!A168</f>
        <v>V-RT-B-1-1</v>
      </c>
      <c r="B115" s="475" t="str">
        <f>VLOOKUP(A115,'imp-questions'!A:H,4,FALSE)</f>
        <v>Misuse/Abuse Testing</v>
      </c>
      <c r="C115" s="271">
        <f>VLOOKUP(A115,'imp-questions'!A:H,5,FALSE)</f>
        <v>1</v>
      </c>
      <c r="D115" s="202" t="str">
        <f>VLOOKUP(A115,'imp-questions'!A:H,6,FALSE)</f>
        <v>Do you test applications using randomization techniques?</v>
      </c>
      <c r="E115" s="164" t="str">
        <f>CHAR(65+VLOOKUP(A115,'imp-questions'!A:H,8,FALSE))</f>
        <v>B</v>
      </c>
      <c r="F115" s="193">
        <f>Interview!F168</f>
        <v>0</v>
      </c>
      <c r="G115" s="18">
        <f>IFERROR(VLOOKUP(F115,AnsBTBL,2,FALSE),0)</f>
        <v>0</v>
      </c>
      <c r="H115" s="132"/>
      <c r="I115" s="465"/>
      <c r="J115" s="306">
        <f>F115</f>
        <v>0</v>
      </c>
      <c r="K115" s="18">
        <f>IFERROR(VLOOKUP(J115,AnsBTBL,2,FALSE),0)</f>
        <v>0</v>
      </c>
      <c r="L115" s="132"/>
      <c r="M115" s="465"/>
      <c r="N115" s="306">
        <f>J115</f>
        <v>0</v>
      </c>
      <c r="O115" s="18">
        <f>IFERROR(VLOOKUP(N115,AnsBTBL,2,FALSE),0)</f>
        <v>0</v>
      </c>
      <c r="P115" s="132"/>
      <c r="Q115" s="465"/>
      <c r="R115" s="306">
        <f>N115</f>
        <v>0</v>
      </c>
      <c r="S115" s="18">
        <f>IFERROR(VLOOKUP(R115,AnsBTBL,2,FALSE),0)</f>
        <v>0</v>
      </c>
      <c r="T115" s="132"/>
      <c r="U115" s="465"/>
      <c r="V115" s="306">
        <f>R115</f>
        <v>0</v>
      </c>
      <c r="W115" s="18">
        <f>IFERROR(VLOOKUP(V115,AnsBTBL,2,FALSE),0)</f>
        <v>0</v>
      </c>
      <c r="X115" s="132"/>
      <c r="Y115" s="465"/>
    </row>
    <row r="116" spans="1:25" ht="25.5" x14ac:dyDescent="0.2">
      <c r="A116" s="162" t="str">
        <f>Interview!A170</f>
        <v>V-RT-B-2-1</v>
      </c>
      <c r="B116" s="476"/>
      <c r="C116" s="271">
        <f>VLOOKUP(A116,'imp-questions'!A:H,5,FALSE)</f>
        <v>2</v>
      </c>
      <c r="D116" s="202" t="str">
        <f>VLOOKUP(A116,'imp-questions'!A:H,6,FALSE)</f>
        <v>Do you create abuse cases from functional requirements and use them to drive security tests?</v>
      </c>
      <c r="E116" s="164" t="str">
        <f>CHAR(65+VLOOKUP(A116,'imp-questions'!A:H,8,FALSE))</f>
        <v>E</v>
      </c>
      <c r="F116" s="198">
        <f>Interview!F170</f>
        <v>0</v>
      </c>
      <c r="G116" s="185">
        <f>IFERROR(VLOOKUP(F116,AnsETBL,2,FALSE),0)</f>
        <v>0</v>
      </c>
      <c r="H116" s="132"/>
      <c r="I116" s="465"/>
      <c r="J116" s="306">
        <f t="shared" ref="J116:J117" si="81">F116</f>
        <v>0</v>
      </c>
      <c r="K116" s="185">
        <f>IFERROR(VLOOKUP(J116,AnsETBL,2,FALSE),0)</f>
        <v>0</v>
      </c>
      <c r="L116" s="132"/>
      <c r="M116" s="465"/>
      <c r="N116" s="306">
        <f t="shared" ref="N116:N117" si="82">J116</f>
        <v>0</v>
      </c>
      <c r="O116" s="185">
        <f>IFERROR(VLOOKUP(N116,AnsETBL,2,FALSE),0)</f>
        <v>0</v>
      </c>
      <c r="P116" s="132"/>
      <c r="Q116" s="465"/>
      <c r="R116" s="306">
        <f t="shared" ref="R116:R117" si="83">N116</f>
        <v>0</v>
      </c>
      <c r="S116" s="185">
        <f>IFERROR(VLOOKUP(R116,AnsETBL,2,FALSE),0)</f>
        <v>0</v>
      </c>
      <c r="T116" s="132"/>
      <c r="U116" s="465"/>
      <c r="V116" s="306">
        <f t="shared" ref="V116:V117" si="84">R116</f>
        <v>0</v>
      </c>
      <c r="W116" s="185">
        <f>IFERROR(VLOOKUP(V116,AnsETBL,2,FALSE),0)</f>
        <v>0</v>
      </c>
      <c r="X116" s="132"/>
      <c r="Y116" s="465"/>
    </row>
    <row r="117" spans="1:25" ht="12.75" x14ac:dyDescent="0.2">
      <c r="A117" s="162" t="str">
        <f>Interview!A172</f>
        <v>V-RT-B-3-1</v>
      </c>
      <c r="B117" s="477"/>
      <c r="C117" s="271">
        <f>VLOOKUP(A117,'imp-questions'!A:H,5,FALSE)</f>
        <v>3</v>
      </c>
      <c r="D117" s="296" t="str">
        <f>VLOOKUP(A117,'imp-questions'!A:H,6,FALSE)</f>
        <v>Do you perform denial of service and security stress testing?</v>
      </c>
      <c r="E117" s="164" t="str">
        <f>CHAR(65+VLOOKUP(A117,'imp-questions'!A:H,8,FALSE))</f>
        <v>E</v>
      </c>
      <c r="F117" s="198">
        <f>Interview!F172</f>
        <v>0</v>
      </c>
      <c r="G117" s="185">
        <f>IFERROR(VLOOKUP(F117,AnsETBL,2,FALSE),0)</f>
        <v>0</v>
      </c>
      <c r="H117" s="132"/>
      <c r="I117" s="466"/>
      <c r="J117" s="306">
        <f t="shared" si="81"/>
        <v>0</v>
      </c>
      <c r="K117" s="185">
        <f>IFERROR(VLOOKUP(J117,AnsETBL,2,FALSE),0)</f>
        <v>0</v>
      </c>
      <c r="L117" s="132"/>
      <c r="M117" s="466"/>
      <c r="N117" s="306">
        <f t="shared" si="82"/>
        <v>0</v>
      </c>
      <c r="O117" s="185">
        <f>IFERROR(VLOOKUP(N117,AnsETBL,2,FALSE),0)</f>
        <v>0</v>
      </c>
      <c r="P117" s="132"/>
      <c r="Q117" s="466"/>
      <c r="R117" s="306">
        <f t="shared" si="83"/>
        <v>0</v>
      </c>
      <c r="S117" s="185">
        <f>IFERROR(VLOOKUP(R117,AnsETBL,2,FALSE),0)</f>
        <v>0</v>
      </c>
      <c r="T117" s="132"/>
      <c r="U117" s="466"/>
      <c r="V117" s="306">
        <f t="shared" si="84"/>
        <v>0</v>
      </c>
      <c r="W117" s="185">
        <f>IFERROR(VLOOKUP(V117,AnsETBL,2,FALSE),0)</f>
        <v>0</v>
      </c>
      <c r="X117" s="132"/>
      <c r="Y117" s="466"/>
    </row>
    <row r="118" spans="1:25" ht="12.75" x14ac:dyDescent="0.2">
      <c r="A118" s="162"/>
      <c r="B118" s="276"/>
      <c r="C118" s="262"/>
      <c r="D118" s="244"/>
      <c r="E118" s="244"/>
      <c r="F118" s="244"/>
      <c r="G118" s="244"/>
      <c r="H118" s="244"/>
      <c r="I118" s="242"/>
      <c r="J118" s="244"/>
      <c r="K118" s="244"/>
      <c r="L118" s="244"/>
      <c r="M118" s="242"/>
      <c r="N118" s="244"/>
      <c r="O118" s="244"/>
      <c r="P118" s="244"/>
      <c r="Q118" s="242"/>
      <c r="R118" s="244"/>
      <c r="S118" s="244"/>
      <c r="T118" s="244"/>
      <c r="U118" s="242"/>
      <c r="V118" s="244"/>
      <c r="W118" s="244"/>
      <c r="X118" s="244"/>
      <c r="Y118" s="242"/>
    </row>
    <row r="119" spans="1:25" x14ac:dyDescent="0.25">
      <c r="A119" s="162"/>
      <c r="B119" s="281" t="s">
        <v>503</v>
      </c>
      <c r="C119" s="270" t="s">
        <v>504</v>
      </c>
      <c r="D119" s="293" t="s">
        <v>28</v>
      </c>
      <c r="E119" s="224"/>
      <c r="F119" s="79" t="s">
        <v>34</v>
      </c>
      <c r="G119" s="79"/>
      <c r="H119" s="121"/>
      <c r="I119" s="254" t="s">
        <v>32</v>
      </c>
      <c r="J119" s="79" t="s">
        <v>34</v>
      </c>
      <c r="K119" s="79"/>
      <c r="L119" s="121"/>
      <c r="M119" s="254" t="s">
        <v>32</v>
      </c>
      <c r="N119" s="79" t="s">
        <v>34</v>
      </c>
      <c r="O119" s="79"/>
      <c r="P119" s="121"/>
      <c r="Q119" s="254" t="s">
        <v>32</v>
      </c>
      <c r="R119" s="79" t="s">
        <v>34</v>
      </c>
      <c r="S119" s="79"/>
      <c r="T119" s="121"/>
      <c r="U119" s="254" t="s">
        <v>32</v>
      </c>
      <c r="V119" s="79" t="s">
        <v>34</v>
      </c>
      <c r="W119" s="79"/>
      <c r="X119" s="121"/>
      <c r="Y119" s="254" t="s">
        <v>32</v>
      </c>
    </row>
    <row r="120" spans="1:25" ht="12.75" x14ac:dyDescent="0.2">
      <c r="A120" s="162" t="str">
        <f>Interview!A175</f>
        <v>V-ST-A-1-1</v>
      </c>
      <c r="B120" s="475" t="str">
        <f>VLOOKUP(A120,'imp-questions'!A:H,4,FALSE)</f>
        <v>Scalable Baseline</v>
      </c>
      <c r="C120" s="271">
        <f>VLOOKUP(A120,'imp-questions'!A:H,5,FALSE)</f>
        <v>1</v>
      </c>
      <c r="D120" s="202" t="str">
        <f>VLOOKUP(A120,'imp-questions'!A:H,6,FALSE)</f>
        <v>Do you scan applications with automated security testing tools?</v>
      </c>
      <c r="E120" s="164" t="str">
        <f>CHAR(65+VLOOKUP(A120,'imp-questions'!A:H,8,FALSE))</f>
        <v>B</v>
      </c>
      <c r="F120" s="193">
        <f>Interview!F175</f>
        <v>0</v>
      </c>
      <c r="G120" s="18">
        <f>IFERROR(VLOOKUP(F120,AnsBTBL,2,FALSE),0)</f>
        <v>0</v>
      </c>
      <c r="H120" s="301">
        <f>IFERROR(AVERAGE(G120,G124),0)</f>
        <v>0</v>
      </c>
      <c r="I120" s="464">
        <f>SUM(H120:H122)</f>
        <v>0</v>
      </c>
      <c r="J120" s="306">
        <f>F120</f>
        <v>0</v>
      </c>
      <c r="K120" s="18">
        <f>IFERROR(VLOOKUP(J120,AnsBTBL,2,FALSE),0)</f>
        <v>0</v>
      </c>
      <c r="L120" s="301">
        <f>IFERROR(AVERAGE(K120,K124),0)</f>
        <v>0</v>
      </c>
      <c r="M120" s="464">
        <f>SUM(L120:L122)</f>
        <v>0</v>
      </c>
      <c r="N120" s="306">
        <f>J120</f>
        <v>0</v>
      </c>
      <c r="O120" s="18">
        <f>IFERROR(VLOOKUP(N120,AnsBTBL,2,FALSE),0)</f>
        <v>0</v>
      </c>
      <c r="P120" s="301">
        <f>IFERROR(AVERAGE(O120,O124),0)</f>
        <v>0</v>
      </c>
      <c r="Q120" s="464">
        <f>SUM(P120:P122)</f>
        <v>0</v>
      </c>
      <c r="R120" s="306">
        <f>N120</f>
        <v>0</v>
      </c>
      <c r="S120" s="18">
        <f>IFERROR(VLOOKUP(R120,AnsBTBL,2,FALSE),0)</f>
        <v>0</v>
      </c>
      <c r="T120" s="301">
        <f>IFERROR(AVERAGE(S120,S124),0)</f>
        <v>0</v>
      </c>
      <c r="U120" s="464">
        <f>SUM(T120:T122)</f>
        <v>0</v>
      </c>
      <c r="V120" s="306">
        <f>R120</f>
        <v>0</v>
      </c>
      <c r="W120" s="18">
        <f>IFERROR(VLOOKUP(V120,AnsBTBL,2,FALSE),0)</f>
        <v>0</v>
      </c>
      <c r="X120" s="301">
        <f>IFERROR(AVERAGE(W120,W124),0)</f>
        <v>0</v>
      </c>
      <c r="Y120" s="464">
        <f>SUM(X120:X122)</f>
        <v>0</v>
      </c>
    </row>
    <row r="121" spans="1:25" ht="25.5" x14ac:dyDescent="0.2">
      <c r="A121" s="162" t="str">
        <f>Interview!A177</f>
        <v>V-ST-A-2-1</v>
      </c>
      <c r="B121" s="476"/>
      <c r="C121" s="271">
        <f>VLOOKUP(A121,'imp-questions'!A:H,5,FALSE)</f>
        <v>2</v>
      </c>
      <c r="D121" s="202" t="str">
        <f>VLOOKUP(A121,'imp-questions'!A:H,6,FALSE)</f>
        <v>Do you verify business logic with automated security tests, created from application security requirements?</v>
      </c>
      <c r="E121" s="164" t="str">
        <f>CHAR(65+VLOOKUP(A121,'imp-questions'!A:H,8,FALSE))</f>
        <v>B</v>
      </c>
      <c r="F121" s="198">
        <f>Interview!F177</f>
        <v>0</v>
      </c>
      <c r="G121" s="18">
        <f>IFERROR(VLOOKUP(F121,AnsBTBL,2,FALSE),0)</f>
        <v>0</v>
      </c>
      <c r="H121" s="301">
        <f>IFERROR(AVERAGE(G121,G125),0)</f>
        <v>0</v>
      </c>
      <c r="I121" s="465"/>
      <c r="J121" s="306">
        <f t="shared" ref="J121:J122" si="85">F121</f>
        <v>0</v>
      </c>
      <c r="K121" s="18">
        <f>IFERROR(VLOOKUP(J121,AnsBTBL,2,FALSE),0)</f>
        <v>0</v>
      </c>
      <c r="L121" s="301">
        <f>IFERROR(AVERAGE(K121,K125),0)</f>
        <v>0</v>
      </c>
      <c r="M121" s="465"/>
      <c r="N121" s="306">
        <f t="shared" ref="N121:N122" si="86">J121</f>
        <v>0</v>
      </c>
      <c r="O121" s="18">
        <f>IFERROR(VLOOKUP(N121,AnsBTBL,2,FALSE),0)</f>
        <v>0</v>
      </c>
      <c r="P121" s="301">
        <f>IFERROR(AVERAGE(O121,O125),0)</f>
        <v>0</v>
      </c>
      <c r="Q121" s="465"/>
      <c r="R121" s="306">
        <f t="shared" ref="R121:R122" si="87">N121</f>
        <v>0</v>
      </c>
      <c r="S121" s="18">
        <f>IFERROR(VLOOKUP(R121,AnsBTBL,2,FALSE),0)</f>
        <v>0</v>
      </c>
      <c r="T121" s="301">
        <f>IFERROR(AVERAGE(S121,S125),0)</f>
        <v>0</v>
      </c>
      <c r="U121" s="465"/>
      <c r="V121" s="306">
        <f t="shared" ref="V121:V122" si="88">R121</f>
        <v>0</v>
      </c>
      <c r="W121" s="18">
        <f>IFERROR(VLOOKUP(V121,AnsBTBL,2,FALSE),0)</f>
        <v>0</v>
      </c>
      <c r="X121" s="301">
        <f>IFERROR(AVERAGE(W121,W125),0)</f>
        <v>0</v>
      </c>
      <c r="Y121" s="465"/>
    </row>
    <row r="122" spans="1:25" ht="25.5" x14ac:dyDescent="0.2">
      <c r="A122" s="162" t="str">
        <f>Interview!A179</f>
        <v>V-ST-A-3-1</v>
      </c>
      <c r="B122" s="477"/>
      <c r="C122" s="271">
        <f>VLOOKUP(A122,'imp-questions'!A:H,5,FALSE)</f>
        <v>3</v>
      </c>
      <c r="D122" s="296" t="str">
        <f>VLOOKUP(A122,'imp-questions'!A:H,6,FALSE)</f>
        <v>Do you integrate automated security testing into the build and deploy process?</v>
      </c>
      <c r="E122" s="164" t="str">
        <f>CHAR(65+VLOOKUP(A122,'imp-questions'!A:H,8,FALSE))</f>
        <v>B</v>
      </c>
      <c r="F122" s="198">
        <f>Interview!F179</f>
        <v>0</v>
      </c>
      <c r="G122" s="18">
        <f>IFERROR(VLOOKUP(F122,AnsBTBL,2,FALSE),0)</f>
        <v>0</v>
      </c>
      <c r="H122" s="301">
        <f>IFERROR(AVERAGE(G122,G126),0)</f>
        <v>0</v>
      </c>
      <c r="I122" s="465"/>
      <c r="J122" s="306">
        <f t="shared" si="85"/>
        <v>0</v>
      </c>
      <c r="K122" s="18">
        <f>IFERROR(VLOOKUP(J122,AnsBTBL,2,FALSE),0)</f>
        <v>0</v>
      </c>
      <c r="L122" s="301">
        <f>IFERROR(AVERAGE(K122,K126),0)</f>
        <v>0</v>
      </c>
      <c r="M122" s="465"/>
      <c r="N122" s="306">
        <f t="shared" si="86"/>
        <v>0</v>
      </c>
      <c r="O122" s="18">
        <f>IFERROR(VLOOKUP(N122,AnsBTBL,2,FALSE),0)</f>
        <v>0</v>
      </c>
      <c r="P122" s="301">
        <f>IFERROR(AVERAGE(O122,O126),0)</f>
        <v>0</v>
      </c>
      <c r="Q122" s="465"/>
      <c r="R122" s="306">
        <f t="shared" si="87"/>
        <v>0</v>
      </c>
      <c r="S122" s="18">
        <f>IFERROR(VLOOKUP(R122,AnsBTBL,2,FALSE),0)</f>
        <v>0</v>
      </c>
      <c r="T122" s="301">
        <f>IFERROR(AVERAGE(S122,S126),0)</f>
        <v>0</v>
      </c>
      <c r="U122" s="465"/>
      <c r="V122" s="306">
        <f t="shared" si="88"/>
        <v>0</v>
      </c>
      <c r="W122" s="18">
        <f>IFERROR(VLOOKUP(V122,AnsBTBL,2,FALSE),0)</f>
        <v>0</v>
      </c>
      <c r="X122" s="301">
        <f>IFERROR(AVERAGE(W122,W126),0)</f>
        <v>0</v>
      </c>
      <c r="Y122" s="465"/>
    </row>
    <row r="123" spans="1:25" ht="12.75" x14ac:dyDescent="0.2">
      <c r="A123" s="162"/>
      <c r="B123" s="276"/>
      <c r="C123" s="262"/>
      <c r="D123" s="242"/>
      <c r="E123" s="242"/>
      <c r="F123" s="242"/>
      <c r="G123" s="242"/>
      <c r="H123" s="242"/>
      <c r="I123" s="465"/>
      <c r="J123" s="242"/>
      <c r="K123" s="242"/>
      <c r="L123" s="242"/>
      <c r="M123" s="465"/>
      <c r="N123" s="242"/>
      <c r="O123" s="242"/>
      <c r="P123" s="242"/>
      <c r="Q123" s="465"/>
      <c r="R123" s="242"/>
      <c r="S123" s="242"/>
      <c r="T123" s="242"/>
      <c r="U123" s="465"/>
      <c r="V123" s="242"/>
      <c r="W123" s="242"/>
      <c r="X123" s="242"/>
      <c r="Y123" s="465"/>
    </row>
    <row r="124" spans="1:25" ht="25.5" x14ac:dyDescent="0.2">
      <c r="A124" s="162" t="str">
        <f>Interview!A182</f>
        <v>V-ST-B-1-1</v>
      </c>
      <c r="B124" s="475" t="str">
        <f>VLOOKUP(A124,'imp-questions'!A:H,4,FALSE)</f>
        <v>Deep Understanding</v>
      </c>
      <c r="C124" s="271">
        <f>VLOOKUP(A124,'imp-questions'!A:H,5,FALSE)</f>
        <v>1</v>
      </c>
      <c r="D124" s="202" t="str">
        <f>VLOOKUP(A124,'imp-questions'!A:H,6,FALSE)</f>
        <v>Do you manually review the security quality of selected high-risk components?</v>
      </c>
      <c r="E124" s="164" t="str">
        <f>CHAR(65+VLOOKUP(A124,'imp-questions'!A:H,8,FALSE))</f>
        <v>B</v>
      </c>
      <c r="F124" s="193">
        <f>Interview!F182</f>
        <v>0</v>
      </c>
      <c r="G124" s="18">
        <f>IFERROR(VLOOKUP(F124,AnsBTBL,2,FALSE),0)</f>
        <v>0</v>
      </c>
      <c r="H124" s="132"/>
      <c r="I124" s="465"/>
      <c r="J124" s="306">
        <f>F124</f>
        <v>0</v>
      </c>
      <c r="K124" s="18">
        <f>IFERROR(VLOOKUP(J124,AnsBTBL,2,FALSE),0)</f>
        <v>0</v>
      </c>
      <c r="L124" s="132"/>
      <c r="M124" s="465"/>
      <c r="N124" s="306">
        <f>J124</f>
        <v>0</v>
      </c>
      <c r="O124" s="18">
        <f>IFERROR(VLOOKUP(N124,AnsBTBL,2,FALSE),0)</f>
        <v>0</v>
      </c>
      <c r="P124" s="132"/>
      <c r="Q124" s="465"/>
      <c r="R124" s="306">
        <f>N124</f>
        <v>0</v>
      </c>
      <c r="S124" s="18">
        <f>IFERROR(VLOOKUP(R124,AnsBTBL,2,FALSE),0)</f>
        <v>0</v>
      </c>
      <c r="T124" s="132"/>
      <c r="U124" s="465"/>
      <c r="V124" s="306">
        <f>R124</f>
        <v>0</v>
      </c>
      <c r="W124" s="18">
        <f>IFERROR(VLOOKUP(V124,AnsBTBL,2,FALSE),0)</f>
        <v>0</v>
      </c>
      <c r="X124" s="132"/>
      <c r="Y124" s="465"/>
    </row>
    <row r="125" spans="1:25" ht="25.5" x14ac:dyDescent="0.2">
      <c r="A125" s="162" t="str">
        <f>Interview!A184</f>
        <v>V-ST-B-2-1</v>
      </c>
      <c r="B125" s="476"/>
      <c r="C125" s="271">
        <f>VLOOKUP(A125,'imp-questions'!A:H,5,FALSE)</f>
        <v>2</v>
      </c>
      <c r="D125" s="202" t="str">
        <f>VLOOKUP(A125,'imp-questions'!A:H,6,FALSE)</f>
        <v>Do you perform penetration testing for your applications at regular intervals?</v>
      </c>
      <c r="E125" s="164" t="str">
        <f>CHAR(65+VLOOKUP(A125,'imp-questions'!A:H,8,FALSE))</f>
        <v>B</v>
      </c>
      <c r="F125" s="198">
        <f>Interview!F184</f>
        <v>0</v>
      </c>
      <c r="G125" s="18">
        <f>IFERROR(VLOOKUP(F125,AnsBTBL,2,FALSE),0)</f>
        <v>0</v>
      </c>
      <c r="H125" s="132"/>
      <c r="I125" s="465"/>
      <c r="J125" s="306">
        <f t="shared" ref="J125:J126" si="89">F125</f>
        <v>0</v>
      </c>
      <c r="K125" s="18">
        <f>IFERROR(VLOOKUP(J125,AnsBTBL,2,FALSE),0)</f>
        <v>0</v>
      </c>
      <c r="L125" s="132"/>
      <c r="M125" s="465"/>
      <c r="N125" s="306">
        <f t="shared" ref="N125:N126" si="90">J125</f>
        <v>0</v>
      </c>
      <c r="O125" s="18">
        <f>IFERROR(VLOOKUP(N125,AnsBTBL,2,FALSE),0)</f>
        <v>0</v>
      </c>
      <c r="P125" s="132"/>
      <c r="Q125" s="465"/>
      <c r="R125" s="306">
        <f t="shared" ref="R125:R126" si="91">N125</f>
        <v>0</v>
      </c>
      <c r="S125" s="18">
        <f>IFERROR(VLOOKUP(R125,AnsBTBL,2,FALSE),0)</f>
        <v>0</v>
      </c>
      <c r="T125" s="132"/>
      <c r="U125" s="465"/>
      <c r="V125" s="306">
        <f t="shared" ref="V125:V126" si="92">R125</f>
        <v>0</v>
      </c>
      <c r="W125" s="18">
        <f>IFERROR(VLOOKUP(V125,AnsBTBL,2,FALSE),0)</f>
        <v>0</v>
      </c>
      <c r="X125" s="132"/>
      <c r="Y125" s="465"/>
    </row>
    <row r="126" spans="1:25" ht="25.5" x14ac:dyDescent="0.2">
      <c r="A126" s="162" t="str">
        <f>Interview!A186</f>
        <v>V-ST-B-3-1</v>
      </c>
      <c r="B126" s="477"/>
      <c r="C126" s="271">
        <f>VLOOKUP(A126,'imp-questions'!A:H,5,FALSE)</f>
        <v>3</v>
      </c>
      <c r="D126" s="296" t="str">
        <f>VLOOKUP(A126,'imp-questions'!A:H,6,FALSE)</f>
        <v>Do you use the results of security testing to improve the development lifecycle?</v>
      </c>
      <c r="E126" s="164" t="str">
        <f>CHAR(65+VLOOKUP(A126,'imp-questions'!A:H,8,FALSE))</f>
        <v>E</v>
      </c>
      <c r="F126" s="198">
        <f>Interview!F186</f>
        <v>0</v>
      </c>
      <c r="G126" s="185">
        <f>IFERROR(VLOOKUP(F126,AnsBTBL,2,FALSE),0)</f>
        <v>0</v>
      </c>
      <c r="H126" s="132"/>
      <c r="I126" s="467"/>
      <c r="J126" s="306">
        <f t="shared" si="89"/>
        <v>0</v>
      </c>
      <c r="K126" s="185">
        <f>IFERROR(VLOOKUP(J126,AnsBTBL,2,FALSE),0)</f>
        <v>0</v>
      </c>
      <c r="L126" s="132"/>
      <c r="M126" s="467"/>
      <c r="N126" s="306">
        <f t="shared" si="90"/>
        <v>0</v>
      </c>
      <c r="O126" s="185">
        <f>IFERROR(VLOOKUP(N126,AnsBTBL,2,FALSE),0)</f>
        <v>0</v>
      </c>
      <c r="P126" s="132"/>
      <c r="Q126" s="467"/>
      <c r="R126" s="306">
        <f t="shared" si="91"/>
        <v>0</v>
      </c>
      <c r="S126" s="185">
        <f>IFERROR(VLOOKUP(R126,AnsBTBL,2,FALSE),0)</f>
        <v>0</v>
      </c>
      <c r="T126" s="132"/>
      <c r="U126" s="467"/>
      <c r="V126" s="306">
        <f t="shared" si="92"/>
        <v>0</v>
      </c>
      <c r="W126" s="185">
        <f>IFERROR(VLOOKUP(V126,AnsBTBL,2,FALSE),0)</f>
        <v>0</v>
      </c>
      <c r="X126" s="132"/>
      <c r="Y126" s="467"/>
    </row>
    <row r="127" spans="1:25" ht="12.75" x14ac:dyDescent="0.2">
      <c r="A127" s="162"/>
      <c r="B127" s="276"/>
      <c r="C127" s="262"/>
      <c r="D127" s="242"/>
      <c r="E127" s="242"/>
      <c r="F127" s="242"/>
      <c r="G127" s="242"/>
      <c r="H127" s="242"/>
      <c r="I127" s="242"/>
      <c r="J127" s="242"/>
      <c r="K127" s="242"/>
      <c r="L127" s="242"/>
      <c r="M127" s="242"/>
      <c r="N127" s="242"/>
      <c r="O127" s="242"/>
      <c r="P127" s="242"/>
      <c r="Q127" s="242"/>
      <c r="R127" s="242"/>
      <c r="S127" s="242"/>
      <c r="T127" s="242"/>
      <c r="U127" s="242"/>
      <c r="V127" s="242"/>
      <c r="W127" s="242"/>
      <c r="X127" s="242"/>
      <c r="Y127" s="242"/>
    </row>
    <row r="128" spans="1:25" ht="12.75" x14ac:dyDescent="0.2">
      <c r="A128" s="162"/>
      <c r="B128" s="272" t="s">
        <v>36</v>
      </c>
      <c r="C128" s="272"/>
      <c r="D128" s="243"/>
      <c r="E128" s="243"/>
      <c r="F128" s="486" t="s">
        <v>60</v>
      </c>
      <c r="G128" s="486"/>
      <c r="H128" s="486"/>
      <c r="I128" s="486"/>
      <c r="J128" s="485" t="s">
        <v>506</v>
      </c>
      <c r="K128" s="486"/>
      <c r="L128" s="486"/>
      <c r="M128" s="487"/>
      <c r="N128" s="485" t="s">
        <v>507</v>
      </c>
      <c r="O128" s="486"/>
      <c r="P128" s="486"/>
      <c r="Q128" s="487"/>
      <c r="R128" s="485" t="s">
        <v>508</v>
      </c>
      <c r="S128" s="486"/>
      <c r="T128" s="486"/>
      <c r="U128" s="487"/>
      <c r="V128" s="485" t="s">
        <v>509</v>
      </c>
      <c r="W128" s="486"/>
      <c r="X128" s="486"/>
      <c r="Y128" s="487"/>
    </row>
    <row r="129" spans="1:25" x14ac:dyDescent="0.25">
      <c r="A129" s="162"/>
      <c r="B129" s="282" t="s">
        <v>503</v>
      </c>
      <c r="C129" s="273" t="s">
        <v>504</v>
      </c>
      <c r="D129" s="294" t="s">
        <v>411</v>
      </c>
      <c r="E129" s="225"/>
      <c r="F129" s="82" t="s">
        <v>34</v>
      </c>
      <c r="G129" s="82"/>
      <c r="H129" s="122"/>
      <c r="I129" s="255" t="s">
        <v>32</v>
      </c>
      <c r="J129" s="82" t="s">
        <v>34</v>
      </c>
      <c r="K129" s="82"/>
      <c r="L129" s="122"/>
      <c r="M129" s="255" t="s">
        <v>32</v>
      </c>
      <c r="N129" s="82" t="s">
        <v>34</v>
      </c>
      <c r="O129" s="82"/>
      <c r="P129" s="122"/>
      <c r="Q129" s="255" t="s">
        <v>32</v>
      </c>
      <c r="R129" s="82" t="s">
        <v>34</v>
      </c>
      <c r="S129" s="82"/>
      <c r="T129" s="122"/>
      <c r="U129" s="255" t="s">
        <v>32</v>
      </c>
      <c r="V129" s="82" t="s">
        <v>34</v>
      </c>
      <c r="W129" s="82"/>
      <c r="X129" s="122"/>
      <c r="Y129" s="255" t="s">
        <v>32</v>
      </c>
    </row>
    <row r="130" spans="1:25" ht="12.75" x14ac:dyDescent="0.2">
      <c r="A130" s="162" t="str">
        <f>Interview!A190</f>
        <v>O-IM-A-1-1</v>
      </c>
      <c r="B130" s="468" t="str">
        <f>VLOOKUP(A130,'imp-questions'!A:H,4,FALSE)</f>
        <v>Incident Detection</v>
      </c>
      <c r="C130" s="274">
        <f>VLOOKUP(A130,'imp-questions'!A:H,5,FALSE)</f>
        <v>1</v>
      </c>
      <c r="D130" s="202" t="str">
        <f>VLOOKUP(A130,'imp-questions'!A:H,6,FALSE)</f>
        <v>Do you analyze log data for possible security incidents periodically?</v>
      </c>
      <c r="E130" s="164" t="str">
        <f>CHAR(65+VLOOKUP(A130,'imp-questions'!A:H,8,FALSE))</f>
        <v>A</v>
      </c>
      <c r="F130" s="193">
        <f>Interview!F190</f>
        <v>0</v>
      </c>
      <c r="G130" s="18">
        <f>IFERROR(VLOOKUP(F130,AnsATBL,2,FALSE),0)</f>
        <v>0</v>
      </c>
      <c r="H130" s="301">
        <f>IFERROR(AVERAGE(G130,G134),0)</f>
        <v>0</v>
      </c>
      <c r="I130" s="444">
        <f>SUM(H130:H132)</f>
        <v>0</v>
      </c>
      <c r="J130" s="306">
        <f>F130</f>
        <v>0</v>
      </c>
      <c r="K130" s="18">
        <f>IFERROR(VLOOKUP(J130,AnsATBL,2,FALSE),0)</f>
        <v>0</v>
      </c>
      <c r="L130" s="301">
        <f>IFERROR(AVERAGE(K130,K134),0)</f>
        <v>0</v>
      </c>
      <c r="M130" s="444">
        <f>SUM(L130:L132)</f>
        <v>0</v>
      </c>
      <c r="N130" s="306">
        <f>J130</f>
        <v>0</v>
      </c>
      <c r="O130" s="18">
        <f>IFERROR(VLOOKUP(N130,AnsATBL,2,FALSE),0)</f>
        <v>0</v>
      </c>
      <c r="P130" s="301">
        <f>IFERROR(AVERAGE(O130,O134),0)</f>
        <v>0</v>
      </c>
      <c r="Q130" s="444">
        <f>SUM(P130:P132)</f>
        <v>0</v>
      </c>
      <c r="R130" s="306">
        <f>N130</f>
        <v>0</v>
      </c>
      <c r="S130" s="18">
        <f>IFERROR(VLOOKUP(R130,AnsATBL,2,FALSE),0)</f>
        <v>0</v>
      </c>
      <c r="T130" s="301">
        <f>IFERROR(AVERAGE(S130,S134),0)</f>
        <v>0</v>
      </c>
      <c r="U130" s="444">
        <f>SUM(T130:T132)</f>
        <v>0</v>
      </c>
      <c r="V130" s="306">
        <f>R130</f>
        <v>0</v>
      </c>
      <c r="W130" s="18">
        <f>IFERROR(VLOOKUP(V130,AnsATBL,2,FALSE),0)</f>
        <v>0</v>
      </c>
      <c r="X130" s="301">
        <f>IFERROR(AVERAGE(W130,W134),0)</f>
        <v>0</v>
      </c>
      <c r="Y130" s="444">
        <f>SUM(X130:X132)</f>
        <v>0</v>
      </c>
    </row>
    <row r="131" spans="1:25" ht="12.75" x14ac:dyDescent="0.2">
      <c r="A131" s="162" t="str">
        <f>Interview!A192</f>
        <v>O-IM-A-2-1</v>
      </c>
      <c r="B131" s="469"/>
      <c r="C131" s="274">
        <f>VLOOKUP(A131,'imp-questions'!A:H,5,FALSE)</f>
        <v>2</v>
      </c>
      <c r="D131" s="202" t="str">
        <f>VLOOKUP(A131,'imp-questions'!A:H,6,FALSE)</f>
        <v>Do you follow a process for incident detection?</v>
      </c>
      <c r="E131" s="164" t="str">
        <f>CHAR(65+VLOOKUP(A131,'imp-questions'!A:H,8,FALSE))</f>
        <v>A</v>
      </c>
      <c r="F131" s="193">
        <f>Interview!F192</f>
        <v>0</v>
      </c>
      <c r="G131" s="18">
        <f>IFERROR(VLOOKUP(F131,AnsATBL,2,FALSE),0)</f>
        <v>0</v>
      </c>
      <c r="H131" s="301">
        <f>IFERROR(AVERAGE(G131,G135),0)</f>
        <v>0</v>
      </c>
      <c r="I131" s="445"/>
      <c r="J131" s="306">
        <f t="shared" ref="J131:J132" si="93">F131</f>
        <v>0</v>
      </c>
      <c r="K131" s="18">
        <f>IFERROR(VLOOKUP(J131,AnsATBL,2,FALSE),0)</f>
        <v>0</v>
      </c>
      <c r="L131" s="301">
        <f>IFERROR(AVERAGE(K131,K135),0)</f>
        <v>0</v>
      </c>
      <c r="M131" s="445"/>
      <c r="N131" s="306">
        <f t="shared" ref="N131:N132" si="94">J131</f>
        <v>0</v>
      </c>
      <c r="O131" s="18">
        <f>IFERROR(VLOOKUP(N131,AnsATBL,2,FALSE),0)</f>
        <v>0</v>
      </c>
      <c r="P131" s="301">
        <f>IFERROR(AVERAGE(O131,O135),0)</f>
        <v>0</v>
      </c>
      <c r="Q131" s="445"/>
      <c r="R131" s="306">
        <f t="shared" ref="R131:R132" si="95">N131</f>
        <v>0</v>
      </c>
      <c r="S131" s="18">
        <f>IFERROR(VLOOKUP(R131,AnsATBL,2,FALSE),0)</f>
        <v>0</v>
      </c>
      <c r="T131" s="301">
        <f>IFERROR(AVERAGE(S131,S135),0)</f>
        <v>0</v>
      </c>
      <c r="U131" s="445"/>
      <c r="V131" s="306">
        <f t="shared" ref="V131:V132" si="96">R131</f>
        <v>0</v>
      </c>
      <c r="W131" s="18">
        <f>IFERROR(VLOOKUP(V131,AnsATBL,2,FALSE),0)</f>
        <v>0</v>
      </c>
      <c r="X131" s="301">
        <f>IFERROR(AVERAGE(W131,W135),0)</f>
        <v>0</v>
      </c>
      <c r="Y131" s="445"/>
    </row>
    <row r="132" spans="1:25" ht="12.75" x14ac:dyDescent="0.2">
      <c r="A132" s="162" t="str">
        <f>Interview!A194</f>
        <v>O-IM-A-3-1</v>
      </c>
      <c r="B132" s="470"/>
      <c r="C132" s="274">
        <f>VLOOKUP(A132,'imp-questions'!A:H,5,FALSE)</f>
        <v>3</v>
      </c>
      <c r="D132" s="296" t="str">
        <f>VLOOKUP(A132,'imp-questions'!A:H,6,FALSE)</f>
        <v>Do you review and update the incident detection process regularly?</v>
      </c>
      <c r="E132" s="164" t="str">
        <f>CHAR(65+VLOOKUP(A132,'imp-questions'!A:H,8,FALSE))</f>
        <v>A</v>
      </c>
      <c r="F132" s="193">
        <f>Interview!F194</f>
        <v>0</v>
      </c>
      <c r="G132" s="18">
        <f>IFERROR(VLOOKUP(F132,AnsATBL,2,FALSE),0)</f>
        <v>0</v>
      </c>
      <c r="H132" s="301">
        <f>IFERROR(AVERAGE(G132,G136),0)</f>
        <v>0</v>
      </c>
      <c r="I132" s="445"/>
      <c r="J132" s="306">
        <f t="shared" si="93"/>
        <v>0</v>
      </c>
      <c r="K132" s="18">
        <f>IFERROR(VLOOKUP(J132,AnsATBL,2,FALSE),0)</f>
        <v>0</v>
      </c>
      <c r="L132" s="301">
        <f>IFERROR(AVERAGE(K132,K136),0)</f>
        <v>0</v>
      </c>
      <c r="M132" s="445"/>
      <c r="N132" s="306">
        <f t="shared" si="94"/>
        <v>0</v>
      </c>
      <c r="O132" s="18">
        <f>IFERROR(VLOOKUP(N132,AnsATBL,2,FALSE),0)</f>
        <v>0</v>
      </c>
      <c r="P132" s="301">
        <f>IFERROR(AVERAGE(O132,O136),0)</f>
        <v>0</v>
      </c>
      <c r="Q132" s="445"/>
      <c r="R132" s="306">
        <f t="shared" si="95"/>
        <v>0</v>
      </c>
      <c r="S132" s="18">
        <f>IFERROR(VLOOKUP(R132,AnsATBL,2,FALSE),0)</f>
        <v>0</v>
      </c>
      <c r="T132" s="301">
        <f>IFERROR(AVERAGE(S132,S136),0)</f>
        <v>0</v>
      </c>
      <c r="U132" s="445"/>
      <c r="V132" s="306">
        <f t="shared" si="96"/>
        <v>0</v>
      </c>
      <c r="W132" s="18">
        <f>IFERROR(VLOOKUP(V132,AnsATBL,2,FALSE),0)</f>
        <v>0</v>
      </c>
      <c r="X132" s="301">
        <f>IFERROR(AVERAGE(W132,W136),0)</f>
        <v>0</v>
      </c>
      <c r="Y132" s="445"/>
    </row>
    <row r="133" spans="1:25" ht="12.75" x14ac:dyDescent="0.2">
      <c r="A133" s="162"/>
      <c r="B133" s="279"/>
      <c r="C133" s="262"/>
      <c r="D133" s="242"/>
      <c r="E133" s="242"/>
      <c r="F133" s="242"/>
      <c r="G133" s="242"/>
      <c r="H133" s="242"/>
      <c r="I133" s="445"/>
      <c r="J133" s="242"/>
      <c r="K133" s="242"/>
      <c r="L133" s="242"/>
      <c r="M133" s="445"/>
      <c r="N133" s="242"/>
      <c r="O133" s="242"/>
      <c r="P133" s="242"/>
      <c r="Q133" s="445"/>
      <c r="R133" s="242"/>
      <c r="S133" s="242"/>
      <c r="T133" s="242"/>
      <c r="U133" s="445"/>
      <c r="V133" s="242"/>
      <c r="W133" s="242"/>
      <c r="X133" s="242"/>
      <c r="Y133" s="445"/>
    </row>
    <row r="134" spans="1:25" ht="12.75" x14ac:dyDescent="0.2">
      <c r="A134" s="162" t="str">
        <f>Interview!A197</f>
        <v>O-IM-B-1-1</v>
      </c>
      <c r="B134" s="468" t="str">
        <f>VLOOKUP(A134,'imp-questions'!A:H,4,FALSE)</f>
        <v>Incident Response</v>
      </c>
      <c r="C134" s="274">
        <f>VLOOKUP(A134,'imp-questions'!A:H,5,FALSE)</f>
        <v>1</v>
      </c>
      <c r="D134" s="202" t="str">
        <f>VLOOKUP(A134,'imp-questions'!A:H,6,FALSE)</f>
        <v>Do you respond upon detected incidents?</v>
      </c>
      <c r="E134" s="164" t="str">
        <f>CHAR(65+VLOOKUP(A134,'imp-questions'!A:H,8,FALSE))</f>
        <v>H</v>
      </c>
      <c r="F134" s="298">
        <f>Interview!F197</f>
        <v>0</v>
      </c>
      <c r="G134" s="18">
        <f>IFERROR(VLOOKUP(F134,AnsHTBL,2,FALSE),0)</f>
        <v>0</v>
      </c>
      <c r="H134" s="132"/>
      <c r="I134" s="445"/>
      <c r="J134" s="306">
        <f>F134</f>
        <v>0</v>
      </c>
      <c r="K134" s="18">
        <f>IFERROR(VLOOKUP(J134,AnsHTBL,2,FALSE),0)</f>
        <v>0</v>
      </c>
      <c r="L134" s="132"/>
      <c r="M134" s="445"/>
      <c r="N134" s="306">
        <f>J134</f>
        <v>0</v>
      </c>
      <c r="O134" s="18">
        <f>IFERROR(VLOOKUP(N134,AnsHTBL,2,FALSE),0)</f>
        <v>0</v>
      </c>
      <c r="P134" s="132"/>
      <c r="Q134" s="445"/>
      <c r="R134" s="306">
        <f>N134</f>
        <v>0</v>
      </c>
      <c r="S134" s="18">
        <f>IFERROR(VLOOKUP(R134,AnsHTBL,2,FALSE),0)</f>
        <v>0</v>
      </c>
      <c r="T134" s="132"/>
      <c r="U134" s="445"/>
      <c r="V134" s="306">
        <f>R134</f>
        <v>0</v>
      </c>
      <c r="W134" s="18">
        <f>IFERROR(VLOOKUP(V134,AnsHTBL,2,FALSE),0)</f>
        <v>0</v>
      </c>
      <c r="X134" s="132"/>
      <c r="Y134" s="445"/>
    </row>
    <row r="135" spans="1:25" ht="12.75" x14ac:dyDescent="0.2">
      <c r="A135" s="162" t="str">
        <f>Interview!A199</f>
        <v>O-IM-B-2-1</v>
      </c>
      <c r="B135" s="469"/>
      <c r="C135" s="274">
        <f>VLOOKUP(A135,'imp-questions'!A:H,5,FALSE)</f>
        <v>2</v>
      </c>
      <c r="D135" s="202" t="str">
        <f>VLOOKUP(A135,'imp-questions'!A:H,6,FALSE)</f>
        <v>Do you have a repeatable process for incident handling?</v>
      </c>
      <c r="E135" s="164" t="str">
        <f>CHAR(65+VLOOKUP(A135,'imp-questions'!A:H,8,FALSE))</f>
        <v>I</v>
      </c>
      <c r="F135" s="198">
        <f>Interview!F199</f>
        <v>0</v>
      </c>
      <c r="G135" s="18">
        <f>IFERROR(VLOOKUP(F135,AnsITBL,2,FALSE),0)</f>
        <v>0</v>
      </c>
      <c r="H135" s="132"/>
      <c r="I135" s="445"/>
      <c r="J135" s="306">
        <f t="shared" ref="J135:J136" si="97">F135</f>
        <v>0</v>
      </c>
      <c r="K135" s="18">
        <f>IFERROR(VLOOKUP(J135,AnsITBL,2,FALSE),0)</f>
        <v>0</v>
      </c>
      <c r="L135" s="132"/>
      <c r="M135" s="445"/>
      <c r="N135" s="306">
        <f t="shared" ref="N135:N136" si="98">J135</f>
        <v>0</v>
      </c>
      <c r="O135" s="18">
        <f>IFERROR(VLOOKUP(N135,AnsITBL,2,FALSE),0)</f>
        <v>0</v>
      </c>
      <c r="P135" s="132"/>
      <c r="Q135" s="445"/>
      <c r="R135" s="306">
        <f t="shared" ref="R135:R136" si="99">N135</f>
        <v>0</v>
      </c>
      <c r="S135" s="18">
        <f>IFERROR(VLOOKUP(R135,AnsITBL,2,FALSE),0)</f>
        <v>0</v>
      </c>
      <c r="T135" s="132"/>
      <c r="U135" s="445"/>
      <c r="V135" s="306">
        <f t="shared" ref="V135:V136" si="100">R135</f>
        <v>0</v>
      </c>
      <c r="W135" s="18">
        <f>IFERROR(VLOOKUP(V135,AnsITBL,2,FALSE),0)</f>
        <v>0</v>
      </c>
      <c r="X135" s="132"/>
      <c r="Y135" s="445"/>
    </row>
    <row r="136" spans="1:25" ht="12.75" x14ac:dyDescent="0.2">
      <c r="A136" s="162" t="str">
        <f>Interview!A201</f>
        <v>O-IM-B-3-1</v>
      </c>
      <c r="B136" s="469"/>
      <c r="C136" s="274">
        <f>VLOOKUP(A136,'imp-questions'!A:H,5,FALSE)</f>
        <v>3</v>
      </c>
      <c r="D136" s="296" t="str">
        <f>VLOOKUP(A136,'imp-questions'!A:H,6,FALSE)</f>
        <v>Is there a dedicated incident response team available?</v>
      </c>
      <c r="E136" s="164" t="str">
        <f>CHAR(65+VLOOKUP(A136,'imp-questions'!A:H,8,FALSE))</f>
        <v>E</v>
      </c>
      <c r="F136" s="198">
        <f>Interview!F201</f>
        <v>0</v>
      </c>
      <c r="G136" s="18">
        <f>IFERROR(VLOOKUP(F136,AnsETBL,2,FALSE),0)</f>
        <v>0</v>
      </c>
      <c r="H136" s="132"/>
      <c r="I136" s="446"/>
      <c r="J136" s="306">
        <f t="shared" si="97"/>
        <v>0</v>
      </c>
      <c r="K136" s="18">
        <f>IFERROR(VLOOKUP(J136,AnsETBL,2,FALSE),0)</f>
        <v>0</v>
      </c>
      <c r="L136" s="132"/>
      <c r="M136" s="446"/>
      <c r="N136" s="306">
        <f t="shared" si="98"/>
        <v>0</v>
      </c>
      <c r="O136" s="18">
        <f>IFERROR(VLOOKUP(N136,AnsETBL,2,FALSE),0)</f>
        <v>0</v>
      </c>
      <c r="P136" s="132"/>
      <c r="Q136" s="446"/>
      <c r="R136" s="306">
        <f t="shared" si="99"/>
        <v>0</v>
      </c>
      <c r="S136" s="18">
        <f>IFERROR(VLOOKUP(R136,AnsETBL,2,FALSE),0)</f>
        <v>0</v>
      </c>
      <c r="T136" s="132"/>
      <c r="U136" s="446"/>
      <c r="V136" s="306">
        <f t="shared" si="100"/>
        <v>0</v>
      </c>
      <c r="W136" s="18">
        <f>IFERROR(VLOOKUP(V136,AnsETBL,2,FALSE),0)</f>
        <v>0</v>
      </c>
      <c r="X136" s="132"/>
      <c r="Y136" s="446"/>
    </row>
    <row r="137" spans="1:25" ht="12.75" x14ac:dyDescent="0.2">
      <c r="A137" s="162"/>
      <c r="B137" s="279"/>
      <c r="C137" s="262"/>
      <c r="D137" s="242"/>
      <c r="E137" s="242"/>
      <c r="F137" s="242"/>
      <c r="G137" s="242"/>
      <c r="H137" s="242"/>
      <c r="I137" s="242"/>
      <c r="J137" s="242"/>
      <c r="K137" s="242"/>
      <c r="L137" s="242"/>
      <c r="M137" s="242"/>
      <c r="N137" s="242"/>
      <c r="O137" s="242"/>
      <c r="P137" s="242"/>
      <c r="Q137" s="242"/>
      <c r="R137" s="242"/>
      <c r="S137" s="242"/>
      <c r="T137" s="242"/>
      <c r="U137" s="242"/>
      <c r="V137" s="242"/>
      <c r="W137" s="242"/>
      <c r="X137" s="242"/>
      <c r="Y137" s="242"/>
    </row>
    <row r="138" spans="1:25" x14ac:dyDescent="0.25">
      <c r="A138" s="162"/>
      <c r="B138" s="282" t="s">
        <v>503</v>
      </c>
      <c r="C138" s="273" t="s">
        <v>504</v>
      </c>
      <c r="D138" s="295" t="s">
        <v>432</v>
      </c>
      <c r="E138" s="226"/>
      <c r="F138" s="84" t="s">
        <v>34</v>
      </c>
      <c r="G138" s="84"/>
      <c r="H138" s="123"/>
      <c r="I138" s="255" t="s">
        <v>32</v>
      </c>
      <c r="J138" s="84" t="s">
        <v>34</v>
      </c>
      <c r="K138" s="84"/>
      <c r="L138" s="123"/>
      <c r="M138" s="255" t="s">
        <v>32</v>
      </c>
      <c r="N138" s="84" t="s">
        <v>34</v>
      </c>
      <c r="O138" s="84"/>
      <c r="P138" s="123"/>
      <c r="Q138" s="255" t="s">
        <v>32</v>
      </c>
      <c r="R138" s="84" t="s">
        <v>34</v>
      </c>
      <c r="S138" s="84"/>
      <c r="T138" s="123"/>
      <c r="U138" s="255" t="s">
        <v>32</v>
      </c>
      <c r="V138" s="84" t="s">
        <v>34</v>
      </c>
      <c r="W138" s="84"/>
      <c r="X138" s="123"/>
      <c r="Y138" s="255" t="s">
        <v>32</v>
      </c>
    </row>
    <row r="139" spans="1:25" ht="25.5" x14ac:dyDescent="0.2">
      <c r="A139" s="162" t="str">
        <f>Interview!A204</f>
        <v>O-EM-A-1-1</v>
      </c>
      <c r="B139" s="468" t="str">
        <f>VLOOKUP(A139,'imp-questions'!A:H,4,FALSE)</f>
        <v>Configuration Hardening</v>
      </c>
      <c r="C139" s="274">
        <f>VLOOKUP(A139,'imp-questions'!A:H,5,FALSE)</f>
        <v>1</v>
      </c>
      <c r="D139" s="202" t="str">
        <f>VLOOKUP(A139,'imp-questions'!A:H,6,FALSE)</f>
        <v>Do you harden configurations for key components across your whole technology stack?</v>
      </c>
      <c r="E139" s="164" t="str">
        <f>CHAR(65+VLOOKUP(A139,'imp-questions'!A:H,8,FALSE))</f>
        <v>A</v>
      </c>
      <c r="F139" s="193">
        <f>Interview!F204</f>
        <v>0</v>
      </c>
      <c r="G139" s="18">
        <f>IFERROR(VLOOKUP(F139,AnsATBL,2,FALSE),0)</f>
        <v>0</v>
      </c>
      <c r="H139" s="301">
        <f>IFERROR(AVERAGE(G139,G143),0)</f>
        <v>0</v>
      </c>
      <c r="I139" s="444">
        <f>SUM(H139:H141)</f>
        <v>0</v>
      </c>
      <c r="J139" s="306">
        <f>F139</f>
        <v>0</v>
      </c>
      <c r="K139" s="18">
        <f>IFERROR(VLOOKUP(J139,AnsATBL,2,FALSE),0)</f>
        <v>0</v>
      </c>
      <c r="L139" s="301">
        <f>IFERROR(AVERAGE(K139,K143),0)</f>
        <v>0</v>
      </c>
      <c r="M139" s="444">
        <f>SUM(L139:L141)</f>
        <v>0</v>
      </c>
      <c r="N139" s="306">
        <f>J139</f>
        <v>0</v>
      </c>
      <c r="O139" s="18">
        <f>IFERROR(VLOOKUP(N139,AnsATBL,2,FALSE),0)</f>
        <v>0</v>
      </c>
      <c r="P139" s="301">
        <f>IFERROR(AVERAGE(O139,O143),0)</f>
        <v>0</v>
      </c>
      <c r="Q139" s="444">
        <f>SUM(P139:P141)</f>
        <v>0</v>
      </c>
      <c r="R139" s="306">
        <f>N139</f>
        <v>0</v>
      </c>
      <c r="S139" s="18">
        <f>IFERROR(VLOOKUP(R139,AnsATBL,2,FALSE),0)</f>
        <v>0</v>
      </c>
      <c r="T139" s="301">
        <f>IFERROR(AVERAGE(S139,S143),0)</f>
        <v>0</v>
      </c>
      <c r="U139" s="444">
        <f>SUM(T139:T141)</f>
        <v>0</v>
      </c>
      <c r="V139" s="306">
        <f>R139</f>
        <v>0</v>
      </c>
      <c r="W139" s="18">
        <f>IFERROR(VLOOKUP(V139,AnsATBL,2,FALSE),0)</f>
        <v>0</v>
      </c>
      <c r="X139" s="301">
        <f>IFERROR(AVERAGE(W139,W143),0)</f>
        <v>0</v>
      </c>
      <c r="Y139" s="444">
        <f>SUM(X139:X141)</f>
        <v>0</v>
      </c>
    </row>
    <row r="140" spans="1:25" ht="12.75" x14ac:dyDescent="0.2">
      <c r="A140" s="162" t="str">
        <f>Interview!A206</f>
        <v>O-EM-A-2-1</v>
      </c>
      <c r="B140" s="469"/>
      <c r="C140" s="274">
        <f>VLOOKUP(A140,'imp-questions'!A:H,5,FALSE)</f>
        <v>2</v>
      </c>
      <c r="D140" s="202" t="str">
        <f>VLOOKUP(A140,'imp-questions'!A:H,6,FALSE)</f>
        <v>Do you maintain hardening baselines for your components?</v>
      </c>
      <c r="E140" s="164" t="str">
        <f>CHAR(65+VLOOKUP(A140,'imp-questions'!A:H,8,FALSE))</f>
        <v>G</v>
      </c>
      <c r="F140" s="19">
        <f>Interview!F206</f>
        <v>0</v>
      </c>
      <c r="G140" s="18">
        <f>IFERROR(VLOOKUP(F140,AnsGTBL,2,FALSE),0)</f>
        <v>0</v>
      </c>
      <c r="H140" s="301">
        <f>IFERROR(AVERAGE(G140,G144),0)</f>
        <v>0</v>
      </c>
      <c r="I140" s="445"/>
      <c r="J140" s="306">
        <f t="shared" ref="J140:J141" si="101">F140</f>
        <v>0</v>
      </c>
      <c r="K140" s="18">
        <f>IFERROR(VLOOKUP(J140,AnsGTBL,2,FALSE),0)</f>
        <v>0</v>
      </c>
      <c r="L140" s="301">
        <f>IFERROR(AVERAGE(K140,K144),0)</f>
        <v>0</v>
      </c>
      <c r="M140" s="445"/>
      <c r="N140" s="306">
        <f t="shared" ref="N140:N141" si="102">J140</f>
        <v>0</v>
      </c>
      <c r="O140" s="18">
        <f>IFERROR(VLOOKUP(N140,AnsGTBL,2,FALSE),0)</f>
        <v>0</v>
      </c>
      <c r="P140" s="301">
        <f>IFERROR(AVERAGE(O140,O144),0)</f>
        <v>0</v>
      </c>
      <c r="Q140" s="445"/>
      <c r="R140" s="306">
        <f t="shared" ref="R140:R141" si="103">N140</f>
        <v>0</v>
      </c>
      <c r="S140" s="18">
        <f>IFERROR(VLOOKUP(R140,AnsGTBL,2,FALSE),0)</f>
        <v>0</v>
      </c>
      <c r="T140" s="301">
        <f>IFERROR(AVERAGE(S140,S144),0)</f>
        <v>0</v>
      </c>
      <c r="U140" s="445"/>
      <c r="V140" s="306">
        <f t="shared" ref="V140:V141" si="104">R140</f>
        <v>0</v>
      </c>
      <c r="W140" s="18">
        <f>IFERROR(VLOOKUP(V140,AnsGTBL,2,FALSE),0)</f>
        <v>0</v>
      </c>
      <c r="X140" s="301">
        <f>IFERROR(AVERAGE(W140,W144),0)</f>
        <v>0</v>
      </c>
      <c r="Y140" s="445"/>
    </row>
    <row r="141" spans="1:25" ht="12.75" x14ac:dyDescent="0.2">
      <c r="A141" s="162" t="str">
        <f>Interview!A208</f>
        <v>O-EM-A-3-1</v>
      </c>
      <c r="B141" s="470"/>
      <c r="C141" s="274">
        <f>VLOOKUP(A141,'imp-questions'!A:H,5,FALSE)</f>
        <v>3</v>
      </c>
      <c r="D141" s="296" t="str">
        <f>VLOOKUP(A141,'imp-questions'!A:H,6,FALSE)</f>
        <v>Do you evaluate and track conformity with the hardening baselines?</v>
      </c>
      <c r="E141" s="164" t="str">
        <f>CHAR(65+VLOOKUP(A141,'imp-questions'!A:H,8,FALSE))</f>
        <v>A</v>
      </c>
      <c r="F141" s="193">
        <f>Interview!F208</f>
        <v>0</v>
      </c>
      <c r="G141" s="18">
        <f>IFERROR(VLOOKUP(F141,AnsATBL,2,FALSE),0)</f>
        <v>0</v>
      </c>
      <c r="H141" s="301">
        <f>IFERROR(AVERAGE(G141,G145),0)</f>
        <v>0</v>
      </c>
      <c r="I141" s="445"/>
      <c r="J141" s="306">
        <f t="shared" si="101"/>
        <v>0</v>
      </c>
      <c r="K141" s="18">
        <f>IFERROR(VLOOKUP(J141,AnsATBL,2,FALSE),0)</f>
        <v>0</v>
      </c>
      <c r="L141" s="301">
        <f>IFERROR(AVERAGE(K141,K145),0)</f>
        <v>0</v>
      </c>
      <c r="M141" s="445"/>
      <c r="N141" s="306">
        <f t="shared" si="102"/>
        <v>0</v>
      </c>
      <c r="O141" s="18">
        <f>IFERROR(VLOOKUP(N141,AnsATBL,2,FALSE),0)</f>
        <v>0</v>
      </c>
      <c r="P141" s="301">
        <f>IFERROR(AVERAGE(O141,O145),0)</f>
        <v>0</v>
      </c>
      <c r="Q141" s="445"/>
      <c r="R141" s="306">
        <f t="shared" si="103"/>
        <v>0</v>
      </c>
      <c r="S141" s="18">
        <f>IFERROR(VLOOKUP(R141,AnsATBL,2,FALSE),0)</f>
        <v>0</v>
      </c>
      <c r="T141" s="301">
        <f>IFERROR(AVERAGE(S141,S145),0)</f>
        <v>0</v>
      </c>
      <c r="U141" s="445"/>
      <c r="V141" s="306">
        <f t="shared" si="104"/>
        <v>0</v>
      </c>
      <c r="W141" s="18">
        <f>IFERROR(VLOOKUP(V141,AnsATBL,2,FALSE),0)</f>
        <v>0</v>
      </c>
      <c r="X141" s="301">
        <f>IFERROR(AVERAGE(W141,W145),0)</f>
        <v>0</v>
      </c>
      <c r="Y141" s="445"/>
    </row>
    <row r="142" spans="1:25" ht="12.75" x14ac:dyDescent="0.2">
      <c r="A142" s="162"/>
      <c r="B142" s="279"/>
      <c r="C142" s="262"/>
      <c r="D142" s="242"/>
      <c r="E142" s="242"/>
      <c r="F142" s="242"/>
      <c r="G142" s="242"/>
      <c r="H142" s="242"/>
      <c r="I142" s="445"/>
      <c r="J142" s="242"/>
      <c r="K142" s="242"/>
      <c r="L142" s="242"/>
      <c r="M142" s="445"/>
      <c r="N142" s="242"/>
      <c r="O142" s="242"/>
      <c r="P142" s="242"/>
      <c r="Q142" s="445"/>
      <c r="R142" s="242"/>
      <c r="S142" s="242"/>
      <c r="T142" s="242"/>
      <c r="U142" s="445"/>
      <c r="V142" s="242"/>
      <c r="W142" s="242"/>
      <c r="X142" s="242"/>
      <c r="Y142" s="445"/>
    </row>
    <row r="143" spans="1:25" ht="12.75" x14ac:dyDescent="0.2">
      <c r="A143" s="162" t="str">
        <f>Interview!A211</f>
        <v>O-EM-B-1-1</v>
      </c>
      <c r="B143" s="468" t="str">
        <f>VLOOKUP(A143,'imp-questions'!A:H,4,FALSE)</f>
        <v>Patching and Updating</v>
      </c>
      <c r="C143" s="274">
        <f>VLOOKUP(A143,'imp-questions'!A:H,5,FALSE)</f>
        <v>1</v>
      </c>
      <c r="D143" s="202" t="str">
        <f>VLOOKUP(A143,'imp-questions'!A:H,6,FALSE)</f>
        <v>Do you identify and patch vulnerable components?</v>
      </c>
      <c r="E143" s="164" t="str">
        <f>CHAR(65+VLOOKUP(A143,'imp-questions'!A:H,8,FALSE))</f>
        <v>G</v>
      </c>
      <c r="F143" s="298">
        <f>Interview!F211</f>
        <v>0</v>
      </c>
      <c r="G143" s="18">
        <f>IFERROR(VLOOKUP(F143,AnsGTBL,2,FALSE),0)</f>
        <v>0</v>
      </c>
      <c r="H143" s="132"/>
      <c r="I143" s="445"/>
      <c r="J143" s="306">
        <f>F143</f>
        <v>0</v>
      </c>
      <c r="K143" s="18">
        <f>IFERROR(VLOOKUP(J143,AnsGTBL,2,FALSE),0)</f>
        <v>0</v>
      </c>
      <c r="L143" s="132"/>
      <c r="M143" s="445"/>
      <c r="N143" s="306">
        <f>J143</f>
        <v>0</v>
      </c>
      <c r="O143" s="18">
        <f>IFERROR(VLOOKUP(N143,AnsGTBL,2,FALSE),0)</f>
        <v>0</v>
      </c>
      <c r="P143" s="132"/>
      <c r="Q143" s="445"/>
      <c r="R143" s="306">
        <f>N143</f>
        <v>0</v>
      </c>
      <c r="S143" s="18">
        <f>IFERROR(VLOOKUP(R143,AnsGTBL,2,FALSE),0)</f>
        <v>0</v>
      </c>
      <c r="T143" s="132"/>
      <c r="U143" s="445"/>
      <c r="V143" s="306">
        <f>R143</f>
        <v>0</v>
      </c>
      <c r="W143" s="18">
        <f>IFERROR(VLOOKUP(V143,AnsGTBL,2,FALSE),0)</f>
        <v>0</v>
      </c>
      <c r="X143" s="132"/>
      <c r="Y143" s="445"/>
    </row>
    <row r="144" spans="1:25" ht="25.5" x14ac:dyDescent="0.2">
      <c r="A144" s="162" t="str">
        <f>Interview!A213</f>
        <v>O-EM-B-2-1</v>
      </c>
      <c r="B144" s="469"/>
      <c r="C144" s="274">
        <f>VLOOKUP(A144,'imp-questions'!A:H,5,FALSE)</f>
        <v>2</v>
      </c>
      <c r="D144" s="202" t="str">
        <f>VLOOKUP(A144,'imp-questions'!A:H,6,FALSE)</f>
        <v>Do you follow an established process for updating components across your whole technology stack?</v>
      </c>
      <c r="E144" s="164" t="str">
        <f>CHAR(65+VLOOKUP(A144,'imp-questions'!A:H,8,FALSE))</f>
        <v>G</v>
      </c>
      <c r="F144" s="198">
        <f>Interview!F213</f>
        <v>0</v>
      </c>
      <c r="G144" s="18">
        <f>IFERROR(VLOOKUP(F144,AnsGTBL,2,FALSE),0)</f>
        <v>0</v>
      </c>
      <c r="H144" s="132"/>
      <c r="I144" s="445"/>
      <c r="J144" s="306">
        <f t="shared" ref="J144:J145" si="105">F144</f>
        <v>0</v>
      </c>
      <c r="K144" s="18">
        <f>IFERROR(VLOOKUP(J144,AnsGTBL,2,FALSE),0)</f>
        <v>0</v>
      </c>
      <c r="L144" s="132"/>
      <c r="M144" s="445"/>
      <c r="N144" s="306">
        <f t="shared" ref="N144:N145" si="106">J144</f>
        <v>0</v>
      </c>
      <c r="O144" s="18">
        <f>IFERROR(VLOOKUP(N144,AnsGTBL,2,FALSE),0)</f>
        <v>0</v>
      </c>
      <c r="P144" s="132"/>
      <c r="Q144" s="445"/>
      <c r="R144" s="306">
        <f t="shared" ref="R144:R145" si="107">N144</f>
        <v>0</v>
      </c>
      <c r="S144" s="18">
        <f>IFERROR(VLOOKUP(R144,AnsGTBL,2,FALSE),0)</f>
        <v>0</v>
      </c>
      <c r="T144" s="132"/>
      <c r="U144" s="445"/>
      <c r="V144" s="306">
        <f t="shared" ref="V144:V145" si="108">R144</f>
        <v>0</v>
      </c>
      <c r="W144" s="18">
        <f>IFERROR(VLOOKUP(V144,AnsGTBL,2,FALSE),0)</f>
        <v>0</v>
      </c>
      <c r="X144" s="132"/>
      <c r="Y144" s="445"/>
    </row>
    <row r="145" spans="1:25" ht="12.75" x14ac:dyDescent="0.2">
      <c r="A145" s="162" t="str">
        <f>Interview!A215</f>
        <v>O-EM-B-3-1</v>
      </c>
      <c r="B145" s="469"/>
      <c r="C145" s="274">
        <f>VLOOKUP(A145,'imp-questions'!A:H,5,FALSE)</f>
        <v>3</v>
      </c>
      <c r="D145" s="296" t="str">
        <f>VLOOKUP(A145,'imp-questions'!A:H,6,FALSE)</f>
        <v>Do you regularly evaluate components and review patch level status?</v>
      </c>
      <c r="E145" s="164" t="str">
        <f>CHAR(65+VLOOKUP(A145,'imp-questions'!A:H,8,FALSE))</f>
        <v>G</v>
      </c>
      <c r="F145" s="198">
        <f>Interview!F215</f>
        <v>0</v>
      </c>
      <c r="G145" s="18">
        <f>IFERROR(VLOOKUP(F145,AnsGTBL,2,FALSE),0)</f>
        <v>0</v>
      </c>
      <c r="H145" s="132"/>
      <c r="I145" s="446"/>
      <c r="J145" s="306">
        <f t="shared" si="105"/>
        <v>0</v>
      </c>
      <c r="K145" s="18">
        <f>IFERROR(VLOOKUP(J145,AnsGTBL,2,FALSE),0)</f>
        <v>0</v>
      </c>
      <c r="L145" s="132"/>
      <c r="M145" s="446"/>
      <c r="N145" s="306">
        <f t="shared" si="106"/>
        <v>0</v>
      </c>
      <c r="O145" s="18">
        <f>IFERROR(VLOOKUP(N145,AnsGTBL,2,FALSE),0)</f>
        <v>0</v>
      </c>
      <c r="P145" s="132"/>
      <c r="Q145" s="446"/>
      <c r="R145" s="306">
        <f t="shared" si="107"/>
        <v>0</v>
      </c>
      <c r="S145" s="18">
        <f>IFERROR(VLOOKUP(R145,AnsGTBL,2,FALSE),0)</f>
        <v>0</v>
      </c>
      <c r="T145" s="132"/>
      <c r="U145" s="446"/>
      <c r="V145" s="306">
        <f t="shared" si="108"/>
        <v>0</v>
      </c>
      <c r="W145" s="18">
        <f>IFERROR(VLOOKUP(V145,AnsGTBL,2,FALSE),0)</f>
        <v>0</v>
      </c>
      <c r="X145" s="132"/>
      <c r="Y145" s="446"/>
    </row>
    <row r="146" spans="1:25" ht="12.75" x14ac:dyDescent="0.2">
      <c r="A146" s="162"/>
      <c r="B146" s="279"/>
      <c r="C146" s="262"/>
      <c r="D146" s="242"/>
      <c r="E146" s="242"/>
      <c r="F146" s="242"/>
      <c r="G146" s="242"/>
      <c r="H146" s="242"/>
      <c r="I146" s="242"/>
      <c r="J146" s="242"/>
      <c r="K146" s="242"/>
      <c r="L146" s="242"/>
      <c r="M146" s="242"/>
      <c r="N146" s="242"/>
      <c r="O146" s="242"/>
      <c r="P146" s="242"/>
      <c r="Q146" s="242"/>
      <c r="R146" s="242"/>
      <c r="S146" s="242"/>
      <c r="T146" s="242"/>
      <c r="U146" s="242"/>
      <c r="V146" s="242"/>
      <c r="W146" s="242"/>
      <c r="X146" s="242"/>
      <c r="Y146" s="242"/>
    </row>
    <row r="147" spans="1:25" x14ac:dyDescent="0.25">
      <c r="A147" s="162"/>
      <c r="B147" s="282" t="s">
        <v>503</v>
      </c>
      <c r="C147" s="273" t="s">
        <v>504</v>
      </c>
      <c r="D147" s="295" t="s">
        <v>453</v>
      </c>
      <c r="E147" s="226"/>
      <c r="F147" s="84" t="s">
        <v>34</v>
      </c>
      <c r="G147" s="84"/>
      <c r="H147" s="123"/>
      <c r="I147" s="255" t="s">
        <v>32</v>
      </c>
      <c r="J147" s="84" t="s">
        <v>34</v>
      </c>
      <c r="K147" s="84"/>
      <c r="L147" s="123"/>
      <c r="M147" s="255" t="s">
        <v>32</v>
      </c>
      <c r="N147" s="84" t="s">
        <v>34</v>
      </c>
      <c r="O147" s="84"/>
      <c r="P147" s="123"/>
      <c r="Q147" s="255" t="s">
        <v>32</v>
      </c>
      <c r="R147" s="84" t="s">
        <v>34</v>
      </c>
      <c r="S147" s="84"/>
      <c r="T147" s="123"/>
      <c r="U147" s="255" t="s">
        <v>32</v>
      </c>
      <c r="V147" s="84" t="s">
        <v>34</v>
      </c>
      <c r="W147" s="84"/>
      <c r="X147" s="123"/>
      <c r="Y147" s="255" t="s">
        <v>32</v>
      </c>
    </row>
    <row r="148" spans="1:25" ht="25.5" x14ac:dyDescent="0.2">
      <c r="A148" s="162" t="str">
        <f>Interview!A218</f>
        <v>O-OM-A-1-1</v>
      </c>
      <c r="B148" s="468" t="str">
        <f>VLOOKUP(A148,'imp-questions'!A:H,4,FALSE)</f>
        <v>Data Protection</v>
      </c>
      <c r="C148" s="274">
        <f>VLOOKUP(A148,'imp-questions'!A:H,5,FALSE)</f>
        <v>1</v>
      </c>
      <c r="D148" s="202" t="str">
        <f>VLOOKUP(A148,'imp-questions'!A:H,6,FALSE)</f>
        <v>Do you protect and handle information according to protection requirements for data stored and processed on each application?</v>
      </c>
      <c r="E148" s="164" t="str">
        <f>CHAR(65+VLOOKUP(A148,'imp-questions'!A:H,8,FALSE))</f>
        <v>A</v>
      </c>
      <c r="F148" s="193">
        <f>Interview!F218</f>
        <v>0</v>
      </c>
      <c r="G148" s="18">
        <f>IFERROR(VLOOKUP(F148,AnsATBL,2,FALSE),0)</f>
        <v>0</v>
      </c>
      <c r="H148" s="301">
        <f>IFERROR(AVERAGE(G148,G152),0)</f>
        <v>0</v>
      </c>
      <c r="I148" s="444">
        <f>SUM(H148:H150)</f>
        <v>0</v>
      </c>
      <c r="J148" s="306">
        <f>F148</f>
        <v>0</v>
      </c>
      <c r="K148" s="18">
        <f>IFERROR(VLOOKUP(J148,AnsATBL,2,FALSE),0)</f>
        <v>0</v>
      </c>
      <c r="L148" s="301">
        <f>IFERROR(AVERAGE(K148,K152),0)</f>
        <v>0</v>
      </c>
      <c r="M148" s="444">
        <f>SUM(L148:L150)</f>
        <v>0</v>
      </c>
      <c r="N148" s="306">
        <f>J148</f>
        <v>0</v>
      </c>
      <c r="O148" s="18">
        <f>IFERROR(VLOOKUP(N148,AnsATBL,2,FALSE),0)</f>
        <v>0</v>
      </c>
      <c r="P148" s="301">
        <f>IFERROR(AVERAGE(O148,O152),0)</f>
        <v>0</v>
      </c>
      <c r="Q148" s="444">
        <f>SUM(P148:P150)</f>
        <v>0</v>
      </c>
      <c r="R148" s="306">
        <f>N148</f>
        <v>0</v>
      </c>
      <c r="S148" s="18">
        <f>IFERROR(VLOOKUP(R148,AnsATBL,2,FALSE),0)</f>
        <v>0</v>
      </c>
      <c r="T148" s="301">
        <f>IFERROR(AVERAGE(S148,S152),0)</f>
        <v>0</v>
      </c>
      <c r="U148" s="444">
        <f>SUM(T148:T150)</f>
        <v>0</v>
      </c>
      <c r="V148" s="306">
        <f>R148</f>
        <v>0</v>
      </c>
      <c r="W148" s="18">
        <f>IFERROR(VLOOKUP(V148,AnsATBL,2,FALSE),0)</f>
        <v>0</v>
      </c>
      <c r="X148" s="301">
        <f>IFERROR(AVERAGE(W148,W152),0)</f>
        <v>0</v>
      </c>
      <c r="Y148" s="444">
        <f>SUM(X148:X150)</f>
        <v>0</v>
      </c>
    </row>
    <row r="149" spans="1:25" ht="25.5" x14ac:dyDescent="0.2">
      <c r="A149" s="162" t="str">
        <f>Interview!A220</f>
        <v>O-OM-A-2-1</v>
      </c>
      <c r="B149" s="469"/>
      <c r="C149" s="274">
        <f>VLOOKUP(A149,'imp-questions'!A:H,5,FALSE)</f>
        <v>2</v>
      </c>
      <c r="D149" s="202" t="str">
        <f>VLOOKUP(A149,'imp-questions'!A:H,6,FALSE)</f>
        <v>Do you maintain a data catalog, including types, sensitivity levels, and processing and storage locations?</v>
      </c>
      <c r="E149" s="164" t="str">
        <f>CHAR(65+VLOOKUP(A149,'imp-questions'!A:H,8,FALSE))</f>
        <v>J</v>
      </c>
      <c r="F149" s="300">
        <f>Interview!F220</f>
        <v>0</v>
      </c>
      <c r="G149" s="18">
        <f>IFERROR(VLOOKUP(F149,AnsJTBL,2,FALSE),0)</f>
        <v>0</v>
      </c>
      <c r="H149" s="301">
        <f>IFERROR(AVERAGE(G149,G153),0)</f>
        <v>0</v>
      </c>
      <c r="I149" s="445"/>
      <c r="J149" s="306">
        <f t="shared" ref="J149:J150" si="109">F149</f>
        <v>0</v>
      </c>
      <c r="K149" s="18">
        <f>IFERROR(VLOOKUP(J149,AnsJTBL,2,FALSE),0)</f>
        <v>0</v>
      </c>
      <c r="L149" s="301">
        <f>IFERROR(AVERAGE(K149,K153),0)</f>
        <v>0</v>
      </c>
      <c r="M149" s="445"/>
      <c r="N149" s="306">
        <f t="shared" ref="N149:N150" si="110">J149</f>
        <v>0</v>
      </c>
      <c r="O149" s="18">
        <f>IFERROR(VLOOKUP(N149,AnsJTBL,2,FALSE),0)</f>
        <v>0</v>
      </c>
      <c r="P149" s="301">
        <f>IFERROR(AVERAGE(O149,O153),0)</f>
        <v>0</v>
      </c>
      <c r="Q149" s="445"/>
      <c r="R149" s="306">
        <f t="shared" ref="R149:R150" si="111">N149</f>
        <v>0</v>
      </c>
      <c r="S149" s="18">
        <f>IFERROR(VLOOKUP(R149,AnsJTBL,2,FALSE),0)</f>
        <v>0</v>
      </c>
      <c r="T149" s="301">
        <f>IFERROR(AVERAGE(S149,S153),0)</f>
        <v>0</v>
      </c>
      <c r="U149" s="445"/>
      <c r="V149" s="306">
        <f t="shared" ref="V149:V150" si="112">R149</f>
        <v>0</v>
      </c>
      <c r="W149" s="18">
        <f>IFERROR(VLOOKUP(V149,AnsJTBL,2,FALSE),0)</f>
        <v>0</v>
      </c>
      <c r="X149" s="301">
        <f>IFERROR(AVERAGE(W149,W153),0)</f>
        <v>0</v>
      </c>
      <c r="Y149" s="445"/>
    </row>
    <row r="150" spans="1:25" ht="25.5" x14ac:dyDescent="0.2">
      <c r="A150" s="162" t="str">
        <f>Interview!A222</f>
        <v>O-OM-A-3-1</v>
      </c>
      <c r="B150" s="470"/>
      <c r="C150" s="274">
        <f>VLOOKUP(A150,'imp-questions'!A:H,5,FALSE)</f>
        <v>3</v>
      </c>
      <c r="D150" s="296" t="str">
        <f>VLOOKUP(A150,'imp-questions'!A:H,6,FALSE)</f>
        <v>Do you regularly review and update the data catalog and your data protection policies and procedures?</v>
      </c>
      <c r="E150" s="164" t="str">
        <f>CHAR(65+VLOOKUP(A150,'imp-questions'!A:H,8,FALSE))</f>
        <v>K</v>
      </c>
      <c r="F150" s="198">
        <f>Interview!F222</f>
        <v>0</v>
      </c>
      <c r="G150" s="18">
        <f>IFERROR(VLOOKUP(F150,AnsKTBL,2,FALSE),0)</f>
        <v>0</v>
      </c>
      <c r="H150" s="301">
        <f>IFERROR(AVERAGE(G150,G154),0)</f>
        <v>0</v>
      </c>
      <c r="I150" s="445"/>
      <c r="J150" s="306">
        <f t="shared" si="109"/>
        <v>0</v>
      </c>
      <c r="K150" s="18">
        <f>IFERROR(VLOOKUP(J150,AnsKTBL,2,FALSE),0)</f>
        <v>0</v>
      </c>
      <c r="L150" s="301">
        <f>IFERROR(AVERAGE(K150,K154),0)</f>
        <v>0</v>
      </c>
      <c r="M150" s="445"/>
      <c r="N150" s="306">
        <f t="shared" si="110"/>
        <v>0</v>
      </c>
      <c r="O150" s="18">
        <f>IFERROR(VLOOKUP(N150,AnsKTBL,2,FALSE),0)</f>
        <v>0</v>
      </c>
      <c r="P150" s="301">
        <f>IFERROR(AVERAGE(O150,O154),0)</f>
        <v>0</v>
      </c>
      <c r="Q150" s="445"/>
      <c r="R150" s="306">
        <f t="shared" si="111"/>
        <v>0</v>
      </c>
      <c r="S150" s="18">
        <f>IFERROR(VLOOKUP(R150,AnsKTBL,2,FALSE),0)</f>
        <v>0</v>
      </c>
      <c r="T150" s="301">
        <f>IFERROR(AVERAGE(S150,S154),0)</f>
        <v>0</v>
      </c>
      <c r="U150" s="445"/>
      <c r="V150" s="306">
        <f t="shared" si="112"/>
        <v>0</v>
      </c>
      <c r="W150" s="18">
        <f>IFERROR(VLOOKUP(V150,AnsKTBL,2,FALSE),0)</f>
        <v>0</v>
      </c>
      <c r="X150" s="301">
        <f>IFERROR(AVERAGE(W150,W154),0)</f>
        <v>0</v>
      </c>
      <c r="Y150" s="445"/>
    </row>
    <row r="151" spans="1:25" ht="12.75" x14ac:dyDescent="0.2">
      <c r="A151" s="162"/>
      <c r="B151" s="279"/>
      <c r="C151" s="262"/>
      <c r="D151" s="242"/>
      <c r="E151" s="242"/>
      <c r="F151" s="242"/>
      <c r="G151" s="242"/>
      <c r="H151" s="242"/>
      <c r="I151" s="445"/>
      <c r="J151" s="242"/>
      <c r="K151" s="242"/>
      <c r="L151" s="242"/>
      <c r="M151" s="445"/>
      <c r="N151" s="242"/>
      <c r="O151" s="242"/>
      <c r="P151" s="242"/>
      <c r="Q151" s="445"/>
      <c r="R151" s="242"/>
      <c r="S151" s="242"/>
      <c r="T151" s="242"/>
      <c r="U151" s="445"/>
      <c r="V151" s="242"/>
      <c r="W151" s="242"/>
      <c r="X151" s="242"/>
      <c r="Y151" s="445"/>
    </row>
    <row r="152" spans="1:25" ht="38.25" x14ac:dyDescent="0.2">
      <c r="A152" s="162" t="str">
        <f>Interview!A225</f>
        <v>O-OM-B-1-1</v>
      </c>
      <c r="B152" s="468" t="str">
        <f>VLOOKUP(A152,'imp-questions'!A:H,4,FALSE)</f>
        <v>System decommissioning / Legacy management</v>
      </c>
      <c r="C152" s="274">
        <f>VLOOKUP(A152,'imp-questions'!A:H,5,FALSE)</f>
        <v>1</v>
      </c>
      <c r="D152" s="202" t="str">
        <f>VLOOKUP(A152,'imp-questions'!A:H,6,FALSE)</f>
        <v>Do you identify and remove systems, applications, application dependencies, or services that are no longer used, have reached end of life, or are no longer actively developed or supported?</v>
      </c>
      <c r="E152" s="164" t="str">
        <f>CHAR(65+VLOOKUP(A152,'imp-questions'!A:H,8,FALSE))</f>
        <v>A</v>
      </c>
      <c r="F152" s="193">
        <f>Interview!F225</f>
        <v>0</v>
      </c>
      <c r="G152" s="18">
        <f>IFERROR(VLOOKUP(F152,AnsATBL,2,FALSE),0)</f>
        <v>0</v>
      </c>
      <c r="H152" s="132"/>
      <c r="I152" s="445"/>
      <c r="J152" s="306">
        <f>F152</f>
        <v>0</v>
      </c>
      <c r="K152" s="18">
        <f>IFERROR(VLOOKUP(J152,AnsATBL,2,FALSE),0)</f>
        <v>0</v>
      </c>
      <c r="L152" s="132"/>
      <c r="M152" s="445"/>
      <c r="N152" s="306">
        <f>J152</f>
        <v>0</v>
      </c>
      <c r="O152" s="18">
        <f>IFERROR(VLOOKUP(N152,AnsATBL,2,FALSE),0)</f>
        <v>0</v>
      </c>
      <c r="P152" s="132"/>
      <c r="Q152" s="445"/>
      <c r="R152" s="306">
        <f>N152</f>
        <v>0</v>
      </c>
      <c r="S152" s="18">
        <f>IFERROR(VLOOKUP(R152,AnsATBL,2,FALSE),0)</f>
        <v>0</v>
      </c>
      <c r="T152" s="132"/>
      <c r="U152" s="445"/>
      <c r="V152" s="306">
        <f>R152</f>
        <v>0</v>
      </c>
      <c r="W152" s="18">
        <f>IFERROR(VLOOKUP(V152,AnsATBL,2,FALSE),0)</f>
        <v>0</v>
      </c>
      <c r="X152" s="132"/>
      <c r="Y152" s="445"/>
    </row>
    <row r="153" spans="1:25" ht="38.25" x14ac:dyDescent="0.2">
      <c r="A153" s="162" t="str">
        <f>Interview!A227</f>
        <v>O-OM-B-2-1</v>
      </c>
      <c r="B153" s="469"/>
      <c r="C153" s="274">
        <f>VLOOKUP(A153,'imp-questions'!A:H,5,FALSE)</f>
        <v>2</v>
      </c>
      <c r="D153" s="202" t="str">
        <f>VLOOKUP(A153,'imp-questions'!A:H,6,FALSE)</f>
        <v>Do you follow an established process for removing all associated resources, as part of decommissioning of unused systems, applications, application dependencies, or services?</v>
      </c>
      <c r="E153" s="164" t="str">
        <f>CHAR(65+VLOOKUP(A153,'imp-questions'!A:H,8,FALSE))</f>
        <v>E</v>
      </c>
      <c r="F153" s="300">
        <f>Interview!F227</f>
        <v>0</v>
      </c>
      <c r="G153" s="18">
        <f>IFERROR(VLOOKUP(F153,AnsETBL,2,FALSE),0)</f>
        <v>0</v>
      </c>
      <c r="H153" s="132"/>
      <c r="I153" s="445"/>
      <c r="J153" s="306">
        <f t="shared" ref="J153:J154" si="113">F153</f>
        <v>0</v>
      </c>
      <c r="K153" s="18">
        <f>IFERROR(VLOOKUP(J153,AnsETBL,2,FALSE),0)</f>
        <v>0</v>
      </c>
      <c r="L153" s="132"/>
      <c r="M153" s="445"/>
      <c r="N153" s="306">
        <f t="shared" ref="N153:N154" si="114">J153</f>
        <v>0</v>
      </c>
      <c r="O153" s="18">
        <f>IFERROR(VLOOKUP(N153,AnsETBL,2,FALSE),0)</f>
        <v>0</v>
      </c>
      <c r="P153" s="132"/>
      <c r="Q153" s="445"/>
      <c r="R153" s="306">
        <f t="shared" ref="R153:R154" si="115">N153</f>
        <v>0</v>
      </c>
      <c r="S153" s="18">
        <f>IFERROR(VLOOKUP(R153,AnsETBL,2,FALSE),0)</f>
        <v>0</v>
      </c>
      <c r="T153" s="132"/>
      <c r="U153" s="445"/>
      <c r="V153" s="306">
        <f t="shared" ref="V153:V154" si="116">R153</f>
        <v>0</v>
      </c>
      <c r="W153" s="18">
        <f>IFERROR(VLOOKUP(V153,AnsETBL,2,FALSE),0)</f>
        <v>0</v>
      </c>
      <c r="X153" s="132"/>
      <c r="Y153" s="445"/>
    </row>
    <row r="154" spans="1:25" ht="38.25" x14ac:dyDescent="0.2">
      <c r="A154" s="162" t="str">
        <f>Interview!A229</f>
        <v>O-OM-B-3-1</v>
      </c>
      <c r="B154" s="474"/>
      <c r="C154" s="274">
        <f>VLOOKUP(A154,'imp-questions'!A:H,5,FALSE)</f>
        <v>3</v>
      </c>
      <c r="D154" s="296" t="str">
        <f>VLOOKUP(A154,'imp-questions'!A:H,6,FALSE)</f>
        <v>Do you regularly evaluate the lifecycle state and support status of every software asset and underlying infrastructure component, and estimate their end-of-life?</v>
      </c>
      <c r="E154" s="297" t="str">
        <f>CHAR(65+VLOOKUP(A154,'imp-questions'!A:H,8,FALSE))</f>
        <v>L</v>
      </c>
      <c r="F154" s="198">
        <f>Interview!F229</f>
        <v>0</v>
      </c>
      <c r="G154" s="18">
        <f>IFERROR(VLOOKUP(F154,AnsLTBL,2,FALSE),0)</f>
        <v>0</v>
      </c>
      <c r="H154" s="132"/>
      <c r="I154" s="445"/>
      <c r="J154" s="306">
        <f t="shared" si="113"/>
        <v>0</v>
      </c>
      <c r="K154" s="18">
        <f>IFERROR(VLOOKUP(J154,AnsLTBL,2,FALSE),0)</f>
        <v>0</v>
      </c>
      <c r="L154" s="132"/>
      <c r="M154" s="445"/>
      <c r="N154" s="306">
        <f t="shared" si="114"/>
        <v>0</v>
      </c>
      <c r="O154" s="18">
        <f>IFERROR(VLOOKUP(N154,AnsLTBL,2,FALSE),0)</f>
        <v>0</v>
      </c>
      <c r="P154" s="132"/>
      <c r="Q154" s="445"/>
      <c r="R154" s="306">
        <f t="shared" si="115"/>
        <v>0</v>
      </c>
      <c r="S154" s="18">
        <f>IFERROR(VLOOKUP(R154,AnsLTBL,2,FALSE),0)</f>
        <v>0</v>
      </c>
      <c r="T154" s="132"/>
      <c r="U154" s="445"/>
      <c r="V154" s="306">
        <f t="shared" si="116"/>
        <v>0</v>
      </c>
      <c r="W154" s="18">
        <f>IFERROR(VLOOKUP(V154,AnsLTBL,2,FALSE),0)</f>
        <v>0</v>
      </c>
      <c r="X154" s="132"/>
      <c r="Y154" s="445"/>
    </row>
  </sheetData>
  <mergeCells count="130">
    <mergeCell ref="J16:M16"/>
    <mergeCell ref="N16:Q16"/>
    <mergeCell ref="R16:U16"/>
    <mergeCell ref="V16:Y16"/>
    <mergeCell ref="B46:B48"/>
    <mergeCell ref="B50:B52"/>
    <mergeCell ref="B55:B57"/>
    <mergeCell ref="B83:B85"/>
    <mergeCell ref="F16:I16"/>
    <mergeCell ref="V44:Y44"/>
    <mergeCell ref="V72:Y72"/>
    <mergeCell ref="J72:M72"/>
    <mergeCell ref="B18:B20"/>
    <mergeCell ref="B22:B24"/>
    <mergeCell ref="B27:B29"/>
    <mergeCell ref="B31:B33"/>
    <mergeCell ref="B40:B42"/>
    <mergeCell ref="B36:B38"/>
    <mergeCell ref="M18:M24"/>
    <mergeCell ref="M27:M33"/>
    <mergeCell ref="M36:M42"/>
    <mergeCell ref="J44:M44"/>
    <mergeCell ref="M46:M52"/>
    <mergeCell ref="M55:M61"/>
    <mergeCell ref="M64:M70"/>
    <mergeCell ref="M74:M80"/>
    <mergeCell ref="V100:Y100"/>
    <mergeCell ref="V128:Y128"/>
    <mergeCell ref="R128:U128"/>
    <mergeCell ref="R100:U100"/>
    <mergeCell ref="R72:U72"/>
    <mergeCell ref="R44:U44"/>
    <mergeCell ref="N44:Q44"/>
    <mergeCell ref="N72:Q72"/>
    <mergeCell ref="N100:Q100"/>
    <mergeCell ref="N128:Q128"/>
    <mergeCell ref="F44:I44"/>
    <mergeCell ref="F72:I72"/>
    <mergeCell ref="F100:I100"/>
    <mergeCell ref="F128:I128"/>
    <mergeCell ref="B139:B141"/>
    <mergeCell ref="B143:B145"/>
    <mergeCell ref="I74:I80"/>
    <mergeCell ref="I83:I89"/>
    <mergeCell ref="I92:I98"/>
    <mergeCell ref="I102:I108"/>
    <mergeCell ref="I111:I117"/>
    <mergeCell ref="I120:I126"/>
    <mergeCell ref="B148:B150"/>
    <mergeCell ref="B130:B132"/>
    <mergeCell ref="B134:B136"/>
    <mergeCell ref="B87:B89"/>
    <mergeCell ref="B92:B94"/>
    <mergeCell ref="B96:B98"/>
    <mergeCell ref="B152:B154"/>
    <mergeCell ref="I18:I24"/>
    <mergeCell ref="I27:I33"/>
    <mergeCell ref="I36:I42"/>
    <mergeCell ref="I46:I52"/>
    <mergeCell ref="I55:I61"/>
    <mergeCell ref="I64:I70"/>
    <mergeCell ref="B102:B104"/>
    <mergeCell ref="B106:B108"/>
    <mergeCell ref="B111:B113"/>
    <mergeCell ref="B115:B117"/>
    <mergeCell ref="B120:B122"/>
    <mergeCell ref="B124:B126"/>
    <mergeCell ref="B59:B61"/>
    <mergeCell ref="B64:B66"/>
    <mergeCell ref="B68:B70"/>
    <mergeCell ref="B74:B76"/>
    <mergeCell ref="B78:B80"/>
    <mergeCell ref="M148:M154"/>
    <mergeCell ref="M83:M89"/>
    <mergeCell ref="M92:M98"/>
    <mergeCell ref="M102:M108"/>
    <mergeCell ref="M111:M117"/>
    <mergeCell ref="M120:M126"/>
    <mergeCell ref="M130:M136"/>
    <mergeCell ref="I148:I154"/>
    <mergeCell ref="I139:I145"/>
    <mergeCell ref="I130:I136"/>
    <mergeCell ref="J100:M100"/>
    <mergeCell ref="J128:M128"/>
    <mergeCell ref="M139:M145"/>
    <mergeCell ref="Q139:Q145"/>
    <mergeCell ref="Q148:Q154"/>
    <mergeCell ref="U18:U24"/>
    <mergeCell ref="U27:U33"/>
    <mergeCell ref="U36:U42"/>
    <mergeCell ref="U46:U52"/>
    <mergeCell ref="U55:U61"/>
    <mergeCell ref="U64:U70"/>
    <mergeCell ref="U74:U80"/>
    <mergeCell ref="U83:U89"/>
    <mergeCell ref="Q18:Q24"/>
    <mergeCell ref="Q27:Q33"/>
    <mergeCell ref="Q36:Q42"/>
    <mergeCell ref="Q46:Q52"/>
    <mergeCell ref="Q55:Q61"/>
    <mergeCell ref="Q64:Q70"/>
    <mergeCell ref="Q74:Q80"/>
    <mergeCell ref="Q83:Q89"/>
    <mergeCell ref="Q92:Q98"/>
    <mergeCell ref="Q102:Q108"/>
    <mergeCell ref="Q111:Q117"/>
    <mergeCell ref="Q120:Q126"/>
    <mergeCell ref="Q130:Q136"/>
    <mergeCell ref="Y139:Y145"/>
    <mergeCell ref="Y148:Y154"/>
    <mergeCell ref="U148:U154"/>
    <mergeCell ref="Y18:Y24"/>
    <mergeCell ref="Y27:Y33"/>
    <mergeCell ref="Y36:Y42"/>
    <mergeCell ref="Y46:Y52"/>
    <mergeCell ref="Y55:Y61"/>
    <mergeCell ref="Y64:Y70"/>
    <mergeCell ref="Y74:Y80"/>
    <mergeCell ref="Y83:Y89"/>
    <mergeCell ref="Y92:Y98"/>
    <mergeCell ref="U92:U98"/>
    <mergeCell ref="U102:U108"/>
    <mergeCell ref="U111:U117"/>
    <mergeCell ref="U120:U126"/>
    <mergeCell ref="U130:U136"/>
    <mergeCell ref="U139:U145"/>
    <mergeCell ref="Y102:Y108"/>
    <mergeCell ref="Y111:Y117"/>
    <mergeCell ref="Y120:Y126"/>
    <mergeCell ref="Y130:Y136"/>
  </mergeCells>
  <conditionalFormatting sqref="F15">
    <cfRule type="expression" dxfId="720" priority="761">
      <formula>$H$22=1</formula>
    </cfRule>
  </conditionalFormatting>
  <conditionalFormatting sqref="J20">
    <cfRule type="expression" dxfId="719" priority="757">
      <formula>K20&lt;G20</formula>
    </cfRule>
    <cfRule type="expression" dxfId="718" priority="758">
      <formula>K20&gt;G20</formula>
    </cfRule>
  </conditionalFormatting>
  <conditionalFormatting sqref="J19">
    <cfRule type="expression" dxfId="717" priority="755">
      <formula>K19&lt;G19</formula>
    </cfRule>
    <cfRule type="expression" dxfId="716" priority="756">
      <formula>K19&gt;G19</formula>
    </cfRule>
  </conditionalFormatting>
  <conditionalFormatting sqref="J22">
    <cfRule type="expression" dxfId="715" priority="753">
      <formula>K22&lt;G22</formula>
    </cfRule>
    <cfRule type="expression" dxfId="714" priority="754">
      <formula>K22&gt;G22</formula>
    </cfRule>
  </conditionalFormatting>
  <conditionalFormatting sqref="J24">
    <cfRule type="expression" dxfId="713" priority="751">
      <formula>K24&lt;G24</formula>
    </cfRule>
    <cfRule type="expression" dxfId="712" priority="752">
      <formula>K24&gt;G24</formula>
    </cfRule>
  </conditionalFormatting>
  <conditionalFormatting sqref="J23">
    <cfRule type="expression" dxfId="711" priority="749">
      <formula>K23&lt;G23</formula>
    </cfRule>
    <cfRule type="expression" dxfId="710" priority="750">
      <formula>K23&gt;G23</formula>
    </cfRule>
  </conditionalFormatting>
  <conditionalFormatting sqref="J27">
    <cfRule type="expression" dxfId="709" priority="747">
      <formula>K27&lt;G27</formula>
    </cfRule>
    <cfRule type="expression" dxfId="708" priority="748">
      <formula>K27&gt;G27</formula>
    </cfRule>
  </conditionalFormatting>
  <conditionalFormatting sqref="J29">
    <cfRule type="expression" dxfId="707" priority="745">
      <formula>K29&lt;G29</formula>
    </cfRule>
    <cfRule type="expression" dxfId="706" priority="746">
      <formula>K29&gt;G29</formula>
    </cfRule>
  </conditionalFormatting>
  <conditionalFormatting sqref="J28">
    <cfRule type="expression" dxfId="705" priority="743">
      <formula>K28&lt;G28</formula>
    </cfRule>
    <cfRule type="expression" dxfId="704" priority="744">
      <formula>K28&gt;G28</formula>
    </cfRule>
  </conditionalFormatting>
  <conditionalFormatting sqref="J31">
    <cfRule type="expression" dxfId="703" priority="741">
      <formula>K31&lt;G31</formula>
    </cfRule>
    <cfRule type="expression" dxfId="702" priority="742">
      <formula>K31&gt;G31</formula>
    </cfRule>
  </conditionalFormatting>
  <conditionalFormatting sqref="J33">
    <cfRule type="expression" dxfId="701" priority="739">
      <formula>K33&lt;G33</formula>
    </cfRule>
    <cfRule type="expression" dxfId="700" priority="740">
      <formula>K33&gt;G33</formula>
    </cfRule>
  </conditionalFormatting>
  <conditionalFormatting sqref="J32">
    <cfRule type="expression" dxfId="699" priority="737">
      <formula>K32&lt;G32</formula>
    </cfRule>
    <cfRule type="expression" dxfId="698" priority="738">
      <formula>K32&gt;G32</formula>
    </cfRule>
  </conditionalFormatting>
  <conditionalFormatting sqref="J153">
    <cfRule type="expression" dxfId="697" priority="581">
      <formula>K153&lt;G153</formula>
    </cfRule>
    <cfRule type="expression" dxfId="696" priority="582">
      <formula>K153&gt;G153</formula>
    </cfRule>
  </conditionalFormatting>
  <conditionalFormatting sqref="V153">
    <cfRule type="expression" dxfId="695" priority="41">
      <formula>W153&lt;S153</formula>
    </cfRule>
    <cfRule type="expression" dxfId="694" priority="42">
      <formula>W153&gt;S153</formula>
    </cfRule>
  </conditionalFormatting>
  <conditionalFormatting sqref="J36">
    <cfRule type="expression" dxfId="693" priority="735">
      <formula>K36&lt;G36</formula>
    </cfRule>
    <cfRule type="expression" dxfId="692" priority="736">
      <formula>K36&gt;G36</formula>
    </cfRule>
  </conditionalFormatting>
  <conditionalFormatting sqref="J38">
    <cfRule type="expression" dxfId="691" priority="733">
      <formula>K38&lt;G38</formula>
    </cfRule>
    <cfRule type="expression" dxfId="690" priority="734">
      <formula>K38&gt;G38</formula>
    </cfRule>
  </conditionalFormatting>
  <conditionalFormatting sqref="J37">
    <cfRule type="expression" dxfId="689" priority="731">
      <formula>K37&lt;G37</formula>
    </cfRule>
    <cfRule type="expression" dxfId="688" priority="732">
      <formula>K37&gt;G37</formula>
    </cfRule>
  </conditionalFormatting>
  <conditionalFormatting sqref="J40">
    <cfRule type="expression" dxfId="687" priority="729">
      <formula>K40&lt;G40</formula>
    </cfRule>
    <cfRule type="expression" dxfId="686" priority="730">
      <formula>K40&gt;G40</formula>
    </cfRule>
  </conditionalFormatting>
  <conditionalFormatting sqref="J42">
    <cfRule type="expression" dxfId="685" priority="727">
      <formula>K42&lt;G42</formula>
    </cfRule>
    <cfRule type="expression" dxfId="684" priority="728">
      <formula>K42&gt;G42</formula>
    </cfRule>
  </conditionalFormatting>
  <conditionalFormatting sqref="J41">
    <cfRule type="expression" dxfId="683" priority="725">
      <formula>K41&lt;G41</formula>
    </cfRule>
    <cfRule type="expression" dxfId="682" priority="726">
      <formula>K41&gt;G41</formula>
    </cfRule>
  </conditionalFormatting>
  <conditionalFormatting sqref="J46">
    <cfRule type="expression" dxfId="681" priority="723">
      <formula>K46&lt;G46</formula>
    </cfRule>
    <cfRule type="expression" dxfId="680" priority="724">
      <formula>K46&gt;G46</formula>
    </cfRule>
  </conditionalFormatting>
  <conditionalFormatting sqref="J48">
    <cfRule type="expression" dxfId="679" priority="721">
      <formula>K48&lt;G48</formula>
    </cfRule>
    <cfRule type="expression" dxfId="678" priority="722">
      <formula>K48&gt;G48</formula>
    </cfRule>
  </conditionalFormatting>
  <conditionalFormatting sqref="J47">
    <cfRule type="expression" dxfId="677" priority="719">
      <formula>K47&lt;G47</formula>
    </cfRule>
    <cfRule type="expression" dxfId="676" priority="720">
      <formula>K47&gt;G47</formula>
    </cfRule>
  </conditionalFormatting>
  <conditionalFormatting sqref="J50">
    <cfRule type="expression" dxfId="675" priority="717">
      <formula>K50&lt;G50</formula>
    </cfRule>
    <cfRule type="expression" dxfId="674" priority="718">
      <formula>K50&gt;G50</formula>
    </cfRule>
  </conditionalFormatting>
  <conditionalFormatting sqref="J52">
    <cfRule type="expression" dxfId="673" priority="715">
      <formula>K52&lt;G52</formula>
    </cfRule>
    <cfRule type="expression" dxfId="672" priority="716">
      <formula>K52&gt;G52</formula>
    </cfRule>
  </conditionalFormatting>
  <conditionalFormatting sqref="J51">
    <cfRule type="expression" dxfId="671" priority="713">
      <formula>K51&lt;G51</formula>
    </cfRule>
    <cfRule type="expression" dxfId="670" priority="714">
      <formula>K51&gt;G51</formula>
    </cfRule>
  </conditionalFormatting>
  <conditionalFormatting sqref="J55">
    <cfRule type="expression" dxfId="669" priority="711">
      <formula>K55&lt;G55</formula>
    </cfRule>
    <cfRule type="expression" dxfId="668" priority="712">
      <formula>K55&gt;G55</formula>
    </cfRule>
  </conditionalFormatting>
  <conditionalFormatting sqref="J57">
    <cfRule type="expression" dxfId="667" priority="709">
      <formula>K57&lt;G57</formula>
    </cfRule>
    <cfRule type="expression" dxfId="666" priority="710">
      <formula>K57&gt;G57</formula>
    </cfRule>
  </conditionalFormatting>
  <conditionalFormatting sqref="J56">
    <cfRule type="expression" dxfId="665" priority="707">
      <formula>K56&lt;G56</formula>
    </cfRule>
    <cfRule type="expression" dxfId="664" priority="708">
      <formula>K56&gt;G56</formula>
    </cfRule>
  </conditionalFormatting>
  <conditionalFormatting sqref="J59">
    <cfRule type="expression" dxfId="663" priority="705">
      <formula>K59&lt;G59</formula>
    </cfRule>
    <cfRule type="expression" dxfId="662" priority="706">
      <formula>K59&gt;G59</formula>
    </cfRule>
  </conditionalFormatting>
  <conditionalFormatting sqref="J61">
    <cfRule type="expression" dxfId="661" priority="703">
      <formula>K61&lt;G61</formula>
    </cfRule>
    <cfRule type="expression" dxfId="660" priority="704">
      <formula>K61&gt;G61</formula>
    </cfRule>
  </conditionalFormatting>
  <conditionalFormatting sqref="J60">
    <cfRule type="expression" dxfId="659" priority="701">
      <formula>K60&lt;G60</formula>
    </cfRule>
    <cfRule type="expression" dxfId="658" priority="702">
      <formula>K60&gt;G60</formula>
    </cfRule>
  </conditionalFormatting>
  <conditionalFormatting sqref="J64">
    <cfRule type="expression" dxfId="657" priority="699">
      <formula>K64&lt;G64</formula>
    </cfRule>
    <cfRule type="expression" dxfId="656" priority="700">
      <formula>K64&gt;G64</formula>
    </cfRule>
  </conditionalFormatting>
  <conditionalFormatting sqref="J66">
    <cfRule type="expression" dxfId="655" priority="697">
      <formula>K66&lt;G66</formula>
    </cfRule>
    <cfRule type="expression" dxfId="654" priority="698">
      <formula>K66&gt;G66</formula>
    </cfRule>
  </conditionalFormatting>
  <conditionalFormatting sqref="J65">
    <cfRule type="expression" dxfId="653" priority="695">
      <formula>K65&lt;G65</formula>
    </cfRule>
    <cfRule type="expression" dxfId="652" priority="696">
      <formula>K65&gt;G65</formula>
    </cfRule>
  </conditionalFormatting>
  <conditionalFormatting sqref="J68">
    <cfRule type="expression" dxfId="651" priority="693">
      <formula>K68&lt;G68</formula>
    </cfRule>
    <cfRule type="expression" dxfId="650" priority="694">
      <formula>K68&gt;G68</formula>
    </cfRule>
  </conditionalFormatting>
  <conditionalFormatting sqref="J70">
    <cfRule type="expression" dxfId="649" priority="691">
      <formula>K70&lt;G70</formula>
    </cfRule>
    <cfRule type="expression" dxfId="648" priority="692">
      <formula>K70&gt;G70</formula>
    </cfRule>
  </conditionalFormatting>
  <conditionalFormatting sqref="J69">
    <cfRule type="expression" dxfId="647" priority="689">
      <formula>K69&lt;G69</formula>
    </cfRule>
    <cfRule type="expression" dxfId="646" priority="690">
      <formula>K69&gt;G69</formula>
    </cfRule>
  </conditionalFormatting>
  <conditionalFormatting sqref="J74">
    <cfRule type="expression" dxfId="645" priority="687">
      <formula>K74&lt;G74</formula>
    </cfRule>
    <cfRule type="expression" dxfId="644" priority="688">
      <formula>K74&gt;G74</formula>
    </cfRule>
  </conditionalFormatting>
  <conditionalFormatting sqref="J76">
    <cfRule type="expression" dxfId="643" priority="685">
      <formula>K76&lt;G76</formula>
    </cfRule>
    <cfRule type="expression" dxfId="642" priority="686">
      <formula>K76&gt;G76</formula>
    </cfRule>
  </conditionalFormatting>
  <conditionalFormatting sqref="J75">
    <cfRule type="expression" dxfId="641" priority="683">
      <formula>K75&lt;G75</formula>
    </cfRule>
    <cfRule type="expression" dxfId="640" priority="684">
      <formula>K75&gt;G75</formula>
    </cfRule>
  </conditionalFormatting>
  <conditionalFormatting sqref="J78">
    <cfRule type="expression" dxfId="639" priority="681">
      <formula>K78&lt;G78</formula>
    </cfRule>
    <cfRule type="expression" dxfId="638" priority="682">
      <formula>K78&gt;G78</formula>
    </cfRule>
  </conditionalFormatting>
  <conditionalFormatting sqref="J79">
    <cfRule type="expression" dxfId="637" priority="677">
      <formula>K79&lt;G79</formula>
    </cfRule>
    <cfRule type="expression" dxfId="636" priority="678">
      <formula>K79&gt;G79</formula>
    </cfRule>
  </conditionalFormatting>
  <conditionalFormatting sqref="J83">
    <cfRule type="expression" dxfId="635" priority="675">
      <formula>K83&lt;G83</formula>
    </cfRule>
    <cfRule type="expression" dxfId="634" priority="676">
      <formula>K83&gt;G83</formula>
    </cfRule>
  </conditionalFormatting>
  <conditionalFormatting sqref="J85">
    <cfRule type="expression" dxfId="633" priority="673">
      <formula>K85&lt;G85</formula>
    </cfRule>
    <cfRule type="expression" dxfId="632" priority="674">
      <formula>K85&gt;G85</formula>
    </cfRule>
  </conditionalFormatting>
  <conditionalFormatting sqref="J84">
    <cfRule type="expression" dxfId="631" priority="671">
      <formula>K84&lt;G84</formula>
    </cfRule>
    <cfRule type="expression" dxfId="630" priority="672">
      <formula>K84&gt;G84</formula>
    </cfRule>
  </conditionalFormatting>
  <conditionalFormatting sqref="J87">
    <cfRule type="expression" dxfId="629" priority="669">
      <formula>K87&lt;G87</formula>
    </cfRule>
    <cfRule type="expression" dxfId="628" priority="670">
      <formula>K87&gt;G87</formula>
    </cfRule>
  </conditionalFormatting>
  <conditionalFormatting sqref="J89">
    <cfRule type="expression" dxfId="627" priority="667">
      <formula>K89&lt;G89</formula>
    </cfRule>
    <cfRule type="expression" dxfId="626" priority="668">
      <formula>K89&gt;G89</formula>
    </cfRule>
  </conditionalFormatting>
  <conditionalFormatting sqref="J88">
    <cfRule type="expression" dxfId="625" priority="665">
      <formula>K88&lt;G88</formula>
    </cfRule>
    <cfRule type="expression" dxfId="624" priority="666">
      <formula>K88&gt;G88</formula>
    </cfRule>
  </conditionalFormatting>
  <conditionalFormatting sqref="J92">
    <cfRule type="expression" dxfId="623" priority="663">
      <formula>K92&lt;G92</formula>
    </cfRule>
    <cfRule type="expression" dxfId="622" priority="664">
      <formula>K92&gt;G92</formula>
    </cfRule>
  </conditionalFormatting>
  <conditionalFormatting sqref="J94">
    <cfRule type="expression" dxfId="621" priority="661">
      <formula>K94&lt;G94</formula>
    </cfRule>
    <cfRule type="expression" dxfId="620" priority="662">
      <formula>K94&gt;G94</formula>
    </cfRule>
  </conditionalFormatting>
  <conditionalFormatting sqref="J93">
    <cfRule type="expression" dxfId="619" priority="659">
      <formula>K93&lt;G93</formula>
    </cfRule>
    <cfRule type="expression" dxfId="618" priority="660">
      <formula>K93&gt;G93</formula>
    </cfRule>
  </conditionalFormatting>
  <conditionalFormatting sqref="J96">
    <cfRule type="expression" dxfId="617" priority="657">
      <formula>K96&lt;G96</formula>
    </cfRule>
    <cfRule type="expression" dxfId="616" priority="658">
      <formula>K96&gt;G96</formula>
    </cfRule>
  </conditionalFormatting>
  <conditionalFormatting sqref="J97">
    <cfRule type="expression" dxfId="615" priority="653">
      <formula>K97&lt;G97</formula>
    </cfRule>
    <cfRule type="expression" dxfId="614" priority="654">
      <formula>K97&gt;G97</formula>
    </cfRule>
  </conditionalFormatting>
  <conditionalFormatting sqref="J102">
    <cfRule type="expression" dxfId="613" priority="651">
      <formula>K102&lt;G102</formula>
    </cfRule>
    <cfRule type="expression" dxfId="612" priority="652">
      <formula>K102&gt;G102</formula>
    </cfRule>
  </conditionalFormatting>
  <conditionalFormatting sqref="J104">
    <cfRule type="expression" dxfId="611" priority="649">
      <formula>K104&lt;G104</formula>
    </cfRule>
    <cfRule type="expression" dxfId="610" priority="650">
      <formula>K104&gt;G104</formula>
    </cfRule>
  </conditionalFormatting>
  <conditionalFormatting sqref="J103">
    <cfRule type="expression" dxfId="609" priority="647">
      <formula>K103&lt;G103</formula>
    </cfRule>
    <cfRule type="expression" dxfId="608" priority="648">
      <formula>K103&gt;G103</formula>
    </cfRule>
  </conditionalFormatting>
  <conditionalFormatting sqref="J106">
    <cfRule type="expression" dxfId="607" priority="645">
      <formula>K106&lt;G106</formula>
    </cfRule>
    <cfRule type="expression" dxfId="606" priority="646">
      <formula>K106&gt;G106</formula>
    </cfRule>
  </conditionalFormatting>
  <conditionalFormatting sqref="J108">
    <cfRule type="expression" dxfId="605" priority="643">
      <formula>K108&lt;G108</formula>
    </cfRule>
    <cfRule type="expression" dxfId="604" priority="644">
      <formula>K108&gt;G108</formula>
    </cfRule>
  </conditionalFormatting>
  <conditionalFormatting sqref="J107">
    <cfRule type="expression" dxfId="603" priority="641">
      <formula>K107&lt;G107</formula>
    </cfRule>
    <cfRule type="expression" dxfId="602" priority="642">
      <formula>K107&gt;G107</formula>
    </cfRule>
  </conditionalFormatting>
  <conditionalFormatting sqref="J111">
    <cfRule type="expression" dxfId="601" priority="639">
      <formula>K111&lt;G111</formula>
    </cfRule>
    <cfRule type="expression" dxfId="600" priority="640">
      <formula>K111&gt;G111</formula>
    </cfRule>
  </conditionalFormatting>
  <conditionalFormatting sqref="J113">
    <cfRule type="expression" dxfId="599" priority="637">
      <formula>K113&lt;G113</formula>
    </cfRule>
    <cfRule type="expression" dxfId="598" priority="638">
      <formula>K113&gt;G113</formula>
    </cfRule>
  </conditionalFormatting>
  <conditionalFormatting sqref="J112">
    <cfRule type="expression" dxfId="597" priority="635">
      <formula>K112&lt;G112</formula>
    </cfRule>
    <cfRule type="expression" dxfId="596" priority="636">
      <formula>K112&gt;G112</formula>
    </cfRule>
  </conditionalFormatting>
  <conditionalFormatting sqref="J115">
    <cfRule type="expression" dxfId="595" priority="633">
      <formula>K115&lt;G115</formula>
    </cfRule>
    <cfRule type="expression" dxfId="594" priority="634">
      <formula>K115&gt;G115</formula>
    </cfRule>
  </conditionalFormatting>
  <conditionalFormatting sqref="J117">
    <cfRule type="expression" dxfId="593" priority="631">
      <formula>K117&lt;G117</formula>
    </cfRule>
    <cfRule type="expression" dxfId="592" priority="632">
      <formula>K117&gt;G117</formula>
    </cfRule>
  </conditionalFormatting>
  <conditionalFormatting sqref="J116">
    <cfRule type="expression" dxfId="591" priority="629">
      <formula>K116&lt;G116</formula>
    </cfRule>
    <cfRule type="expression" dxfId="590" priority="630">
      <formula>K116&gt;G116</formula>
    </cfRule>
  </conditionalFormatting>
  <conditionalFormatting sqref="J120">
    <cfRule type="expression" dxfId="589" priority="627">
      <formula>K120&lt;G120</formula>
    </cfRule>
    <cfRule type="expression" dxfId="588" priority="628">
      <formula>K120&gt;G120</formula>
    </cfRule>
  </conditionalFormatting>
  <conditionalFormatting sqref="J122">
    <cfRule type="expression" dxfId="587" priority="625">
      <formula>K122&lt;G122</formula>
    </cfRule>
    <cfRule type="expression" dxfId="586" priority="626">
      <formula>K122&gt;G122</formula>
    </cfRule>
  </conditionalFormatting>
  <conditionalFormatting sqref="J121">
    <cfRule type="expression" dxfId="585" priority="623">
      <formula>K121&lt;G121</formula>
    </cfRule>
    <cfRule type="expression" dxfId="584" priority="624">
      <formula>K121&gt;G121</formula>
    </cfRule>
  </conditionalFormatting>
  <conditionalFormatting sqref="J124">
    <cfRule type="expression" dxfId="583" priority="621">
      <formula>K124&lt;G124</formula>
    </cfRule>
    <cfRule type="expression" dxfId="582" priority="622">
      <formula>K124&gt;G124</formula>
    </cfRule>
  </conditionalFormatting>
  <conditionalFormatting sqref="J126">
    <cfRule type="expression" dxfId="581" priority="619">
      <formula>K126&lt;G126</formula>
    </cfRule>
    <cfRule type="expression" dxfId="580" priority="620">
      <formula>K126&gt;G126</formula>
    </cfRule>
  </conditionalFormatting>
  <conditionalFormatting sqref="J125">
    <cfRule type="expression" dxfId="579" priority="617">
      <formula>K125&lt;G125</formula>
    </cfRule>
    <cfRule type="expression" dxfId="578" priority="618">
      <formula>K125&gt;G125</formula>
    </cfRule>
  </conditionalFormatting>
  <conditionalFormatting sqref="J130">
    <cfRule type="expression" dxfId="577" priority="615">
      <formula>K130&lt;G130</formula>
    </cfRule>
    <cfRule type="expression" dxfId="576" priority="616">
      <formula>K130&gt;G130</formula>
    </cfRule>
  </conditionalFormatting>
  <conditionalFormatting sqref="J132">
    <cfRule type="expression" dxfId="575" priority="613">
      <formula>K132&lt;G132</formula>
    </cfRule>
    <cfRule type="expression" dxfId="574" priority="614">
      <formula>K132&gt;G132</formula>
    </cfRule>
  </conditionalFormatting>
  <conditionalFormatting sqref="J131">
    <cfRule type="expression" dxfId="573" priority="611">
      <formula>K131&lt;G131</formula>
    </cfRule>
    <cfRule type="expression" dxfId="572" priority="612">
      <formula>K131&gt;G131</formula>
    </cfRule>
  </conditionalFormatting>
  <conditionalFormatting sqref="J134">
    <cfRule type="expression" dxfId="571" priority="609">
      <formula>K134&lt;G134</formula>
    </cfRule>
    <cfRule type="expression" dxfId="570" priority="610">
      <formula>K134&gt;G134</formula>
    </cfRule>
  </conditionalFormatting>
  <conditionalFormatting sqref="J136">
    <cfRule type="expression" dxfId="569" priority="607">
      <formula>K136&lt;G136</formula>
    </cfRule>
    <cfRule type="expression" dxfId="568" priority="608">
      <formula>K136&gt;G136</formula>
    </cfRule>
  </conditionalFormatting>
  <conditionalFormatting sqref="J135">
    <cfRule type="expression" dxfId="567" priority="605">
      <formula>K135&lt;G135</formula>
    </cfRule>
    <cfRule type="expression" dxfId="566" priority="606">
      <formula>K135&gt;G135</formula>
    </cfRule>
  </conditionalFormatting>
  <conditionalFormatting sqref="J139">
    <cfRule type="expression" dxfId="565" priority="603">
      <formula>K139&lt;G139</formula>
    </cfRule>
    <cfRule type="expression" dxfId="564" priority="604">
      <formula>K139&gt;G139</formula>
    </cfRule>
  </conditionalFormatting>
  <conditionalFormatting sqref="J141">
    <cfRule type="expression" dxfId="563" priority="601">
      <formula>K141&lt;G141</formula>
    </cfRule>
    <cfRule type="expression" dxfId="562" priority="602">
      <formula>K141&gt;G141</formula>
    </cfRule>
  </conditionalFormatting>
  <conditionalFormatting sqref="J140">
    <cfRule type="expression" dxfId="561" priority="599">
      <formula>K140&lt;G140</formula>
    </cfRule>
    <cfRule type="expression" dxfId="560" priority="600">
      <formula>K140&gt;G140</formula>
    </cfRule>
  </conditionalFormatting>
  <conditionalFormatting sqref="J143">
    <cfRule type="expression" dxfId="559" priority="597">
      <formula>K143&lt;G143</formula>
    </cfRule>
    <cfRule type="expression" dxfId="558" priority="598">
      <formula>K143&gt;G143</formula>
    </cfRule>
  </conditionalFormatting>
  <conditionalFormatting sqref="J145">
    <cfRule type="expression" dxfId="557" priority="595">
      <formula>K145&lt;G145</formula>
    </cfRule>
    <cfRule type="expression" dxfId="556" priority="596">
      <formula>K145&gt;G145</formula>
    </cfRule>
  </conditionalFormatting>
  <conditionalFormatting sqref="J144">
    <cfRule type="expression" dxfId="555" priority="593">
      <formula>K144&lt;G144</formula>
    </cfRule>
    <cfRule type="expression" dxfId="554" priority="594">
      <formula>K144&gt;G144</formula>
    </cfRule>
  </conditionalFormatting>
  <conditionalFormatting sqref="J148">
    <cfRule type="expression" dxfId="553" priority="591">
      <formula>K148&lt;G148</formula>
    </cfRule>
    <cfRule type="expression" dxfId="552" priority="592">
      <formula>K148&gt;G148</formula>
    </cfRule>
  </conditionalFormatting>
  <conditionalFormatting sqref="J150">
    <cfRule type="expression" dxfId="551" priority="589">
      <formula>K150&lt;G150</formula>
    </cfRule>
    <cfRule type="expression" dxfId="550" priority="590">
      <formula>K150&gt;G150</formula>
    </cfRule>
  </conditionalFormatting>
  <conditionalFormatting sqref="J149">
    <cfRule type="expression" dxfId="549" priority="587">
      <formula>K149&lt;G149</formula>
    </cfRule>
    <cfRule type="expression" dxfId="548" priority="588">
      <formula>K149&gt;G149</formula>
    </cfRule>
  </conditionalFormatting>
  <conditionalFormatting sqref="J152">
    <cfRule type="expression" dxfId="547" priority="585">
      <formula>K152&lt;G152</formula>
    </cfRule>
    <cfRule type="expression" dxfId="546" priority="586">
      <formula>K152&gt;G152</formula>
    </cfRule>
  </conditionalFormatting>
  <conditionalFormatting sqref="J154">
    <cfRule type="expression" dxfId="545" priority="583">
      <formula>K154&lt;G154</formula>
    </cfRule>
    <cfRule type="expression" dxfId="544" priority="584">
      <formula>K154&gt;G154</formula>
    </cfRule>
  </conditionalFormatting>
  <conditionalFormatting sqref="N20">
    <cfRule type="expression" dxfId="543" priority="577">
      <formula>O20&lt;K20</formula>
    </cfRule>
    <cfRule type="expression" dxfId="542" priority="578">
      <formula>O20&gt;K20</formula>
    </cfRule>
  </conditionalFormatting>
  <conditionalFormatting sqref="N19">
    <cfRule type="expression" dxfId="541" priority="575">
      <formula>O19&lt;K19</formula>
    </cfRule>
    <cfRule type="expression" dxfId="540" priority="576">
      <formula>O19&gt;K19</formula>
    </cfRule>
  </conditionalFormatting>
  <conditionalFormatting sqref="N22">
    <cfRule type="expression" dxfId="539" priority="573">
      <formula>O22&lt;K22</formula>
    </cfRule>
    <cfRule type="expression" dxfId="538" priority="574">
      <formula>O22&gt;K22</formula>
    </cfRule>
  </conditionalFormatting>
  <conditionalFormatting sqref="N23">
    <cfRule type="expression" dxfId="537" priority="569">
      <formula>O23&lt;K23</formula>
    </cfRule>
    <cfRule type="expression" dxfId="536" priority="570">
      <formula>O23&gt;K23</formula>
    </cfRule>
  </conditionalFormatting>
  <conditionalFormatting sqref="N27">
    <cfRule type="expression" dxfId="535" priority="567">
      <formula>O27&lt;K27</formula>
    </cfRule>
    <cfRule type="expression" dxfId="534" priority="568">
      <formula>O27&gt;K27</formula>
    </cfRule>
  </conditionalFormatting>
  <conditionalFormatting sqref="N29">
    <cfRule type="expression" dxfId="533" priority="565">
      <formula>O29&lt;K29</formula>
    </cfRule>
    <cfRule type="expression" dxfId="532" priority="566">
      <formula>O29&gt;K29</formula>
    </cfRule>
  </conditionalFormatting>
  <conditionalFormatting sqref="N28">
    <cfRule type="expression" dxfId="531" priority="563">
      <formula>O28&lt;K28</formula>
    </cfRule>
    <cfRule type="expression" dxfId="530" priority="564">
      <formula>O28&gt;K28</formula>
    </cfRule>
  </conditionalFormatting>
  <conditionalFormatting sqref="N31">
    <cfRule type="expression" dxfId="529" priority="561">
      <formula>O31&lt;K31</formula>
    </cfRule>
    <cfRule type="expression" dxfId="528" priority="562">
      <formula>O31&gt;K31</formula>
    </cfRule>
  </conditionalFormatting>
  <conditionalFormatting sqref="N153">
    <cfRule type="expression" dxfId="527" priority="401">
      <formula>O153&lt;K153</formula>
    </cfRule>
    <cfRule type="expression" dxfId="526" priority="402">
      <formula>O153&gt;K153</formula>
    </cfRule>
  </conditionalFormatting>
  <conditionalFormatting sqref="N36">
    <cfRule type="expression" dxfId="525" priority="555">
      <formula>O36&lt;K36</formula>
    </cfRule>
    <cfRule type="expression" dxfId="524" priority="556">
      <formula>O36&gt;K36</formula>
    </cfRule>
  </conditionalFormatting>
  <conditionalFormatting sqref="N38">
    <cfRule type="expression" dxfId="523" priority="553">
      <formula>O38&lt;K38</formula>
    </cfRule>
    <cfRule type="expression" dxfId="522" priority="554">
      <formula>O38&gt;K38</formula>
    </cfRule>
  </conditionalFormatting>
  <conditionalFormatting sqref="N37">
    <cfRule type="expression" dxfId="521" priority="551">
      <formula>O37&lt;K37</formula>
    </cfRule>
    <cfRule type="expression" dxfId="520" priority="552">
      <formula>O37&gt;K37</formula>
    </cfRule>
  </conditionalFormatting>
  <conditionalFormatting sqref="N40">
    <cfRule type="expression" dxfId="519" priority="549">
      <formula>O40&lt;K40</formula>
    </cfRule>
    <cfRule type="expression" dxfId="518" priority="550">
      <formula>O40&gt;K40</formula>
    </cfRule>
  </conditionalFormatting>
  <conditionalFormatting sqref="N42">
    <cfRule type="expression" dxfId="517" priority="547">
      <formula>O42&lt;K42</formula>
    </cfRule>
    <cfRule type="expression" dxfId="516" priority="548">
      <formula>O42&gt;K42</formula>
    </cfRule>
  </conditionalFormatting>
  <conditionalFormatting sqref="N41">
    <cfRule type="expression" dxfId="515" priority="545">
      <formula>O41&lt;K41</formula>
    </cfRule>
    <cfRule type="expression" dxfId="514" priority="546">
      <formula>O41&gt;K41</formula>
    </cfRule>
  </conditionalFormatting>
  <conditionalFormatting sqref="N46">
    <cfRule type="expression" dxfId="513" priority="543">
      <formula>O46&lt;K46</formula>
    </cfRule>
    <cfRule type="expression" dxfId="512" priority="544">
      <formula>O46&gt;K46</formula>
    </cfRule>
  </conditionalFormatting>
  <conditionalFormatting sqref="N48">
    <cfRule type="expression" dxfId="511" priority="541">
      <formula>O48&lt;K48</formula>
    </cfRule>
    <cfRule type="expression" dxfId="510" priority="542">
      <formula>O48&gt;K48</formula>
    </cfRule>
  </conditionalFormatting>
  <conditionalFormatting sqref="N47">
    <cfRule type="expression" dxfId="509" priority="539">
      <formula>O47&lt;K47</formula>
    </cfRule>
    <cfRule type="expression" dxfId="508" priority="540">
      <formula>O47&gt;K47</formula>
    </cfRule>
  </conditionalFormatting>
  <conditionalFormatting sqref="N50">
    <cfRule type="expression" dxfId="507" priority="537">
      <formula>O50&lt;K50</formula>
    </cfRule>
    <cfRule type="expression" dxfId="506" priority="538">
      <formula>O50&gt;K50</formula>
    </cfRule>
  </conditionalFormatting>
  <conditionalFormatting sqref="N52">
    <cfRule type="expression" dxfId="505" priority="535">
      <formula>O52&lt;K52</formula>
    </cfRule>
    <cfRule type="expression" dxfId="504" priority="536">
      <formula>O52&gt;K52</formula>
    </cfRule>
  </conditionalFormatting>
  <conditionalFormatting sqref="N51">
    <cfRule type="expression" dxfId="503" priority="533">
      <formula>O51&lt;K51</formula>
    </cfRule>
    <cfRule type="expression" dxfId="502" priority="534">
      <formula>O51&gt;K51</formula>
    </cfRule>
  </conditionalFormatting>
  <conditionalFormatting sqref="N55">
    <cfRule type="expression" dxfId="501" priority="531">
      <formula>O55&lt;K55</formula>
    </cfRule>
    <cfRule type="expression" dxfId="500" priority="532">
      <formula>O55&gt;K55</formula>
    </cfRule>
  </conditionalFormatting>
  <conditionalFormatting sqref="N57">
    <cfRule type="expression" dxfId="499" priority="529">
      <formula>O57&lt;K57</formula>
    </cfRule>
    <cfRule type="expression" dxfId="498" priority="530">
      <formula>O57&gt;K57</formula>
    </cfRule>
  </conditionalFormatting>
  <conditionalFormatting sqref="N56">
    <cfRule type="expression" dxfId="497" priority="527">
      <formula>O56&lt;K56</formula>
    </cfRule>
    <cfRule type="expression" dxfId="496" priority="528">
      <formula>O56&gt;K56</formula>
    </cfRule>
  </conditionalFormatting>
  <conditionalFormatting sqref="N59">
    <cfRule type="expression" dxfId="495" priority="525">
      <formula>O59&lt;K59</formula>
    </cfRule>
    <cfRule type="expression" dxfId="494" priority="526">
      <formula>O59&gt;K59</formula>
    </cfRule>
  </conditionalFormatting>
  <conditionalFormatting sqref="N61">
    <cfRule type="expression" dxfId="493" priority="523">
      <formula>O61&lt;K61</formula>
    </cfRule>
    <cfRule type="expression" dxfId="492" priority="524">
      <formula>O61&gt;K61</formula>
    </cfRule>
  </conditionalFormatting>
  <conditionalFormatting sqref="N60">
    <cfRule type="expression" dxfId="491" priority="521">
      <formula>O60&lt;K60</formula>
    </cfRule>
    <cfRule type="expression" dxfId="490" priority="522">
      <formula>O60&gt;K60</formula>
    </cfRule>
  </conditionalFormatting>
  <conditionalFormatting sqref="N64">
    <cfRule type="expression" dxfId="489" priority="519">
      <formula>O64&lt;K64</formula>
    </cfRule>
    <cfRule type="expression" dxfId="488" priority="520">
      <formula>O64&gt;K64</formula>
    </cfRule>
  </conditionalFormatting>
  <conditionalFormatting sqref="N66">
    <cfRule type="expression" dxfId="487" priority="517">
      <formula>O66&lt;K66</formula>
    </cfRule>
    <cfRule type="expression" dxfId="486" priority="518">
      <formula>O66&gt;K66</formula>
    </cfRule>
  </conditionalFormatting>
  <conditionalFormatting sqref="N65">
    <cfRule type="expression" dxfId="485" priority="515">
      <formula>O65&lt;K65</formula>
    </cfRule>
    <cfRule type="expression" dxfId="484" priority="516">
      <formula>O65&gt;K65</formula>
    </cfRule>
  </conditionalFormatting>
  <conditionalFormatting sqref="N68">
    <cfRule type="expression" dxfId="483" priority="513">
      <formula>O68&lt;K68</formula>
    </cfRule>
    <cfRule type="expression" dxfId="482" priority="514">
      <formula>O68&gt;K68</formula>
    </cfRule>
  </conditionalFormatting>
  <conditionalFormatting sqref="N70">
    <cfRule type="expression" dxfId="481" priority="511">
      <formula>O70&lt;K70</formula>
    </cfRule>
    <cfRule type="expression" dxfId="480" priority="512">
      <formula>O70&gt;K70</formula>
    </cfRule>
  </conditionalFormatting>
  <conditionalFormatting sqref="N69">
    <cfRule type="expression" dxfId="479" priority="509">
      <formula>O69&lt;K69</formula>
    </cfRule>
    <cfRule type="expression" dxfId="478" priority="510">
      <formula>O69&gt;K69</formula>
    </cfRule>
  </conditionalFormatting>
  <conditionalFormatting sqref="N74">
    <cfRule type="expression" dxfId="477" priority="507">
      <formula>O74&lt;K74</formula>
    </cfRule>
    <cfRule type="expression" dxfId="476" priority="508">
      <formula>O74&gt;K74</formula>
    </cfRule>
  </conditionalFormatting>
  <conditionalFormatting sqref="N76">
    <cfRule type="expression" dxfId="475" priority="505">
      <formula>O76&lt;K76</formula>
    </cfRule>
    <cfRule type="expression" dxfId="474" priority="506">
      <formula>O76&gt;K76</formula>
    </cfRule>
  </conditionalFormatting>
  <conditionalFormatting sqref="N75">
    <cfRule type="expression" dxfId="473" priority="503">
      <formula>O75&lt;K75</formula>
    </cfRule>
    <cfRule type="expression" dxfId="472" priority="504">
      <formula>O75&gt;K75</formula>
    </cfRule>
  </conditionalFormatting>
  <conditionalFormatting sqref="N78">
    <cfRule type="expression" dxfId="471" priority="501">
      <formula>O78&lt;K78</formula>
    </cfRule>
    <cfRule type="expression" dxfId="470" priority="502">
      <formula>O78&gt;K78</formula>
    </cfRule>
  </conditionalFormatting>
  <conditionalFormatting sqref="N79">
    <cfRule type="expression" dxfId="469" priority="497">
      <formula>O79&lt;K79</formula>
    </cfRule>
    <cfRule type="expression" dxfId="468" priority="498">
      <formula>O79&gt;K79</formula>
    </cfRule>
  </conditionalFormatting>
  <conditionalFormatting sqref="N83">
    <cfRule type="expression" dxfId="467" priority="495">
      <formula>O83&lt;K83</formula>
    </cfRule>
    <cfRule type="expression" dxfId="466" priority="496">
      <formula>O83&gt;K83</formula>
    </cfRule>
  </conditionalFormatting>
  <conditionalFormatting sqref="N85">
    <cfRule type="expression" dxfId="465" priority="493">
      <formula>O85&lt;K85</formula>
    </cfRule>
    <cfRule type="expression" dxfId="464" priority="494">
      <formula>O85&gt;K85</formula>
    </cfRule>
  </conditionalFormatting>
  <conditionalFormatting sqref="N84">
    <cfRule type="expression" dxfId="463" priority="491">
      <formula>O84&lt;K84</formula>
    </cfRule>
    <cfRule type="expression" dxfId="462" priority="492">
      <formula>O84&gt;K84</formula>
    </cfRule>
  </conditionalFormatting>
  <conditionalFormatting sqref="N87">
    <cfRule type="expression" dxfId="461" priority="489">
      <formula>O87&lt;K87</formula>
    </cfRule>
    <cfRule type="expression" dxfId="460" priority="490">
      <formula>O87&gt;K87</formula>
    </cfRule>
  </conditionalFormatting>
  <conditionalFormatting sqref="N89">
    <cfRule type="expression" dxfId="459" priority="487">
      <formula>O89&lt;K89</formula>
    </cfRule>
    <cfRule type="expression" dxfId="458" priority="488">
      <formula>O89&gt;K89</formula>
    </cfRule>
  </conditionalFormatting>
  <conditionalFormatting sqref="N88">
    <cfRule type="expression" dxfId="457" priority="485">
      <formula>O88&lt;K88</formula>
    </cfRule>
    <cfRule type="expression" dxfId="456" priority="486">
      <formula>O88&gt;K88</formula>
    </cfRule>
  </conditionalFormatting>
  <conditionalFormatting sqref="N92">
    <cfRule type="expression" dxfId="455" priority="483">
      <formula>O92&lt;K92</formula>
    </cfRule>
    <cfRule type="expression" dxfId="454" priority="484">
      <formula>O92&gt;K92</formula>
    </cfRule>
  </conditionalFormatting>
  <conditionalFormatting sqref="N94">
    <cfRule type="expression" dxfId="453" priority="481">
      <formula>O94&lt;K94</formula>
    </cfRule>
    <cfRule type="expression" dxfId="452" priority="482">
      <formula>O94&gt;K94</formula>
    </cfRule>
  </conditionalFormatting>
  <conditionalFormatting sqref="N93">
    <cfRule type="expression" dxfId="451" priority="479">
      <formula>O93&lt;K93</formula>
    </cfRule>
    <cfRule type="expression" dxfId="450" priority="480">
      <formula>O93&gt;K93</formula>
    </cfRule>
  </conditionalFormatting>
  <conditionalFormatting sqref="N96">
    <cfRule type="expression" dxfId="449" priority="477">
      <formula>O96&lt;K96</formula>
    </cfRule>
    <cfRule type="expression" dxfId="448" priority="478">
      <formula>O96&gt;K96</formula>
    </cfRule>
  </conditionalFormatting>
  <conditionalFormatting sqref="N97">
    <cfRule type="expression" dxfId="447" priority="473">
      <formula>O97&lt;K97</formula>
    </cfRule>
    <cfRule type="expression" dxfId="446" priority="474">
      <formula>O97&gt;K97</formula>
    </cfRule>
  </conditionalFormatting>
  <conditionalFormatting sqref="N102">
    <cfRule type="expression" dxfId="445" priority="471">
      <formula>O102&lt;K102</formula>
    </cfRule>
    <cfRule type="expression" dxfId="444" priority="472">
      <formula>O102&gt;K102</formula>
    </cfRule>
  </conditionalFormatting>
  <conditionalFormatting sqref="N104">
    <cfRule type="expression" dxfId="443" priority="469">
      <formula>O104&lt;K104</formula>
    </cfRule>
    <cfRule type="expression" dxfId="442" priority="470">
      <formula>O104&gt;K104</formula>
    </cfRule>
  </conditionalFormatting>
  <conditionalFormatting sqref="N103">
    <cfRule type="expression" dxfId="441" priority="467">
      <formula>O103&lt;K103</formula>
    </cfRule>
    <cfRule type="expression" dxfId="440" priority="468">
      <formula>O103&gt;K103</formula>
    </cfRule>
  </conditionalFormatting>
  <conditionalFormatting sqref="N106">
    <cfRule type="expression" dxfId="439" priority="465">
      <formula>O106&lt;K106</formula>
    </cfRule>
    <cfRule type="expression" dxfId="438" priority="466">
      <formula>O106&gt;K106</formula>
    </cfRule>
  </conditionalFormatting>
  <conditionalFormatting sqref="N108">
    <cfRule type="expression" dxfId="437" priority="463">
      <formula>O108&lt;K108</formula>
    </cfRule>
    <cfRule type="expression" dxfId="436" priority="464">
      <formula>O108&gt;K108</formula>
    </cfRule>
  </conditionalFormatting>
  <conditionalFormatting sqref="N107">
    <cfRule type="expression" dxfId="435" priority="461">
      <formula>O107&lt;K107</formula>
    </cfRule>
    <cfRule type="expression" dxfId="434" priority="462">
      <formula>O107&gt;K107</formula>
    </cfRule>
  </conditionalFormatting>
  <conditionalFormatting sqref="N111">
    <cfRule type="expression" dxfId="433" priority="459">
      <formula>O111&lt;K111</formula>
    </cfRule>
    <cfRule type="expression" dxfId="432" priority="460">
      <formula>O111&gt;K111</formula>
    </cfRule>
  </conditionalFormatting>
  <conditionalFormatting sqref="N113">
    <cfRule type="expression" dxfId="431" priority="457">
      <formula>O113&lt;K113</formula>
    </cfRule>
    <cfRule type="expression" dxfId="430" priority="458">
      <formula>O113&gt;K113</formula>
    </cfRule>
  </conditionalFormatting>
  <conditionalFormatting sqref="N112">
    <cfRule type="expression" dxfId="429" priority="455">
      <formula>O112&lt;K112</formula>
    </cfRule>
    <cfRule type="expression" dxfId="428" priority="456">
      <formula>O112&gt;K112</formula>
    </cfRule>
  </conditionalFormatting>
  <conditionalFormatting sqref="N115">
    <cfRule type="expression" dxfId="427" priority="453">
      <formula>O115&lt;K115</formula>
    </cfRule>
    <cfRule type="expression" dxfId="426" priority="454">
      <formula>O115&gt;K115</formula>
    </cfRule>
  </conditionalFormatting>
  <conditionalFormatting sqref="N117">
    <cfRule type="expression" dxfId="425" priority="451">
      <formula>O117&lt;K117</formula>
    </cfRule>
    <cfRule type="expression" dxfId="424" priority="452">
      <formula>O117&gt;K117</formula>
    </cfRule>
  </conditionalFormatting>
  <conditionalFormatting sqref="N116">
    <cfRule type="expression" dxfId="423" priority="449">
      <formula>O116&lt;K116</formula>
    </cfRule>
    <cfRule type="expression" dxfId="422" priority="450">
      <formula>O116&gt;K116</formula>
    </cfRule>
  </conditionalFormatting>
  <conditionalFormatting sqref="N120">
    <cfRule type="expression" dxfId="421" priority="447">
      <formula>O120&lt;K120</formula>
    </cfRule>
    <cfRule type="expression" dxfId="420" priority="448">
      <formula>O120&gt;K120</formula>
    </cfRule>
  </conditionalFormatting>
  <conditionalFormatting sqref="N122">
    <cfRule type="expression" dxfId="419" priority="445">
      <formula>O122&lt;K122</formula>
    </cfRule>
    <cfRule type="expression" dxfId="418" priority="446">
      <formula>O122&gt;K122</formula>
    </cfRule>
  </conditionalFormatting>
  <conditionalFormatting sqref="N121">
    <cfRule type="expression" dxfId="417" priority="443">
      <formula>O121&lt;K121</formula>
    </cfRule>
    <cfRule type="expression" dxfId="416" priority="444">
      <formula>O121&gt;K121</formula>
    </cfRule>
  </conditionalFormatting>
  <conditionalFormatting sqref="N124">
    <cfRule type="expression" dxfId="415" priority="441">
      <formula>O124&lt;K124</formula>
    </cfRule>
    <cfRule type="expression" dxfId="414" priority="442">
      <formula>O124&gt;K124</formula>
    </cfRule>
  </conditionalFormatting>
  <conditionalFormatting sqref="N126">
    <cfRule type="expression" dxfId="413" priority="439">
      <formula>O126&lt;K126</formula>
    </cfRule>
    <cfRule type="expression" dxfId="412" priority="440">
      <formula>O126&gt;K126</formula>
    </cfRule>
  </conditionalFormatting>
  <conditionalFormatting sqref="N125">
    <cfRule type="expression" dxfId="411" priority="437">
      <formula>O125&lt;K125</formula>
    </cfRule>
    <cfRule type="expression" dxfId="410" priority="438">
      <formula>O125&gt;K125</formula>
    </cfRule>
  </conditionalFormatting>
  <conditionalFormatting sqref="N130">
    <cfRule type="expression" dxfId="409" priority="435">
      <formula>O130&lt;K130</formula>
    </cfRule>
    <cfRule type="expression" dxfId="408" priority="436">
      <formula>O130&gt;K130</formula>
    </cfRule>
  </conditionalFormatting>
  <conditionalFormatting sqref="N132">
    <cfRule type="expression" dxfId="407" priority="433">
      <formula>O132&lt;K132</formula>
    </cfRule>
    <cfRule type="expression" dxfId="406" priority="434">
      <formula>O132&gt;K132</formula>
    </cfRule>
  </conditionalFormatting>
  <conditionalFormatting sqref="N131">
    <cfRule type="expression" dxfId="405" priority="431">
      <formula>O131&lt;K131</formula>
    </cfRule>
    <cfRule type="expression" dxfId="404" priority="432">
      <formula>O131&gt;K131</formula>
    </cfRule>
  </conditionalFormatting>
  <conditionalFormatting sqref="N134">
    <cfRule type="expression" dxfId="403" priority="429">
      <formula>O134&lt;K134</formula>
    </cfRule>
    <cfRule type="expression" dxfId="402" priority="430">
      <formula>O134&gt;K134</formula>
    </cfRule>
  </conditionalFormatting>
  <conditionalFormatting sqref="N136">
    <cfRule type="expression" dxfId="401" priority="427">
      <formula>O136&lt;K136</formula>
    </cfRule>
    <cfRule type="expression" dxfId="400" priority="428">
      <formula>O136&gt;K136</formula>
    </cfRule>
  </conditionalFormatting>
  <conditionalFormatting sqref="N135">
    <cfRule type="expression" dxfId="399" priority="425">
      <formula>O135&lt;K135</formula>
    </cfRule>
    <cfRule type="expression" dxfId="398" priority="426">
      <formula>O135&gt;K135</formula>
    </cfRule>
  </conditionalFormatting>
  <conditionalFormatting sqref="N139">
    <cfRule type="expression" dxfId="397" priority="423">
      <formula>O139&lt;K139</formula>
    </cfRule>
    <cfRule type="expression" dxfId="396" priority="424">
      <formula>O139&gt;K139</formula>
    </cfRule>
  </conditionalFormatting>
  <conditionalFormatting sqref="N141">
    <cfRule type="expression" dxfId="395" priority="421">
      <formula>O141&lt;K141</formula>
    </cfRule>
    <cfRule type="expression" dxfId="394" priority="422">
      <formula>O141&gt;K141</formula>
    </cfRule>
  </conditionalFormatting>
  <conditionalFormatting sqref="N140">
    <cfRule type="expression" dxfId="393" priority="419">
      <formula>O140&lt;K140</formula>
    </cfRule>
    <cfRule type="expression" dxfId="392" priority="420">
      <formula>O140&gt;K140</formula>
    </cfRule>
  </conditionalFormatting>
  <conditionalFormatting sqref="N143">
    <cfRule type="expression" dxfId="391" priority="417">
      <formula>O143&lt;K143</formula>
    </cfRule>
    <cfRule type="expression" dxfId="390" priority="418">
      <formula>O143&gt;K143</formula>
    </cfRule>
  </conditionalFormatting>
  <conditionalFormatting sqref="N145">
    <cfRule type="expression" dxfId="389" priority="415">
      <formula>O145&lt;K145</formula>
    </cfRule>
    <cfRule type="expression" dxfId="388" priority="416">
      <formula>O145&gt;K145</formula>
    </cfRule>
  </conditionalFormatting>
  <conditionalFormatting sqref="N144">
    <cfRule type="expression" dxfId="387" priority="413">
      <formula>O144&lt;K144</formula>
    </cfRule>
    <cfRule type="expression" dxfId="386" priority="414">
      <formula>O144&gt;K144</formula>
    </cfRule>
  </conditionalFormatting>
  <conditionalFormatting sqref="N148">
    <cfRule type="expression" dxfId="385" priority="411">
      <formula>O148&lt;K148</formula>
    </cfRule>
    <cfRule type="expression" dxfId="384" priority="412">
      <formula>O148&gt;K148</formula>
    </cfRule>
  </conditionalFormatting>
  <conditionalFormatting sqref="N150">
    <cfRule type="expression" dxfId="383" priority="409">
      <formula>O150&lt;K150</formula>
    </cfRule>
    <cfRule type="expression" dxfId="382" priority="410">
      <formula>O150&gt;K150</formula>
    </cfRule>
  </conditionalFormatting>
  <conditionalFormatting sqref="N149">
    <cfRule type="expression" dxfId="381" priority="407">
      <formula>O149&lt;K149</formula>
    </cfRule>
    <cfRule type="expression" dxfId="380" priority="408">
      <formula>O149&gt;K149</formula>
    </cfRule>
  </conditionalFormatting>
  <conditionalFormatting sqref="N152">
    <cfRule type="expression" dxfId="379" priority="405">
      <formula>O152&lt;K152</formula>
    </cfRule>
    <cfRule type="expression" dxfId="378" priority="406">
      <formula>O152&gt;K152</formula>
    </cfRule>
  </conditionalFormatting>
  <conditionalFormatting sqref="N154">
    <cfRule type="expression" dxfId="377" priority="403">
      <formula>O154&lt;K154</formula>
    </cfRule>
    <cfRule type="expression" dxfId="376" priority="404">
      <formula>O154&gt;K154</formula>
    </cfRule>
  </conditionalFormatting>
  <conditionalFormatting sqref="R18">
    <cfRule type="expression" dxfId="375" priority="399">
      <formula>S18&lt;O18</formula>
    </cfRule>
    <cfRule type="expression" dxfId="374" priority="400">
      <formula>S18&gt;O18</formula>
    </cfRule>
  </conditionalFormatting>
  <conditionalFormatting sqref="R20">
    <cfRule type="expression" dxfId="373" priority="397">
      <formula>S20&lt;O20</formula>
    </cfRule>
    <cfRule type="expression" dxfId="372" priority="398">
      <formula>S20&gt;O20</formula>
    </cfRule>
  </conditionalFormatting>
  <conditionalFormatting sqref="R19">
    <cfRule type="expression" dxfId="371" priority="395">
      <formula>S19&lt;O19</formula>
    </cfRule>
    <cfRule type="expression" dxfId="370" priority="396">
      <formula>S19&gt;O19</formula>
    </cfRule>
  </conditionalFormatting>
  <conditionalFormatting sqref="R22">
    <cfRule type="expression" dxfId="369" priority="393">
      <formula>S22&lt;O22</formula>
    </cfRule>
    <cfRule type="expression" dxfId="368" priority="394">
      <formula>S22&gt;O22</formula>
    </cfRule>
  </conditionalFormatting>
  <conditionalFormatting sqref="R23">
    <cfRule type="expression" dxfId="367" priority="389">
      <formula>S23&lt;O23</formula>
    </cfRule>
    <cfRule type="expression" dxfId="366" priority="390">
      <formula>S23&gt;O23</formula>
    </cfRule>
  </conditionalFormatting>
  <conditionalFormatting sqref="R27">
    <cfRule type="expression" dxfId="365" priority="387">
      <formula>S27&lt;O27</formula>
    </cfRule>
    <cfRule type="expression" dxfId="364" priority="388">
      <formula>S27&gt;O27</formula>
    </cfRule>
  </conditionalFormatting>
  <conditionalFormatting sqref="R29">
    <cfRule type="expression" dxfId="363" priority="385">
      <formula>S29&lt;O29</formula>
    </cfRule>
    <cfRule type="expression" dxfId="362" priority="386">
      <formula>S29&gt;O29</formula>
    </cfRule>
  </conditionalFormatting>
  <conditionalFormatting sqref="R28">
    <cfRule type="expression" dxfId="361" priority="383">
      <formula>S28&lt;O28</formula>
    </cfRule>
    <cfRule type="expression" dxfId="360" priority="384">
      <formula>S28&gt;O28</formula>
    </cfRule>
  </conditionalFormatting>
  <conditionalFormatting sqref="R31">
    <cfRule type="expression" dxfId="359" priority="381">
      <formula>S31&lt;O31</formula>
    </cfRule>
    <cfRule type="expression" dxfId="358" priority="382">
      <formula>S31&gt;O31</formula>
    </cfRule>
  </conditionalFormatting>
  <conditionalFormatting sqref="R153">
    <cfRule type="expression" dxfId="357" priority="221">
      <formula>S153&lt;O153</formula>
    </cfRule>
    <cfRule type="expression" dxfId="356" priority="222">
      <formula>S153&gt;O153</formula>
    </cfRule>
  </conditionalFormatting>
  <conditionalFormatting sqref="R36">
    <cfRule type="expression" dxfId="355" priority="375">
      <formula>S36&lt;O36</formula>
    </cfRule>
    <cfRule type="expression" dxfId="354" priority="376">
      <formula>S36&gt;O36</formula>
    </cfRule>
  </conditionalFormatting>
  <conditionalFormatting sqref="R38">
    <cfRule type="expression" dxfId="353" priority="373">
      <formula>S38&lt;O38</formula>
    </cfRule>
    <cfRule type="expression" dxfId="352" priority="374">
      <formula>S38&gt;O38</formula>
    </cfRule>
  </conditionalFormatting>
  <conditionalFormatting sqref="R37">
    <cfRule type="expression" dxfId="351" priority="371">
      <formula>S37&lt;O37</formula>
    </cfRule>
    <cfRule type="expression" dxfId="350" priority="372">
      <formula>S37&gt;O37</formula>
    </cfRule>
  </conditionalFormatting>
  <conditionalFormatting sqref="R40">
    <cfRule type="expression" dxfId="349" priority="369">
      <formula>S40&lt;O40</formula>
    </cfRule>
    <cfRule type="expression" dxfId="348" priority="370">
      <formula>S40&gt;O40</formula>
    </cfRule>
  </conditionalFormatting>
  <conditionalFormatting sqref="R42">
    <cfRule type="expression" dxfId="347" priority="367">
      <formula>S42&lt;O42</formula>
    </cfRule>
    <cfRule type="expression" dxfId="346" priority="368">
      <formula>S42&gt;O42</formula>
    </cfRule>
  </conditionalFormatting>
  <conditionalFormatting sqref="R41">
    <cfRule type="expression" dxfId="345" priority="365">
      <formula>S41&lt;O41</formula>
    </cfRule>
    <cfRule type="expression" dxfId="344" priority="366">
      <formula>S41&gt;O41</formula>
    </cfRule>
  </conditionalFormatting>
  <conditionalFormatting sqref="R46">
    <cfRule type="expression" dxfId="343" priority="363">
      <formula>S46&lt;O46</formula>
    </cfRule>
    <cfRule type="expression" dxfId="342" priority="364">
      <formula>S46&gt;O46</formula>
    </cfRule>
  </conditionalFormatting>
  <conditionalFormatting sqref="R48">
    <cfRule type="expression" dxfId="341" priority="361">
      <formula>S48&lt;O48</formula>
    </cfRule>
    <cfRule type="expression" dxfId="340" priority="362">
      <formula>S48&gt;O48</formula>
    </cfRule>
  </conditionalFormatting>
  <conditionalFormatting sqref="R47">
    <cfRule type="expression" dxfId="339" priority="359">
      <formula>S47&lt;O47</formula>
    </cfRule>
    <cfRule type="expression" dxfId="338" priority="360">
      <formula>S47&gt;O47</formula>
    </cfRule>
  </conditionalFormatting>
  <conditionalFormatting sqref="R50">
    <cfRule type="expression" dxfId="337" priority="357">
      <formula>S50&lt;O50</formula>
    </cfRule>
    <cfRule type="expression" dxfId="336" priority="358">
      <formula>S50&gt;O50</formula>
    </cfRule>
  </conditionalFormatting>
  <conditionalFormatting sqref="R52">
    <cfRule type="expression" dxfId="335" priority="355">
      <formula>S52&lt;O52</formula>
    </cfRule>
    <cfRule type="expression" dxfId="334" priority="356">
      <formula>S52&gt;O52</formula>
    </cfRule>
  </conditionalFormatting>
  <conditionalFormatting sqref="R51">
    <cfRule type="expression" dxfId="333" priority="353">
      <formula>S51&lt;O51</formula>
    </cfRule>
    <cfRule type="expression" dxfId="332" priority="354">
      <formula>S51&gt;O51</formula>
    </cfRule>
  </conditionalFormatting>
  <conditionalFormatting sqref="R55">
    <cfRule type="expression" dxfId="331" priority="351">
      <formula>S55&lt;O55</formula>
    </cfRule>
    <cfRule type="expression" dxfId="330" priority="352">
      <formula>S55&gt;O55</formula>
    </cfRule>
  </conditionalFormatting>
  <conditionalFormatting sqref="R57">
    <cfRule type="expression" dxfId="329" priority="349">
      <formula>S57&lt;O57</formula>
    </cfRule>
    <cfRule type="expression" dxfId="328" priority="350">
      <formula>S57&gt;O57</formula>
    </cfRule>
  </conditionalFormatting>
  <conditionalFormatting sqref="R56">
    <cfRule type="expression" dxfId="327" priority="347">
      <formula>S56&lt;O56</formula>
    </cfRule>
    <cfRule type="expression" dxfId="326" priority="348">
      <formula>S56&gt;O56</formula>
    </cfRule>
  </conditionalFormatting>
  <conditionalFormatting sqref="R59">
    <cfRule type="expression" dxfId="325" priority="345">
      <formula>S59&lt;O59</formula>
    </cfRule>
    <cfRule type="expression" dxfId="324" priority="346">
      <formula>S59&gt;O59</formula>
    </cfRule>
  </conditionalFormatting>
  <conditionalFormatting sqref="R61">
    <cfRule type="expression" dxfId="323" priority="343">
      <formula>S61&lt;O61</formula>
    </cfRule>
    <cfRule type="expression" dxfId="322" priority="344">
      <formula>S61&gt;O61</formula>
    </cfRule>
  </conditionalFormatting>
  <conditionalFormatting sqref="R60">
    <cfRule type="expression" dxfId="321" priority="341">
      <formula>S60&lt;O60</formula>
    </cfRule>
    <cfRule type="expression" dxfId="320" priority="342">
      <formula>S60&gt;O60</formula>
    </cfRule>
  </conditionalFormatting>
  <conditionalFormatting sqref="R64">
    <cfRule type="expression" dxfId="319" priority="339">
      <formula>S64&lt;O64</formula>
    </cfRule>
    <cfRule type="expression" dxfId="318" priority="340">
      <formula>S64&gt;O64</formula>
    </cfRule>
  </conditionalFormatting>
  <conditionalFormatting sqref="R66">
    <cfRule type="expression" dxfId="317" priority="337">
      <formula>S66&lt;O66</formula>
    </cfRule>
    <cfRule type="expression" dxfId="316" priority="338">
      <formula>S66&gt;O66</formula>
    </cfRule>
  </conditionalFormatting>
  <conditionalFormatting sqref="R65">
    <cfRule type="expression" dxfId="315" priority="335">
      <formula>S65&lt;O65</formula>
    </cfRule>
    <cfRule type="expression" dxfId="314" priority="336">
      <formula>S65&gt;O65</formula>
    </cfRule>
  </conditionalFormatting>
  <conditionalFormatting sqref="R68">
    <cfRule type="expression" dxfId="313" priority="333">
      <formula>S68&lt;O68</formula>
    </cfRule>
    <cfRule type="expression" dxfId="312" priority="334">
      <formula>S68&gt;O68</formula>
    </cfRule>
  </conditionalFormatting>
  <conditionalFormatting sqref="R70">
    <cfRule type="expression" dxfId="311" priority="331">
      <formula>S70&lt;O70</formula>
    </cfRule>
    <cfRule type="expression" dxfId="310" priority="332">
      <formula>S70&gt;O70</formula>
    </cfRule>
  </conditionalFormatting>
  <conditionalFormatting sqref="R69">
    <cfRule type="expression" dxfId="309" priority="329">
      <formula>S69&lt;O69</formula>
    </cfRule>
    <cfRule type="expression" dxfId="308" priority="330">
      <formula>S69&gt;O69</formula>
    </cfRule>
  </conditionalFormatting>
  <conditionalFormatting sqref="R74">
    <cfRule type="expression" dxfId="307" priority="327">
      <formula>S74&lt;O74</formula>
    </cfRule>
    <cfRule type="expression" dxfId="306" priority="328">
      <formula>S74&gt;O74</formula>
    </cfRule>
  </conditionalFormatting>
  <conditionalFormatting sqref="R76">
    <cfRule type="expression" dxfId="305" priority="325">
      <formula>S76&lt;O76</formula>
    </cfRule>
    <cfRule type="expression" dxfId="304" priority="326">
      <formula>S76&gt;O76</formula>
    </cfRule>
  </conditionalFormatting>
  <conditionalFormatting sqref="R75">
    <cfRule type="expression" dxfId="303" priority="323">
      <formula>S75&lt;O75</formula>
    </cfRule>
    <cfRule type="expression" dxfId="302" priority="324">
      <formula>S75&gt;O75</formula>
    </cfRule>
  </conditionalFormatting>
  <conditionalFormatting sqref="R78">
    <cfRule type="expression" dxfId="301" priority="321">
      <formula>S78&lt;O78</formula>
    </cfRule>
    <cfRule type="expression" dxfId="300" priority="322">
      <formula>S78&gt;O78</formula>
    </cfRule>
  </conditionalFormatting>
  <conditionalFormatting sqref="R79">
    <cfRule type="expression" dxfId="299" priority="317">
      <formula>S79&lt;O79</formula>
    </cfRule>
    <cfRule type="expression" dxfId="298" priority="318">
      <formula>S79&gt;O79</formula>
    </cfRule>
  </conditionalFormatting>
  <conditionalFormatting sqref="R83">
    <cfRule type="expression" dxfId="297" priority="315">
      <formula>S83&lt;O83</formula>
    </cfRule>
    <cfRule type="expression" dxfId="296" priority="316">
      <formula>S83&gt;O83</formula>
    </cfRule>
  </conditionalFormatting>
  <conditionalFormatting sqref="R85">
    <cfRule type="expression" dxfId="295" priority="313">
      <formula>S85&lt;O85</formula>
    </cfRule>
    <cfRule type="expression" dxfId="294" priority="314">
      <formula>S85&gt;O85</formula>
    </cfRule>
  </conditionalFormatting>
  <conditionalFormatting sqref="R84">
    <cfRule type="expression" dxfId="293" priority="311">
      <formula>S84&lt;O84</formula>
    </cfRule>
    <cfRule type="expression" dxfId="292" priority="312">
      <formula>S84&gt;O84</formula>
    </cfRule>
  </conditionalFormatting>
  <conditionalFormatting sqref="R87">
    <cfRule type="expression" dxfId="291" priority="309">
      <formula>S87&lt;O87</formula>
    </cfRule>
    <cfRule type="expression" dxfId="290" priority="310">
      <formula>S87&gt;O87</formula>
    </cfRule>
  </conditionalFormatting>
  <conditionalFormatting sqref="R89">
    <cfRule type="expression" dxfId="289" priority="307">
      <formula>S89&lt;O89</formula>
    </cfRule>
    <cfRule type="expression" dxfId="288" priority="308">
      <formula>S89&gt;O89</formula>
    </cfRule>
  </conditionalFormatting>
  <conditionalFormatting sqref="R88">
    <cfRule type="expression" dxfId="287" priority="305">
      <formula>S88&lt;O88</formula>
    </cfRule>
    <cfRule type="expression" dxfId="286" priority="306">
      <formula>S88&gt;O88</formula>
    </cfRule>
  </conditionalFormatting>
  <conditionalFormatting sqref="R92">
    <cfRule type="expression" dxfId="285" priority="303">
      <formula>S92&lt;O92</formula>
    </cfRule>
    <cfRule type="expression" dxfId="284" priority="304">
      <formula>S92&gt;O92</formula>
    </cfRule>
  </conditionalFormatting>
  <conditionalFormatting sqref="R94">
    <cfRule type="expression" dxfId="283" priority="301">
      <formula>S94&lt;O94</formula>
    </cfRule>
    <cfRule type="expression" dxfId="282" priority="302">
      <formula>S94&gt;O94</formula>
    </cfRule>
  </conditionalFormatting>
  <conditionalFormatting sqref="R93">
    <cfRule type="expression" dxfId="281" priority="299">
      <formula>S93&lt;O93</formula>
    </cfRule>
    <cfRule type="expression" dxfId="280" priority="300">
      <formula>S93&gt;O93</formula>
    </cfRule>
  </conditionalFormatting>
  <conditionalFormatting sqref="R96">
    <cfRule type="expression" dxfId="279" priority="297">
      <formula>S96&lt;O96</formula>
    </cfRule>
    <cfRule type="expression" dxfId="278" priority="298">
      <formula>S96&gt;O96</formula>
    </cfRule>
  </conditionalFormatting>
  <conditionalFormatting sqref="R97">
    <cfRule type="expression" dxfId="277" priority="293">
      <formula>S97&lt;O97</formula>
    </cfRule>
    <cfRule type="expression" dxfId="276" priority="294">
      <formula>S97&gt;O97</formula>
    </cfRule>
  </conditionalFormatting>
  <conditionalFormatting sqref="R102">
    <cfRule type="expression" dxfId="275" priority="291">
      <formula>S102&lt;O102</formula>
    </cfRule>
    <cfRule type="expression" dxfId="274" priority="292">
      <formula>S102&gt;O102</formula>
    </cfRule>
  </conditionalFormatting>
  <conditionalFormatting sqref="R104">
    <cfRule type="expression" dxfId="273" priority="289">
      <formula>S104&lt;O104</formula>
    </cfRule>
    <cfRule type="expression" dxfId="272" priority="290">
      <formula>S104&gt;O104</formula>
    </cfRule>
  </conditionalFormatting>
  <conditionalFormatting sqref="R103">
    <cfRule type="expression" dxfId="271" priority="287">
      <formula>S103&lt;O103</formula>
    </cfRule>
    <cfRule type="expression" dxfId="270" priority="288">
      <formula>S103&gt;O103</formula>
    </cfRule>
  </conditionalFormatting>
  <conditionalFormatting sqref="R106">
    <cfRule type="expression" dxfId="269" priority="285">
      <formula>S106&lt;O106</formula>
    </cfRule>
    <cfRule type="expression" dxfId="268" priority="286">
      <formula>S106&gt;O106</formula>
    </cfRule>
  </conditionalFormatting>
  <conditionalFormatting sqref="R108">
    <cfRule type="expression" dxfId="267" priority="283">
      <formula>S108&lt;O108</formula>
    </cfRule>
    <cfRule type="expression" dxfId="266" priority="284">
      <formula>S108&gt;O108</formula>
    </cfRule>
  </conditionalFormatting>
  <conditionalFormatting sqref="R107">
    <cfRule type="expression" dxfId="265" priority="281">
      <formula>S107&lt;O107</formula>
    </cfRule>
    <cfRule type="expression" dxfId="264" priority="282">
      <formula>S107&gt;O107</formula>
    </cfRule>
  </conditionalFormatting>
  <conditionalFormatting sqref="R111">
    <cfRule type="expression" dxfId="263" priority="279">
      <formula>S111&lt;O111</formula>
    </cfRule>
    <cfRule type="expression" dxfId="262" priority="280">
      <formula>S111&gt;O111</formula>
    </cfRule>
  </conditionalFormatting>
  <conditionalFormatting sqref="R113">
    <cfRule type="expression" dxfId="261" priority="277">
      <formula>S113&lt;O113</formula>
    </cfRule>
    <cfRule type="expression" dxfId="260" priority="278">
      <formula>S113&gt;O113</formula>
    </cfRule>
  </conditionalFormatting>
  <conditionalFormatting sqref="R112">
    <cfRule type="expression" dxfId="259" priority="275">
      <formula>S112&lt;O112</formula>
    </cfRule>
    <cfRule type="expression" dxfId="258" priority="276">
      <formula>S112&gt;O112</formula>
    </cfRule>
  </conditionalFormatting>
  <conditionalFormatting sqref="R115">
    <cfRule type="expression" dxfId="257" priority="273">
      <formula>S115&lt;O115</formula>
    </cfRule>
    <cfRule type="expression" dxfId="256" priority="274">
      <formula>S115&gt;O115</formula>
    </cfRule>
  </conditionalFormatting>
  <conditionalFormatting sqref="R117">
    <cfRule type="expression" dxfId="255" priority="271">
      <formula>S117&lt;O117</formula>
    </cfRule>
    <cfRule type="expression" dxfId="254" priority="272">
      <formula>S117&gt;O117</formula>
    </cfRule>
  </conditionalFormatting>
  <conditionalFormatting sqref="R116">
    <cfRule type="expression" dxfId="253" priority="269">
      <formula>S116&lt;O116</formula>
    </cfRule>
    <cfRule type="expression" dxfId="252" priority="270">
      <formula>S116&gt;O116</formula>
    </cfRule>
  </conditionalFormatting>
  <conditionalFormatting sqref="R120">
    <cfRule type="expression" dxfId="251" priority="267">
      <formula>S120&lt;O120</formula>
    </cfRule>
    <cfRule type="expression" dxfId="250" priority="268">
      <formula>S120&gt;O120</formula>
    </cfRule>
  </conditionalFormatting>
  <conditionalFormatting sqref="R122">
    <cfRule type="expression" dxfId="249" priority="265">
      <formula>S122&lt;O122</formula>
    </cfRule>
    <cfRule type="expression" dxfId="248" priority="266">
      <formula>S122&gt;O122</formula>
    </cfRule>
  </conditionalFormatting>
  <conditionalFormatting sqref="R121">
    <cfRule type="expression" dxfId="247" priority="263">
      <formula>S121&lt;O121</formula>
    </cfRule>
    <cfRule type="expression" dxfId="246" priority="264">
      <formula>S121&gt;O121</formula>
    </cfRule>
  </conditionalFormatting>
  <conditionalFormatting sqref="R124">
    <cfRule type="expression" dxfId="245" priority="261">
      <formula>S124&lt;O124</formula>
    </cfRule>
    <cfRule type="expression" dxfId="244" priority="262">
      <formula>S124&gt;O124</formula>
    </cfRule>
  </conditionalFormatting>
  <conditionalFormatting sqref="R126">
    <cfRule type="expression" dxfId="243" priority="259">
      <formula>S126&lt;O126</formula>
    </cfRule>
    <cfRule type="expression" dxfId="242" priority="260">
      <formula>S126&gt;O126</formula>
    </cfRule>
  </conditionalFormatting>
  <conditionalFormatting sqref="R125">
    <cfRule type="expression" dxfId="241" priority="257">
      <formula>S125&lt;O125</formula>
    </cfRule>
    <cfRule type="expression" dxfId="240" priority="258">
      <formula>S125&gt;O125</formula>
    </cfRule>
  </conditionalFormatting>
  <conditionalFormatting sqref="R130">
    <cfRule type="expression" dxfId="239" priority="255">
      <formula>S130&lt;O130</formula>
    </cfRule>
    <cfRule type="expression" dxfId="238" priority="256">
      <formula>S130&gt;O130</formula>
    </cfRule>
  </conditionalFormatting>
  <conditionalFormatting sqref="R132">
    <cfRule type="expression" dxfId="237" priority="253">
      <formula>S132&lt;O132</formula>
    </cfRule>
    <cfRule type="expression" dxfId="236" priority="254">
      <formula>S132&gt;O132</formula>
    </cfRule>
  </conditionalFormatting>
  <conditionalFormatting sqref="R131">
    <cfRule type="expression" dxfId="235" priority="251">
      <formula>S131&lt;O131</formula>
    </cfRule>
    <cfRule type="expression" dxfId="234" priority="252">
      <formula>S131&gt;O131</formula>
    </cfRule>
  </conditionalFormatting>
  <conditionalFormatting sqref="R134">
    <cfRule type="expression" dxfId="233" priority="249">
      <formula>S134&lt;O134</formula>
    </cfRule>
    <cfRule type="expression" dxfId="232" priority="250">
      <formula>S134&gt;O134</formula>
    </cfRule>
  </conditionalFormatting>
  <conditionalFormatting sqref="R136">
    <cfRule type="expression" dxfId="231" priority="247">
      <formula>S136&lt;O136</formula>
    </cfRule>
    <cfRule type="expression" dxfId="230" priority="248">
      <formula>S136&gt;O136</formula>
    </cfRule>
  </conditionalFormatting>
  <conditionalFormatting sqref="R135">
    <cfRule type="expression" dxfId="229" priority="245">
      <formula>S135&lt;O135</formula>
    </cfRule>
    <cfRule type="expression" dxfId="228" priority="246">
      <formula>S135&gt;O135</formula>
    </cfRule>
  </conditionalFormatting>
  <conditionalFormatting sqref="R139">
    <cfRule type="expression" dxfId="227" priority="243">
      <formula>S139&lt;O139</formula>
    </cfRule>
    <cfRule type="expression" dxfId="226" priority="244">
      <formula>S139&gt;O139</formula>
    </cfRule>
  </conditionalFormatting>
  <conditionalFormatting sqref="R141">
    <cfRule type="expression" dxfId="225" priority="241">
      <formula>S141&lt;O141</formula>
    </cfRule>
    <cfRule type="expression" dxfId="224" priority="242">
      <formula>S141&gt;O141</formula>
    </cfRule>
  </conditionalFormatting>
  <conditionalFormatting sqref="R140">
    <cfRule type="expression" dxfId="223" priority="239">
      <formula>S140&lt;O140</formula>
    </cfRule>
    <cfRule type="expression" dxfId="222" priority="240">
      <formula>S140&gt;O140</formula>
    </cfRule>
  </conditionalFormatting>
  <conditionalFormatting sqref="R143">
    <cfRule type="expression" dxfId="221" priority="237">
      <formula>S143&lt;O143</formula>
    </cfRule>
    <cfRule type="expression" dxfId="220" priority="238">
      <formula>S143&gt;O143</formula>
    </cfRule>
  </conditionalFormatting>
  <conditionalFormatting sqref="R145">
    <cfRule type="expression" dxfId="219" priority="235">
      <formula>S145&lt;O145</formula>
    </cfRule>
    <cfRule type="expression" dxfId="218" priority="236">
      <formula>S145&gt;O145</formula>
    </cfRule>
  </conditionalFormatting>
  <conditionalFormatting sqref="R144">
    <cfRule type="expression" dxfId="217" priority="233">
      <formula>S144&lt;O144</formula>
    </cfRule>
    <cfRule type="expression" dxfId="216" priority="234">
      <formula>S144&gt;O144</formula>
    </cfRule>
  </conditionalFormatting>
  <conditionalFormatting sqref="R148">
    <cfRule type="expression" dxfId="215" priority="231">
      <formula>S148&lt;O148</formula>
    </cfRule>
    <cfRule type="expression" dxfId="214" priority="232">
      <formula>S148&gt;O148</formula>
    </cfRule>
  </conditionalFormatting>
  <conditionalFormatting sqref="R150">
    <cfRule type="expression" dxfId="213" priority="229">
      <formula>S150&lt;O150</formula>
    </cfRule>
    <cfRule type="expression" dxfId="212" priority="230">
      <formula>S150&gt;O150</formula>
    </cfRule>
  </conditionalFormatting>
  <conditionalFormatting sqref="R149">
    <cfRule type="expression" dxfId="211" priority="227">
      <formula>S149&lt;O149</formula>
    </cfRule>
    <cfRule type="expression" dxfId="210" priority="228">
      <formula>S149&gt;O149</formula>
    </cfRule>
  </conditionalFormatting>
  <conditionalFormatting sqref="R152">
    <cfRule type="expression" dxfId="209" priority="225">
      <formula>S152&lt;O152</formula>
    </cfRule>
    <cfRule type="expression" dxfId="208" priority="226">
      <formula>S152&gt;O152</formula>
    </cfRule>
  </conditionalFormatting>
  <conditionalFormatting sqref="R154">
    <cfRule type="expression" dxfId="207" priority="223">
      <formula>S154&lt;O154</formula>
    </cfRule>
    <cfRule type="expression" dxfId="206" priority="224">
      <formula>S154&gt;O154</formula>
    </cfRule>
  </conditionalFormatting>
  <conditionalFormatting sqref="V18">
    <cfRule type="expression" dxfId="205" priority="219">
      <formula>W18&lt;S18</formula>
    </cfRule>
    <cfRule type="expression" dxfId="204" priority="220">
      <formula>W18&gt;S18</formula>
    </cfRule>
  </conditionalFormatting>
  <conditionalFormatting sqref="V20">
    <cfRule type="expression" dxfId="203" priority="217">
      <formula>W20&lt;S20</formula>
    </cfRule>
    <cfRule type="expression" dxfId="202" priority="218">
      <formula>W20&gt;S20</formula>
    </cfRule>
  </conditionalFormatting>
  <conditionalFormatting sqref="V19">
    <cfRule type="expression" dxfId="201" priority="215">
      <formula>W19&lt;S19</formula>
    </cfRule>
    <cfRule type="expression" dxfId="200" priority="216">
      <formula>W19&gt;S19</formula>
    </cfRule>
  </conditionalFormatting>
  <conditionalFormatting sqref="V22">
    <cfRule type="expression" dxfId="199" priority="213">
      <formula>W22&lt;S22</formula>
    </cfRule>
    <cfRule type="expression" dxfId="198" priority="214">
      <formula>W22&gt;S22</formula>
    </cfRule>
  </conditionalFormatting>
  <conditionalFormatting sqref="V23">
    <cfRule type="expression" dxfId="197" priority="209">
      <formula>W23&lt;S23</formula>
    </cfRule>
    <cfRule type="expression" dxfId="196" priority="210">
      <formula>W23&gt;S23</formula>
    </cfRule>
  </conditionalFormatting>
  <conditionalFormatting sqref="V27">
    <cfRule type="expression" dxfId="195" priority="207">
      <formula>W27&lt;S27</formula>
    </cfRule>
    <cfRule type="expression" dxfId="194" priority="208">
      <formula>W27&gt;S27</formula>
    </cfRule>
  </conditionalFormatting>
  <conditionalFormatting sqref="V29">
    <cfRule type="expression" dxfId="193" priority="205">
      <formula>W29&lt;S29</formula>
    </cfRule>
    <cfRule type="expression" dxfId="192" priority="206">
      <formula>W29&gt;S29</formula>
    </cfRule>
  </conditionalFormatting>
  <conditionalFormatting sqref="V28">
    <cfRule type="expression" dxfId="191" priority="203">
      <formula>W28&lt;S28</formula>
    </cfRule>
    <cfRule type="expression" dxfId="190" priority="204">
      <formula>W28&gt;S28</formula>
    </cfRule>
  </conditionalFormatting>
  <conditionalFormatting sqref="V31">
    <cfRule type="expression" dxfId="189" priority="201">
      <formula>W31&lt;S31</formula>
    </cfRule>
    <cfRule type="expression" dxfId="188" priority="202">
      <formula>W31&gt;S31</formula>
    </cfRule>
  </conditionalFormatting>
  <conditionalFormatting sqref="V36">
    <cfRule type="expression" dxfId="187" priority="195">
      <formula>W36&lt;S36</formula>
    </cfRule>
    <cfRule type="expression" dxfId="186" priority="196">
      <formula>W36&gt;S36</formula>
    </cfRule>
  </conditionalFormatting>
  <conditionalFormatting sqref="V38">
    <cfRule type="expression" dxfId="185" priority="193">
      <formula>W38&lt;S38</formula>
    </cfRule>
    <cfRule type="expression" dxfId="184" priority="194">
      <formula>W38&gt;S38</formula>
    </cfRule>
  </conditionalFormatting>
  <conditionalFormatting sqref="V37">
    <cfRule type="expression" dxfId="183" priority="191">
      <formula>W37&lt;S37</formula>
    </cfRule>
    <cfRule type="expression" dxfId="182" priority="192">
      <formula>W37&gt;S37</formula>
    </cfRule>
  </conditionalFormatting>
  <conditionalFormatting sqref="V40">
    <cfRule type="expression" dxfId="181" priority="189">
      <formula>W40&lt;S40</formula>
    </cfRule>
    <cfRule type="expression" dxfId="180" priority="190">
      <formula>W40&gt;S40</formula>
    </cfRule>
  </conditionalFormatting>
  <conditionalFormatting sqref="V42">
    <cfRule type="expression" dxfId="179" priority="187">
      <formula>W42&lt;S42</formula>
    </cfRule>
    <cfRule type="expression" dxfId="178" priority="188">
      <formula>W42&gt;S42</formula>
    </cfRule>
  </conditionalFormatting>
  <conditionalFormatting sqref="V41">
    <cfRule type="expression" dxfId="177" priority="185">
      <formula>W41&lt;S41</formula>
    </cfRule>
    <cfRule type="expression" dxfId="176" priority="186">
      <formula>W41&gt;S41</formula>
    </cfRule>
  </conditionalFormatting>
  <conditionalFormatting sqref="V46">
    <cfRule type="expression" dxfId="175" priority="183">
      <formula>W46&lt;S46</formula>
    </cfRule>
    <cfRule type="expression" dxfId="174" priority="184">
      <formula>W46&gt;S46</formula>
    </cfRule>
  </conditionalFormatting>
  <conditionalFormatting sqref="V48">
    <cfRule type="expression" dxfId="173" priority="181">
      <formula>W48&lt;S48</formula>
    </cfRule>
    <cfRule type="expression" dxfId="172" priority="182">
      <formula>W48&gt;S48</formula>
    </cfRule>
  </conditionalFormatting>
  <conditionalFormatting sqref="V47">
    <cfRule type="expression" dxfId="171" priority="179">
      <formula>W47&lt;S47</formula>
    </cfRule>
    <cfRule type="expression" dxfId="170" priority="180">
      <formula>W47&gt;S47</formula>
    </cfRule>
  </conditionalFormatting>
  <conditionalFormatting sqref="V50">
    <cfRule type="expression" dxfId="169" priority="177">
      <formula>W50&lt;S50</formula>
    </cfRule>
    <cfRule type="expression" dxfId="168" priority="178">
      <formula>W50&gt;S50</formula>
    </cfRule>
  </conditionalFormatting>
  <conditionalFormatting sqref="V52">
    <cfRule type="expression" dxfId="167" priority="175">
      <formula>W52&lt;S52</formula>
    </cfRule>
    <cfRule type="expression" dxfId="166" priority="176">
      <formula>W52&gt;S52</formula>
    </cfRule>
  </conditionalFormatting>
  <conditionalFormatting sqref="V51">
    <cfRule type="expression" dxfId="165" priority="173">
      <formula>W51&lt;S51</formula>
    </cfRule>
    <cfRule type="expression" dxfId="164" priority="174">
      <formula>W51&gt;S51</formula>
    </cfRule>
  </conditionalFormatting>
  <conditionalFormatting sqref="V55">
    <cfRule type="expression" dxfId="163" priority="171">
      <formula>W55&lt;S55</formula>
    </cfRule>
    <cfRule type="expression" dxfId="162" priority="172">
      <formula>W55&gt;S55</formula>
    </cfRule>
  </conditionalFormatting>
  <conditionalFormatting sqref="V57">
    <cfRule type="expression" dxfId="161" priority="169">
      <formula>W57&lt;S57</formula>
    </cfRule>
    <cfRule type="expression" dxfId="160" priority="170">
      <formula>W57&gt;S57</formula>
    </cfRule>
  </conditionalFormatting>
  <conditionalFormatting sqref="V56">
    <cfRule type="expression" dxfId="159" priority="167">
      <formula>W56&lt;S56</formula>
    </cfRule>
    <cfRule type="expression" dxfId="158" priority="168">
      <formula>W56&gt;S56</formula>
    </cfRule>
  </conditionalFormatting>
  <conditionalFormatting sqref="V59">
    <cfRule type="expression" dxfId="157" priority="165">
      <formula>W59&lt;S59</formula>
    </cfRule>
    <cfRule type="expression" dxfId="156" priority="166">
      <formula>W59&gt;S59</formula>
    </cfRule>
  </conditionalFormatting>
  <conditionalFormatting sqref="V61">
    <cfRule type="expression" dxfId="155" priority="163">
      <formula>W61&lt;S61</formula>
    </cfRule>
    <cfRule type="expression" dxfId="154" priority="164">
      <formula>W61&gt;S61</formula>
    </cfRule>
  </conditionalFormatting>
  <conditionalFormatting sqref="V60">
    <cfRule type="expression" dxfId="153" priority="161">
      <formula>W60&lt;S60</formula>
    </cfRule>
    <cfRule type="expression" dxfId="152" priority="162">
      <formula>W60&gt;S60</formula>
    </cfRule>
  </conditionalFormatting>
  <conditionalFormatting sqref="V64">
    <cfRule type="expression" dxfId="151" priority="159">
      <formula>W64&lt;S64</formula>
    </cfRule>
    <cfRule type="expression" dxfId="150" priority="160">
      <formula>W64&gt;S64</formula>
    </cfRule>
  </conditionalFormatting>
  <conditionalFormatting sqref="V66">
    <cfRule type="expression" dxfId="149" priority="157">
      <formula>W66&lt;S66</formula>
    </cfRule>
    <cfRule type="expression" dxfId="148" priority="158">
      <formula>W66&gt;S66</formula>
    </cfRule>
  </conditionalFormatting>
  <conditionalFormatting sqref="V65">
    <cfRule type="expression" dxfId="147" priority="155">
      <formula>W65&lt;S65</formula>
    </cfRule>
    <cfRule type="expression" dxfId="146" priority="156">
      <formula>W65&gt;S65</formula>
    </cfRule>
  </conditionalFormatting>
  <conditionalFormatting sqref="V68">
    <cfRule type="expression" dxfId="145" priority="153">
      <formula>W68&lt;S68</formula>
    </cfRule>
    <cfRule type="expression" dxfId="144" priority="154">
      <formula>W68&gt;S68</formula>
    </cfRule>
  </conditionalFormatting>
  <conditionalFormatting sqref="V70">
    <cfRule type="expression" dxfId="143" priority="151">
      <formula>W70&lt;S70</formula>
    </cfRule>
    <cfRule type="expression" dxfId="142" priority="152">
      <formula>W70&gt;S70</formula>
    </cfRule>
  </conditionalFormatting>
  <conditionalFormatting sqref="V69">
    <cfRule type="expression" dxfId="141" priority="149">
      <formula>W69&lt;S69</formula>
    </cfRule>
    <cfRule type="expression" dxfId="140" priority="150">
      <formula>W69&gt;S69</formula>
    </cfRule>
  </conditionalFormatting>
  <conditionalFormatting sqref="V74">
    <cfRule type="expression" dxfId="139" priority="147">
      <formula>W74&lt;S74</formula>
    </cfRule>
    <cfRule type="expression" dxfId="138" priority="148">
      <formula>W74&gt;S74</formula>
    </cfRule>
  </conditionalFormatting>
  <conditionalFormatting sqref="V76">
    <cfRule type="expression" dxfId="137" priority="145">
      <formula>W76&lt;S76</formula>
    </cfRule>
    <cfRule type="expression" dxfId="136" priority="146">
      <formula>W76&gt;S76</formula>
    </cfRule>
  </conditionalFormatting>
  <conditionalFormatting sqref="V75">
    <cfRule type="expression" dxfId="135" priority="143">
      <formula>W75&lt;S75</formula>
    </cfRule>
    <cfRule type="expression" dxfId="134" priority="144">
      <formula>W75&gt;S75</formula>
    </cfRule>
  </conditionalFormatting>
  <conditionalFormatting sqref="V78">
    <cfRule type="expression" dxfId="133" priority="141">
      <formula>W78&lt;S78</formula>
    </cfRule>
    <cfRule type="expression" dxfId="132" priority="142">
      <formula>W78&gt;S78</formula>
    </cfRule>
  </conditionalFormatting>
  <conditionalFormatting sqref="V80">
    <cfRule type="expression" dxfId="131" priority="139">
      <formula>W80&lt;S80</formula>
    </cfRule>
    <cfRule type="expression" dxfId="130" priority="140">
      <formula>W80&gt;S80</formula>
    </cfRule>
  </conditionalFormatting>
  <conditionalFormatting sqref="V79">
    <cfRule type="expression" dxfId="129" priority="137">
      <formula>W79&lt;S79</formula>
    </cfRule>
    <cfRule type="expression" dxfId="128" priority="138">
      <formula>W79&gt;S79</formula>
    </cfRule>
  </conditionalFormatting>
  <conditionalFormatting sqref="V83">
    <cfRule type="expression" dxfId="127" priority="135">
      <formula>W83&lt;S83</formula>
    </cfRule>
    <cfRule type="expression" dxfId="126" priority="136">
      <formula>W83&gt;S83</formula>
    </cfRule>
  </conditionalFormatting>
  <conditionalFormatting sqref="V85">
    <cfRule type="expression" dxfId="125" priority="133">
      <formula>W85&lt;S85</formula>
    </cfRule>
    <cfRule type="expression" dxfId="124" priority="134">
      <formula>W85&gt;S85</formula>
    </cfRule>
  </conditionalFormatting>
  <conditionalFormatting sqref="V84">
    <cfRule type="expression" dxfId="123" priority="131">
      <formula>W84&lt;S84</formula>
    </cfRule>
    <cfRule type="expression" dxfId="122" priority="132">
      <formula>W84&gt;S84</formula>
    </cfRule>
  </conditionalFormatting>
  <conditionalFormatting sqref="V87">
    <cfRule type="expression" dxfId="121" priority="129">
      <formula>W87&lt;S87</formula>
    </cfRule>
    <cfRule type="expression" dxfId="120" priority="130">
      <formula>W87&gt;S87</formula>
    </cfRule>
  </conditionalFormatting>
  <conditionalFormatting sqref="V89">
    <cfRule type="expression" dxfId="119" priority="127">
      <formula>W89&lt;S89</formula>
    </cfRule>
    <cfRule type="expression" dxfId="118" priority="128">
      <formula>W89&gt;S89</formula>
    </cfRule>
  </conditionalFormatting>
  <conditionalFormatting sqref="V88">
    <cfRule type="expression" dxfId="117" priority="125">
      <formula>W88&lt;S88</formula>
    </cfRule>
    <cfRule type="expression" dxfId="116" priority="126">
      <formula>W88&gt;S88</formula>
    </cfRule>
  </conditionalFormatting>
  <conditionalFormatting sqref="V92">
    <cfRule type="expression" dxfId="115" priority="123">
      <formula>W92&lt;S92</formula>
    </cfRule>
    <cfRule type="expression" dxfId="114" priority="124">
      <formula>W92&gt;S92</formula>
    </cfRule>
  </conditionalFormatting>
  <conditionalFormatting sqref="V94">
    <cfRule type="expression" dxfId="113" priority="121">
      <formula>W94&lt;S94</formula>
    </cfRule>
    <cfRule type="expression" dxfId="112" priority="122">
      <formula>W94&gt;S94</formula>
    </cfRule>
  </conditionalFormatting>
  <conditionalFormatting sqref="V93">
    <cfRule type="expression" dxfId="111" priority="119">
      <formula>W93&lt;S93</formula>
    </cfRule>
    <cfRule type="expression" dxfId="110" priority="120">
      <formula>W93&gt;S93</formula>
    </cfRule>
  </conditionalFormatting>
  <conditionalFormatting sqref="V96">
    <cfRule type="expression" dxfId="109" priority="117">
      <formula>W96&lt;S96</formula>
    </cfRule>
    <cfRule type="expression" dxfId="108" priority="118">
      <formula>W96&gt;S96</formula>
    </cfRule>
  </conditionalFormatting>
  <conditionalFormatting sqref="V97">
    <cfRule type="expression" dxfId="107" priority="113">
      <formula>W97&lt;S97</formula>
    </cfRule>
    <cfRule type="expression" dxfId="106" priority="114">
      <formula>W97&gt;S97</formula>
    </cfRule>
  </conditionalFormatting>
  <conditionalFormatting sqref="V102">
    <cfRule type="expression" dxfId="105" priority="111">
      <formula>W102&lt;S102</formula>
    </cfRule>
    <cfRule type="expression" dxfId="104" priority="112">
      <formula>W102&gt;S102</formula>
    </cfRule>
  </conditionalFormatting>
  <conditionalFormatting sqref="V104">
    <cfRule type="expression" dxfId="103" priority="109">
      <formula>W104&lt;S104</formula>
    </cfRule>
    <cfRule type="expression" dxfId="102" priority="110">
      <formula>W104&gt;S104</formula>
    </cfRule>
  </conditionalFormatting>
  <conditionalFormatting sqref="V103">
    <cfRule type="expression" dxfId="101" priority="107">
      <formula>W103&lt;S103</formula>
    </cfRule>
    <cfRule type="expression" dxfId="100" priority="108">
      <formula>W103&gt;S103</formula>
    </cfRule>
  </conditionalFormatting>
  <conditionalFormatting sqref="V106">
    <cfRule type="expression" dxfId="99" priority="105">
      <formula>W106&lt;S106</formula>
    </cfRule>
    <cfRule type="expression" dxfId="98" priority="106">
      <formula>W106&gt;S106</formula>
    </cfRule>
  </conditionalFormatting>
  <conditionalFormatting sqref="V108">
    <cfRule type="expression" dxfId="97" priority="103">
      <formula>W108&lt;S108</formula>
    </cfRule>
    <cfRule type="expression" dxfId="96" priority="104">
      <formula>W108&gt;S108</formula>
    </cfRule>
  </conditionalFormatting>
  <conditionalFormatting sqref="V107">
    <cfRule type="expression" dxfId="95" priority="101">
      <formula>W107&lt;S107</formula>
    </cfRule>
    <cfRule type="expression" dxfId="94" priority="102">
      <formula>W107&gt;S107</formula>
    </cfRule>
  </conditionalFormatting>
  <conditionalFormatting sqref="V111">
    <cfRule type="expression" dxfId="93" priority="99">
      <formula>W111&lt;S111</formula>
    </cfRule>
    <cfRule type="expression" dxfId="92" priority="100">
      <formula>W111&gt;S111</formula>
    </cfRule>
  </conditionalFormatting>
  <conditionalFormatting sqref="V113">
    <cfRule type="expression" dxfId="91" priority="97">
      <formula>W113&lt;S113</formula>
    </cfRule>
    <cfRule type="expression" dxfId="90" priority="98">
      <formula>W113&gt;S113</formula>
    </cfRule>
  </conditionalFormatting>
  <conditionalFormatting sqref="V112">
    <cfRule type="expression" dxfId="89" priority="95">
      <formula>W112&lt;S112</formula>
    </cfRule>
    <cfRule type="expression" dxfId="88" priority="96">
      <formula>W112&gt;S112</formula>
    </cfRule>
  </conditionalFormatting>
  <conditionalFormatting sqref="V115">
    <cfRule type="expression" dxfId="87" priority="93">
      <formula>W115&lt;S115</formula>
    </cfRule>
    <cfRule type="expression" dxfId="86" priority="94">
      <formula>W115&gt;S115</formula>
    </cfRule>
  </conditionalFormatting>
  <conditionalFormatting sqref="V117">
    <cfRule type="expression" dxfId="85" priority="91">
      <formula>W117&lt;S117</formula>
    </cfRule>
    <cfRule type="expression" dxfId="84" priority="92">
      <formula>W117&gt;S117</formula>
    </cfRule>
  </conditionalFormatting>
  <conditionalFormatting sqref="V116">
    <cfRule type="expression" dxfId="83" priority="89">
      <formula>W116&lt;S116</formula>
    </cfRule>
    <cfRule type="expression" dxfId="82" priority="90">
      <formula>W116&gt;S116</formula>
    </cfRule>
  </conditionalFormatting>
  <conditionalFormatting sqref="V120">
    <cfRule type="expression" dxfId="81" priority="87">
      <formula>W120&lt;S120</formula>
    </cfRule>
    <cfRule type="expression" dxfId="80" priority="88">
      <formula>W120&gt;S120</formula>
    </cfRule>
  </conditionalFormatting>
  <conditionalFormatting sqref="V122">
    <cfRule type="expression" dxfId="79" priority="85">
      <formula>W122&lt;S122</formula>
    </cfRule>
    <cfRule type="expression" dxfId="78" priority="86">
      <formula>W122&gt;S122</formula>
    </cfRule>
  </conditionalFormatting>
  <conditionalFormatting sqref="V121">
    <cfRule type="expression" dxfId="77" priority="83">
      <formula>W121&lt;S121</formula>
    </cfRule>
    <cfRule type="expression" dxfId="76" priority="84">
      <formula>W121&gt;S121</formula>
    </cfRule>
  </conditionalFormatting>
  <conditionalFormatting sqref="V124">
    <cfRule type="expression" dxfId="75" priority="81">
      <formula>W124&lt;S124</formula>
    </cfRule>
    <cfRule type="expression" dxfId="74" priority="82">
      <formula>W124&gt;S124</formula>
    </cfRule>
  </conditionalFormatting>
  <conditionalFormatting sqref="V126">
    <cfRule type="expression" dxfId="73" priority="79">
      <formula>W126&lt;S126</formula>
    </cfRule>
    <cfRule type="expression" dxfId="72" priority="80">
      <formula>W126&gt;S126</formula>
    </cfRule>
  </conditionalFormatting>
  <conditionalFormatting sqref="V125">
    <cfRule type="expression" dxfId="71" priority="77">
      <formula>W125&lt;S125</formula>
    </cfRule>
    <cfRule type="expression" dxfId="70" priority="78">
      <formula>W125&gt;S125</formula>
    </cfRule>
  </conditionalFormatting>
  <conditionalFormatting sqref="V130">
    <cfRule type="expression" dxfId="69" priority="75">
      <formula>W130&lt;S130</formula>
    </cfRule>
    <cfRule type="expression" dxfId="68" priority="76">
      <formula>W130&gt;S130</formula>
    </cfRule>
  </conditionalFormatting>
  <conditionalFormatting sqref="V132">
    <cfRule type="expression" dxfId="67" priority="73">
      <formula>W132&lt;S132</formula>
    </cfRule>
    <cfRule type="expression" dxfId="66" priority="74">
      <formula>W132&gt;S132</formula>
    </cfRule>
  </conditionalFormatting>
  <conditionalFormatting sqref="V131">
    <cfRule type="expression" dxfId="65" priority="71">
      <formula>W131&lt;S131</formula>
    </cfRule>
    <cfRule type="expression" dxfId="64" priority="72">
      <formula>W131&gt;S131</formula>
    </cfRule>
  </conditionalFormatting>
  <conditionalFormatting sqref="V134">
    <cfRule type="expression" dxfId="63" priority="69">
      <formula>W134&lt;S134</formula>
    </cfRule>
    <cfRule type="expression" dxfId="62" priority="70">
      <formula>W134&gt;S134</formula>
    </cfRule>
  </conditionalFormatting>
  <conditionalFormatting sqref="V136">
    <cfRule type="expression" dxfId="61" priority="67">
      <formula>W136&lt;S136</formula>
    </cfRule>
    <cfRule type="expression" dxfId="60" priority="68">
      <formula>W136&gt;S136</formula>
    </cfRule>
  </conditionalFormatting>
  <conditionalFormatting sqref="V135">
    <cfRule type="expression" dxfId="59" priority="65">
      <formula>W135&lt;S135</formula>
    </cfRule>
    <cfRule type="expression" dxfId="58" priority="66">
      <formula>W135&gt;S135</formula>
    </cfRule>
  </conditionalFormatting>
  <conditionalFormatting sqref="V139">
    <cfRule type="expression" dxfId="57" priority="63">
      <formula>W139&lt;S139</formula>
    </cfRule>
    <cfRule type="expression" dxfId="56" priority="64">
      <formula>W139&gt;S139</formula>
    </cfRule>
  </conditionalFormatting>
  <conditionalFormatting sqref="V141">
    <cfRule type="expression" dxfId="55" priority="61">
      <formula>W141&lt;S141</formula>
    </cfRule>
    <cfRule type="expression" dxfId="54" priority="62">
      <formula>W141&gt;S141</formula>
    </cfRule>
  </conditionalFormatting>
  <conditionalFormatting sqref="V140">
    <cfRule type="expression" dxfId="53" priority="59">
      <formula>W140&lt;S140</formula>
    </cfRule>
    <cfRule type="expression" dxfId="52" priority="60">
      <formula>W140&gt;S140</formula>
    </cfRule>
  </conditionalFormatting>
  <conditionalFormatting sqref="V143">
    <cfRule type="expression" dxfId="51" priority="57">
      <formula>W143&lt;S143</formula>
    </cfRule>
    <cfRule type="expression" dxfId="50" priority="58">
      <formula>W143&gt;S143</formula>
    </cfRule>
  </conditionalFormatting>
  <conditionalFormatting sqref="V145">
    <cfRule type="expression" dxfId="49" priority="55">
      <formula>W145&lt;S145</formula>
    </cfRule>
    <cfRule type="expression" dxfId="48" priority="56">
      <formula>W145&gt;S145</formula>
    </cfRule>
  </conditionalFormatting>
  <conditionalFormatting sqref="V144">
    <cfRule type="expression" dxfId="47" priority="53">
      <formula>W144&lt;S144</formula>
    </cfRule>
    <cfRule type="expression" dxfId="46" priority="54">
      <formula>W144&gt;S144</formula>
    </cfRule>
  </conditionalFormatting>
  <conditionalFormatting sqref="V148">
    <cfRule type="expression" dxfId="45" priority="51">
      <formula>W148&lt;S148</formula>
    </cfRule>
    <cfRule type="expression" dxfId="44" priority="52">
      <formula>W148&gt;S148</formula>
    </cfRule>
  </conditionalFormatting>
  <conditionalFormatting sqref="V150">
    <cfRule type="expression" dxfId="43" priority="49">
      <formula>W150&lt;S150</formula>
    </cfRule>
    <cfRule type="expression" dxfId="42" priority="50">
      <formula>W150&gt;S150</formula>
    </cfRule>
  </conditionalFormatting>
  <conditionalFormatting sqref="V149">
    <cfRule type="expression" dxfId="41" priority="47">
      <formula>W149&lt;S149</formula>
    </cfRule>
    <cfRule type="expression" dxfId="40" priority="48">
      <formula>W149&gt;S149</formula>
    </cfRule>
  </conditionalFormatting>
  <conditionalFormatting sqref="V152">
    <cfRule type="expression" dxfId="39" priority="45">
      <formula>W152&lt;S152</formula>
    </cfRule>
    <cfRule type="expression" dxfId="38" priority="46">
      <formula>W152&gt;S152</formula>
    </cfRule>
  </conditionalFormatting>
  <conditionalFormatting sqref="V154">
    <cfRule type="expression" dxfId="37" priority="43">
      <formula>W154&lt;S154</formula>
    </cfRule>
    <cfRule type="expression" dxfId="36" priority="44">
      <formula>W154&gt;S154</formula>
    </cfRule>
  </conditionalFormatting>
  <conditionalFormatting sqref="J18">
    <cfRule type="expression" dxfId="35" priority="39">
      <formula>K18&lt;G18</formula>
    </cfRule>
    <cfRule type="expression" dxfId="34" priority="40">
      <formula>K18&gt;G18</formula>
    </cfRule>
  </conditionalFormatting>
  <conditionalFormatting sqref="N18">
    <cfRule type="expression" dxfId="33" priority="37">
      <formula>O18&lt;K18</formula>
    </cfRule>
    <cfRule type="expression" dxfId="32" priority="38">
      <formula>O18&gt;K18</formula>
    </cfRule>
  </conditionalFormatting>
  <conditionalFormatting sqref="N24">
    <cfRule type="expression" dxfId="31" priority="35">
      <formula>O24&lt;K24</formula>
    </cfRule>
    <cfRule type="expression" dxfId="30" priority="36">
      <formula>O24&gt;K24</formula>
    </cfRule>
  </conditionalFormatting>
  <conditionalFormatting sqref="R24">
    <cfRule type="expression" dxfId="29" priority="33">
      <formula>S24&lt;O24</formula>
    </cfRule>
    <cfRule type="expression" dxfId="28" priority="34">
      <formula>S24&gt;O24</formula>
    </cfRule>
  </conditionalFormatting>
  <conditionalFormatting sqref="V24">
    <cfRule type="expression" dxfId="27" priority="31">
      <formula>W24&lt;S24</formula>
    </cfRule>
    <cfRule type="expression" dxfId="26" priority="32">
      <formula>W24&gt;S24</formula>
    </cfRule>
  </conditionalFormatting>
  <conditionalFormatting sqref="N32">
    <cfRule type="expression" dxfId="25" priority="25">
      <formula>O32&lt;K32</formula>
    </cfRule>
    <cfRule type="expression" dxfId="24" priority="26">
      <formula>O32&gt;K32</formula>
    </cfRule>
  </conditionalFormatting>
  <conditionalFormatting sqref="N33">
    <cfRule type="expression" dxfId="23" priority="23">
      <formula>O33&lt;K33</formula>
    </cfRule>
    <cfRule type="expression" dxfId="22" priority="24">
      <formula>O33&gt;K33</formula>
    </cfRule>
  </conditionalFormatting>
  <conditionalFormatting sqref="R32">
    <cfRule type="expression" dxfId="21" priority="21">
      <formula>S32&lt;O32</formula>
    </cfRule>
    <cfRule type="expression" dxfId="20" priority="22">
      <formula>S32&gt;O32</formula>
    </cfRule>
  </conditionalFormatting>
  <conditionalFormatting sqref="R33">
    <cfRule type="expression" dxfId="19" priority="19">
      <formula>S33&lt;O33</formula>
    </cfRule>
    <cfRule type="expression" dxfId="18" priority="20">
      <formula>S33&gt;O33</formula>
    </cfRule>
  </conditionalFormatting>
  <conditionalFormatting sqref="V32">
    <cfRule type="expression" dxfId="17" priority="17">
      <formula>W32&lt;S32</formula>
    </cfRule>
    <cfRule type="expression" dxfId="16" priority="18">
      <formula>W32&gt;S32</formula>
    </cfRule>
  </conditionalFormatting>
  <conditionalFormatting sqref="V33">
    <cfRule type="expression" dxfId="15" priority="15">
      <formula>W33&lt;S33</formula>
    </cfRule>
    <cfRule type="expression" dxfId="14" priority="16">
      <formula>W33&gt;S33</formula>
    </cfRule>
  </conditionalFormatting>
  <conditionalFormatting sqref="J80">
    <cfRule type="expression" dxfId="13" priority="13">
      <formula>K80&lt;G80</formula>
    </cfRule>
    <cfRule type="expression" dxfId="12" priority="14">
      <formula>K80&gt;G80</formula>
    </cfRule>
  </conditionalFormatting>
  <conditionalFormatting sqref="N80">
    <cfRule type="expression" dxfId="11" priority="11">
      <formula>O80&lt;K80</formula>
    </cfRule>
    <cfRule type="expression" dxfId="10" priority="12">
      <formula>O80&gt;K80</formula>
    </cfRule>
  </conditionalFormatting>
  <conditionalFormatting sqref="R80">
    <cfRule type="expression" dxfId="9" priority="9">
      <formula>S80&lt;O80</formula>
    </cfRule>
    <cfRule type="expression" dxfId="8" priority="10">
      <formula>S80&gt;O80</formula>
    </cfRule>
  </conditionalFormatting>
  <conditionalFormatting sqref="J98">
    <cfRule type="expression" dxfId="7" priority="7">
      <formula>K98&lt;G98</formula>
    </cfRule>
    <cfRule type="expression" dxfId="6" priority="8">
      <formula>K98&gt;G98</formula>
    </cfRule>
  </conditionalFormatting>
  <conditionalFormatting sqref="N98">
    <cfRule type="expression" dxfId="5" priority="5">
      <formula>O98&lt;K98</formula>
    </cfRule>
    <cfRule type="expression" dxfId="4" priority="6">
      <formula>O98&gt;K98</formula>
    </cfRule>
  </conditionalFormatting>
  <conditionalFormatting sqref="R98">
    <cfRule type="expression" dxfId="3" priority="3">
      <formula>S98&lt;O98</formula>
    </cfRule>
    <cfRule type="expression" dxfId="2" priority="4">
      <formula>S98&gt;O98</formula>
    </cfRule>
  </conditionalFormatting>
  <conditionalFormatting sqref="V98">
    <cfRule type="expression" dxfId="1" priority="1">
      <formula>W98&lt;S98</formula>
    </cfRule>
    <cfRule type="expression" dxfId="0" priority="2">
      <formula>W98&gt;S98</formula>
    </cfRule>
  </conditionalFormatting>
  <dataValidations count="19">
    <dataValidation type="list" allowBlank="1" showInputMessage="1" showErrorMessage="1" sqref="F154 J154 N154 R154 V154">
      <formula1>AnsL</formula1>
    </dataValidation>
    <dataValidation type="list" allowBlank="1" showInputMessage="1" showErrorMessage="1" sqref="F150 J150 N150 R150 V150">
      <formula1>AnsK</formula1>
    </dataValidation>
    <dataValidation type="list" allowBlank="1" showInputMessage="1" showErrorMessage="1" sqref="F48 J48 N48 R48 V48">
      <formula1>AnsR</formula1>
    </dataValidation>
    <dataValidation type="list" allowBlank="1" showInputMessage="1" showErrorMessage="1" sqref="F38 J38 N38 R38 V38">
      <formula1>AnsD</formula1>
    </dataValidation>
    <dataValidation type="list" allowBlank="1" showInputMessage="1" showErrorMessage="1" sqref="F22 J22 N22 R22 V22">
      <formula1>AnsQ</formula1>
    </dataValidation>
    <dataValidation type="list" allowBlank="1" showInputMessage="1" showErrorMessage="1" sqref="F149 J149 N149 R149 V149">
      <formula1>AnsJ</formula1>
    </dataValidation>
    <dataValidation type="list" allowBlank="1" showInputMessage="1" showErrorMessage="1" sqref="F140 J143:J145 J140 F143:F145 N143:N145 N140 R143:R145 R140 V143:V145 V140">
      <formula1>AnsG</formula1>
    </dataValidation>
    <dataValidation type="list" allowBlank="1" showInputMessage="1" showErrorMessage="1" sqref="F135 J135 N135 R135 V135">
      <formula1>AnsI</formula1>
    </dataValidation>
    <dataValidation type="list" allowBlank="1" showInputMessage="1" showErrorMessage="1" sqref="F134 J134 N134 R134 V134">
      <formula1>AnsH</formula1>
    </dataValidation>
    <dataValidation type="list" allowBlank="1" showInputMessage="1" showErrorMessage="1" sqref="F69 J69 N69 R69 V69">
      <formula1>AnsM</formula1>
    </dataValidation>
    <dataValidation type="list" allowBlank="1" showInputMessage="1" showErrorMessage="1" sqref="J41:J42 F41:F42 N41:N42 R41:R42 V41:V42">
      <formula1>AnsF</formula1>
    </dataValidation>
    <dataValidation type="list" allowBlank="1" showInputMessage="1" showErrorMessage="1" sqref="F37 J37 N37 R37 V37">
      <formula1>AnsC</formula1>
    </dataValidation>
    <dataValidation type="list" allowBlank="1" showInputMessage="1" showErrorMessage="1" sqref="J136 J52 F55 F153 J24 F64 F40 J116:J117 J126 F52 J40 F24 J55 F126 J64 F116:F117 J153 F136 N136 N52 V153 N116:N117 N126 N40 N55 N64 N153 R136 R52 V64 R116:R117 R126 R40 R55 R64 R153 V136 V52 V55 V116:V117 V126 V40">
      <formula1>AnsE</formula1>
    </dataValidation>
    <dataValidation type="list" allowBlank="1" showInputMessage="1" showErrorMessage="1" sqref="F23 F36 F46 F56 J106:J108 F111:F113 F115 F124:F125 F120:F122 F50:F51 J59:J61 J23 J36 J124:J125 J120:J122 J115 J111:J113 F59:F61 J46 J56 J50:J51 F106:F108 N106:N108 N59:N61 N23:N24 N36 N124:N125 N120:N122 N115 N111:N113 N46 N56 N50:N51 R106:R108 R59:R61 R23:R24 R36 R124:R125 R120:R122 R115 R111:R113 R46 R56 R50:R51 V106:V108 V59:V61 V23:V24 V36 V124:V125 V120:V122 V115 V111:V113 V46 V56 V50:V51">
      <formula1>AnsB</formula1>
    </dataValidation>
    <dataValidation type="list" allowBlank="1" showInputMessage="1" showErrorMessage="1" sqref="F19 J18:J19 N18:N19 R19 V19">
      <formula1>AnsO</formula1>
    </dataValidation>
    <dataValidation type="list" allowBlank="1" showInputMessage="1" showErrorMessage="1" sqref="F20 F29 J20 J29 N20 N29 R20 R29 V20 V29">
      <formula1>AnsP</formula1>
    </dataValidation>
    <dataValidation type="list" allowBlank="1" showInputMessage="1" showErrorMessage="1" sqref="F18 V18 R18">
      <formula1>AnsN</formula1>
    </dataValidation>
    <dataValidation type="list" allowBlank="1" showInputMessage="1" showErrorMessage="1" sqref="F28 J28 N28 R28 V28">
      <formula1>AnsS</formula1>
    </dataValidation>
    <dataValidation type="list" allowBlank="1" showInputMessage="1" showErrorMessage="1" sqref="F152 F57 F68 F141 F139 F148 J70 F74:F76 V31:V33 F83:F85 J87:J89 F92:F94 F130:F132 F27 J31:J33 F47 F65:F66 R78:R80 F102:F104 J27 J47 J152 J148 J141 J139 J130:J132 J102:J104 F87:F89 J92:J94 F78:F80 J83:J85 F70 J74:J76 J68 F31:F33 J65:J66 J57 F96:F98 N70 J78:J80 N87:N89 R31:R33 J96:J98 N27 N47 N152 N148 N141 N139 N130:N132 N102:N104 N92:N94 N83:N85 N74:N76 N68 N65:N66 N57 R70 N78:N80 R87:R89 N31:N33 N96:N98 R27 R47 R152 R148 R141 R139 R130:R132 R102:R104 R92:R94 R83:R85 R74:R76 R68 R65:R66 R57 V70 V78:V80 V87:V89 V57 R96:R98 V27 V47 V152 V148 V141 V139 V130:V132 V102:V104 V92:V94 V83:V85 V74:V76 V68 V65:V66 V96:V98">
      <formula1>AnsA</formula1>
    </dataValidation>
  </dataValidations>
  <pageMargins left="0.75" right="0.75" top="1" bottom="1" header="0.5" footer="0.5"/>
  <pageSetup paperSize="9" scale="10" firstPageNumber="0" fitToWidth="0" fitToHeight="0"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E132"/>
  <sheetViews>
    <sheetView zoomScale="120" zoomScaleNormal="120" workbookViewId="0">
      <selection activeCell="D58" sqref="D58"/>
    </sheetView>
  </sheetViews>
  <sheetFormatPr defaultColWidth="8.85546875" defaultRowHeight="15" x14ac:dyDescent="0.3"/>
  <cols>
    <col min="1" max="1" width="22.85546875" style="35" customWidth="1"/>
    <col min="2" max="2" width="11" style="35" customWidth="1"/>
    <col min="3" max="3" width="9.7109375" style="35" customWidth="1"/>
    <col min="4" max="4" width="1.85546875" style="35" customWidth="1"/>
    <col min="5" max="5" width="8.85546875" style="35"/>
    <col min="6" max="6" width="1.42578125" style="35" customWidth="1"/>
    <col min="7" max="7" width="8.85546875" style="35"/>
    <col min="8" max="8" width="1.42578125" style="35" customWidth="1"/>
    <col min="9" max="9" width="8.85546875" style="35"/>
    <col min="10" max="10" width="1.42578125" style="35" customWidth="1"/>
    <col min="11" max="11" width="21.42578125" style="35" customWidth="1"/>
    <col min="12" max="12" width="22.140625" style="35" customWidth="1"/>
    <col min="13" max="13" width="3.85546875" style="35" customWidth="1"/>
    <col min="14" max="14" width="4.42578125" style="35" customWidth="1"/>
    <col min="15" max="21" width="9.7109375" style="36" customWidth="1"/>
    <col min="22" max="22" width="9.7109375" style="35" customWidth="1"/>
    <col min="23" max="25" width="8.85546875" style="35"/>
    <col min="26" max="26" width="19" style="35" bestFit="1" customWidth="1"/>
    <col min="27" max="16384" width="8.85546875" style="35"/>
  </cols>
  <sheetData>
    <row r="1" spans="1:31" ht="69" customHeight="1" thickBot="1" x14ac:dyDescent="0.35">
      <c r="A1" s="440" t="s">
        <v>100</v>
      </c>
      <c r="B1" s="441"/>
      <c r="C1" s="441"/>
      <c r="D1" s="441"/>
      <c r="E1" s="441"/>
      <c r="F1" s="441"/>
      <c r="G1" s="441"/>
      <c r="H1" s="441"/>
      <c r="I1" s="441"/>
      <c r="J1" s="441"/>
      <c r="K1" s="442"/>
    </row>
    <row r="3" spans="1:31" ht="27.75" x14ac:dyDescent="0.45">
      <c r="A3" s="34" t="s">
        <v>37</v>
      </c>
      <c r="L3" s="34" t="str">
        <f>A3</f>
        <v>Software Assurance Maturity Model (SAMM) Roadmap</v>
      </c>
    </row>
    <row r="4" spans="1:31" s="37" customFormat="1" ht="16.5" x14ac:dyDescent="0.3">
      <c r="A4" s="37" t="s">
        <v>17</v>
      </c>
      <c r="B4" s="503" t="str">
        <f>IF(ISBLANK(Interview!D10),"",Interview!D10)</f>
        <v/>
      </c>
      <c r="C4" s="503"/>
      <c r="L4" s="37" t="str">
        <f>B4</f>
        <v/>
      </c>
      <c r="O4" s="38"/>
      <c r="P4" s="38"/>
      <c r="Q4" s="38"/>
      <c r="R4" s="38"/>
      <c r="S4" s="38"/>
      <c r="T4" s="38"/>
      <c r="U4" s="38"/>
      <c r="Y4" s="37">
        <v>1</v>
      </c>
      <c r="Z4" s="37">
        <v>1</v>
      </c>
      <c r="AA4" s="37">
        <v>1</v>
      </c>
    </row>
    <row r="5" spans="1:31" s="37" customFormat="1" ht="16.5" x14ac:dyDescent="0.3">
      <c r="A5" s="37" t="s">
        <v>501</v>
      </c>
      <c r="B5" s="503" t="str">
        <f>IF(ISBLANK(Interview!D11),"",Interview!D11)</f>
        <v/>
      </c>
      <c r="C5" s="503"/>
      <c r="L5" s="37" t="str">
        <f>B5</f>
        <v/>
      </c>
      <c r="O5" s="38"/>
      <c r="P5" s="38"/>
      <c r="Q5" s="38"/>
      <c r="R5" s="38"/>
      <c r="S5" s="38"/>
      <c r="T5" s="38"/>
      <c r="U5" s="38"/>
    </row>
    <row r="6" spans="1:31" s="37" customFormat="1" ht="16.5" x14ac:dyDescent="0.3">
      <c r="A6" s="37" t="s">
        <v>38</v>
      </c>
      <c r="B6" s="504" t="str">
        <f>IF(ISBLANK(Interview!D12),"",Interview!D12)</f>
        <v/>
      </c>
      <c r="C6" s="504"/>
      <c r="L6" s="321" t="str">
        <f>B6</f>
        <v/>
      </c>
      <c r="O6" s="38"/>
      <c r="P6" s="38"/>
      <c r="Q6" s="38"/>
      <c r="R6" s="38"/>
      <c r="S6" s="38"/>
      <c r="T6" s="38"/>
      <c r="U6" s="38"/>
    </row>
    <row r="7" spans="1:31" s="37" customFormat="1" ht="16.5" x14ac:dyDescent="0.3">
      <c r="A7" s="37" t="s">
        <v>510</v>
      </c>
      <c r="B7" s="504" t="str">
        <f>IF(ISBLANK(Interview!D13),"",Interview!D13)</f>
        <v/>
      </c>
      <c r="C7" s="504"/>
      <c r="O7" s="38"/>
      <c r="P7" s="38"/>
      <c r="Q7" s="38"/>
      <c r="R7" s="38"/>
      <c r="S7" s="38"/>
      <c r="T7" s="38"/>
      <c r="U7" s="38"/>
    </row>
    <row r="8" spans="1:31" s="37" customFormat="1" ht="16.5" x14ac:dyDescent="0.3">
      <c r="A8" s="37" t="s">
        <v>9</v>
      </c>
      <c r="B8" s="504" t="str">
        <f>IF(ISBLANK(Interview!D14),"",Interview!D14)</f>
        <v/>
      </c>
      <c r="C8" s="504"/>
      <c r="L8" s="137"/>
      <c r="M8" s="137"/>
      <c r="N8" s="137"/>
      <c r="O8" s="506"/>
      <c r="P8" s="506"/>
      <c r="Q8" s="506"/>
      <c r="R8" s="506"/>
      <c r="S8" s="506"/>
      <c r="T8" s="506"/>
      <c r="U8" s="506"/>
      <c r="V8" s="506"/>
    </row>
    <row r="9" spans="1:31" s="37" customFormat="1" ht="16.5" x14ac:dyDescent="0.3">
      <c r="L9" s="138"/>
      <c r="M9" s="138"/>
      <c r="N9" s="138"/>
      <c r="O9" s="506"/>
      <c r="P9" s="506"/>
      <c r="Q9" s="506"/>
      <c r="R9" s="506"/>
      <c r="S9" s="506"/>
      <c r="T9" s="506"/>
      <c r="U9" s="506"/>
      <c r="V9" s="506"/>
    </row>
    <row r="10" spans="1:31" s="37" customFormat="1" ht="17.25" thickBot="1" x14ac:dyDescent="0.35">
      <c r="A10" s="37" t="s">
        <v>39</v>
      </c>
      <c r="B10" s="39" t="s">
        <v>40</v>
      </c>
      <c r="I10" s="39" t="s">
        <v>41</v>
      </c>
      <c r="L10" s="139" t="s">
        <v>42</v>
      </c>
      <c r="M10" s="139"/>
      <c r="N10" s="139"/>
      <c r="O10" s="502"/>
      <c r="P10" s="502"/>
      <c r="Q10" s="502"/>
      <c r="R10" s="502"/>
      <c r="S10" s="502"/>
      <c r="T10" s="502"/>
      <c r="U10" s="502"/>
      <c r="V10" s="502"/>
    </row>
    <row r="11" spans="1:31" ht="15.75" thickBot="1" x14ac:dyDescent="0.35">
      <c r="A11" s="98" t="s">
        <v>43</v>
      </c>
      <c r="B11" s="99" t="s">
        <v>44</v>
      </c>
      <c r="C11" s="99" t="s">
        <v>94</v>
      </c>
      <c r="D11" s="100" t="s">
        <v>45</v>
      </c>
      <c r="E11" s="99" t="s">
        <v>95</v>
      </c>
      <c r="F11" s="100" t="s">
        <v>46</v>
      </c>
      <c r="G11" s="99" t="s">
        <v>96</v>
      </c>
      <c r="H11" s="100" t="s">
        <v>47</v>
      </c>
      <c r="I11" s="99" t="s">
        <v>97</v>
      </c>
      <c r="J11" s="40" t="s">
        <v>48</v>
      </c>
      <c r="K11" s="41" t="s">
        <v>49</v>
      </c>
      <c r="L11" s="140"/>
      <c r="M11" s="141"/>
      <c r="N11" s="141"/>
      <c r="O11" s="505" t="str">
        <f>C11</f>
        <v>Phase 1</v>
      </c>
      <c r="P11" s="505"/>
      <c r="Q11" s="505" t="str">
        <f>E11</f>
        <v>Phase 2</v>
      </c>
      <c r="R11" s="505"/>
      <c r="S11" s="505" t="str">
        <f>G11</f>
        <v>Phase 3</v>
      </c>
      <c r="T11" s="505"/>
      <c r="U11" s="505" t="str">
        <f>I11</f>
        <v>Phase 4</v>
      </c>
      <c r="V11" s="505"/>
      <c r="AA11" s="41" t="str">
        <f>I11</f>
        <v>Phase 4</v>
      </c>
      <c r="AB11" s="41" t="str">
        <f>G11</f>
        <v>Phase 3</v>
      </c>
      <c r="AC11" s="41" t="str">
        <f>E11</f>
        <v>Phase 2</v>
      </c>
      <c r="AD11" s="41" t="str">
        <f>C11</f>
        <v>Phase 1</v>
      </c>
      <c r="AE11" s="41" t="str">
        <f>B11</f>
        <v>Start</v>
      </c>
    </row>
    <row r="12" spans="1:31" ht="15" customHeight="1" x14ac:dyDescent="0.3">
      <c r="A12" s="95" t="s">
        <v>50</v>
      </c>
      <c r="B12" s="104">
        <f>IF(ISNUMBER(Interview!$J$18),Interview!$J$18,SUM(LEFT(Interview!$J$18),".5"))</f>
        <v>0</v>
      </c>
      <c r="C12" s="134">
        <f>Roadmap!M18</f>
        <v>0</v>
      </c>
      <c r="D12" s="42">
        <f>C12</f>
        <v>0</v>
      </c>
      <c r="E12" s="134">
        <f>Roadmap!Q18</f>
        <v>0</v>
      </c>
      <c r="F12" s="42">
        <f>E12</f>
        <v>0</v>
      </c>
      <c r="G12" s="134">
        <f>Roadmap!U18</f>
        <v>0</v>
      </c>
      <c r="H12" s="43">
        <f>G12</f>
        <v>0</v>
      </c>
      <c r="I12" s="134">
        <f>Roadmap!Y18</f>
        <v>0</v>
      </c>
      <c r="J12" s="43">
        <f>I12</f>
        <v>0</v>
      </c>
      <c r="K12" s="125">
        <f>IFERROR(I12-B12,I12-LEFT(B12,1))</f>
        <v>0</v>
      </c>
      <c r="L12" s="315"/>
      <c r="M12" s="141"/>
      <c r="N12" s="141"/>
      <c r="O12" s="141"/>
      <c r="P12" s="141"/>
      <c r="Q12" s="141"/>
      <c r="R12" s="141"/>
      <c r="S12" s="141"/>
      <c r="T12" s="141"/>
      <c r="U12" s="141"/>
      <c r="V12" s="141"/>
      <c r="Z12" s="35" t="str">
        <f>A12</f>
        <v>Strategy &amp; metrics</v>
      </c>
      <c r="AA12" s="126">
        <f>I12</f>
        <v>0</v>
      </c>
      <c r="AB12" s="126">
        <f>G12</f>
        <v>0</v>
      </c>
      <c r="AC12" s="126">
        <f>E12</f>
        <v>0</v>
      </c>
      <c r="AD12" s="126">
        <f>C12</f>
        <v>0</v>
      </c>
      <c r="AE12" s="126">
        <f>B12</f>
        <v>0</v>
      </c>
    </row>
    <row r="13" spans="1:31" ht="15" customHeight="1" x14ac:dyDescent="0.3">
      <c r="A13" s="96" t="s">
        <v>22</v>
      </c>
      <c r="B13" s="104">
        <f>IF(ISNUMBER(Interview!$J$32),Interview!$J$32,SUM(LEFT(Interview!$J$32),".5"))</f>
        <v>0</v>
      </c>
      <c r="C13" s="135">
        <f>Roadmap!M27</f>
        <v>0</v>
      </c>
      <c r="D13" s="42">
        <f>C13</f>
        <v>0</v>
      </c>
      <c r="E13" s="135">
        <f>Roadmap!Q27</f>
        <v>0</v>
      </c>
      <c r="F13" s="42">
        <f>E13</f>
        <v>0</v>
      </c>
      <c r="G13" s="135">
        <f>Roadmap!U27</f>
        <v>0</v>
      </c>
      <c r="H13" s="42">
        <f>G13</f>
        <v>0</v>
      </c>
      <c r="I13" s="135">
        <f>Roadmap!Y27</f>
        <v>0</v>
      </c>
      <c r="J13" s="42">
        <f>I13</f>
        <v>0</v>
      </c>
      <c r="K13" s="125">
        <f t="shared" ref="K13:K26" si="0">IFERROR(I13-B13,I13-LEFT(B13,1))</f>
        <v>0</v>
      </c>
      <c r="L13" s="315"/>
      <c r="M13" s="141"/>
      <c r="N13" s="141"/>
      <c r="O13" s="141"/>
      <c r="P13" s="141"/>
      <c r="Q13" s="141"/>
      <c r="R13" s="141"/>
      <c r="S13" s="141"/>
      <c r="T13" s="141"/>
      <c r="U13" s="141"/>
      <c r="V13" s="141"/>
      <c r="Z13" s="35" t="str">
        <f t="shared" ref="Z13:Z26" si="1">A13</f>
        <v>Policy &amp; Compliance</v>
      </c>
      <c r="AA13" s="126">
        <f t="shared" ref="AA13:AA26" si="2">I13</f>
        <v>0</v>
      </c>
      <c r="AB13" s="126">
        <f t="shared" ref="AB13:AB26" si="3">G13</f>
        <v>0</v>
      </c>
      <c r="AC13" s="126">
        <f t="shared" ref="AC13:AC26" si="4">E13</f>
        <v>0</v>
      </c>
      <c r="AD13" s="126">
        <f t="shared" ref="AD13:AD26" si="5">C13</f>
        <v>0</v>
      </c>
      <c r="AE13" s="126">
        <f t="shared" ref="AE13:AE26" si="6">B13</f>
        <v>0</v>
      </c>
    </row>
    <row r="14" spans="1:31" ht="15" customHeight="1" x14ac:dyDescent="0.3">
      <c r="A14" s="97" t="s">
        <v>23</v>
      </c>
      <c r="B14" s="105">
        <f>IF(ISNUMBER(Interview!$J$46),Interview!$J$46,SUM(LEFT(Interview!$J$46),".5"))</f>
        <v>0</v>
      </c>
      <c r="C14" s="135">
        <f>Roadmap!M36</f>
        <v>0</v>
      </c>
      <c r="D14" s="44">
        <f>C14</f>
        <v>0</v>
      </c>
      <c r="E14" s="135">
        <f>Roadmap!Q36</f>
        <v>0</v>
      </c>
      <c r="F14" s="44">
        <f>E14</f>
        <v>0</v>
      </c>
      <c r="G14" s="135">
        <f>Roadmap!U36</f>
        <v>0</v>
      </c>
      <c r="H14" s="44">
        <f>G14</f>
        <v>0</v>
      </c>
      <c r="I14" s="135">
        <f>Roadmap!Y36</f>
        <v>0</v>
      </c>
      <c r="J14" s="44">
        <f>I14</f>
        <v>0</v>
      </c>
      <c r="K14" s="125">
        <f t="shared" si="0"/>
        <v>0</v>
      </c>
      <c r="L14" s="315"/>
      <c r="M14" s="141"/>
      <c r="N14" s="141"/>
      <c r="O14" s="141"/>
      <c r="P14" s="141"/>
      <c r="Q14" s="141"/>
      <c r="R14" s="141"/>
      <c r="S14" s="141"/>
      <c r="T14" s="141"/>
      <c r="U14" s="141"/>
      <c r="V14" s="141"/>
      <c r="Z14" s="35" t="str">
        <f t="shared" si="1"/>
        <v>Education &amp; Guidance</v>
      </c>
      <c r="AA14" s="126">
        <f t="shared" si="2"/>
        <v>0</v>
      </c>
      <c r="AB14" s="126">
        <f t="shared" si="3"/>
        <v>0</v>
      </c>
      <c r="AC14" s="126">
        <f t="shared" si="4"/>
        <v>0</v>
      </c>
      <c r="AD14" s="126">
        <f t="shared" si="5"/>
        <v>0</v>
      </c>
      <c r="AE14" s="126">
        <f t="shared" si="6"/>
        <v>0</v>
      </c>
    </row>
    <row r="15" spans="1:31" ht="15" customHeight="1" x14ac:dyDescent="0.3">
      <c r="A15" s="92" t="s">
        <v>24</v>
      </c>
      <c r="B15" s="104">
        <f>IF(ISNUMBER(Interview!$J$61),Interview!$J$61,SUM(LEFT(Interview!$J$61),".5"))</f>
        <v>0</v>
      </c>
      <c r="C15" s="310">
        <f>Roadmap!M46</f>
        <v>0</v>
      </c>
      <c r="D15" s="45">
        <f>C15</f>
        <v>0</v>
      </c>
      <c r="E15" s="310">
        <f>Roadmap!Q46</f>
        <v>0</v>
      </c>
      <c r="F15" s="45">
        <f>E15</f>
        <v>0</v>
      </c>
      <c r="G15" s="310">
        <f>Roadmap!U46</f>
        <v>0</v>
      </c>
      <c r="H15" s="45">
        <f>G15</f>
        <v>0</v>
      </c>
      <c r="I15" s="310">
        <f>Roadmap!Y46</f>
        <v>0</v>
      </c>
      <c r="J15" s="45">
        <f>I15</f>
        <v>0</v>
      </c>
      <c r="K15" s="125">
        <f t="shared" si="0"/>
        <v>0</v>
      </c>
      <c r="L15" s="315"/>
      <c r="M15" s="141"/>
      <c r="N15" s="141"/>
      <c r="O15" s="141"/>
      <c r="P15" s="141"/>
      <c r="Q15" s="141"/>
      <c r="R15" s="141"/>
      <c r="S15" s="141"/>
      <c r="T15" s="141"/>
      <c r="U15" s="141"/>
      <c r="V15" s="141"/>
      <c r="Z15" s="35" t="str">
        <f t="shared" si="1"/>
        <v>Threat Assessment</v>
      </c>
      <c r="AA15" s="126">
        <f t="shared" si="2"/>
        <v>0</v>
      </c>
      <c r="AB15" s="126">
        <f t="shared" si="3"/>
        <v>0</v>
      </c>
      <c r="AC15" s="126">
        <f t="shared" si="4"/>
        <v>0</v>
      </c>
      <c r="AD15" s="126">
        <f t="shared" si="5"/>
        <v>0</v>
      </c>
      <c r="AE15" s="126">
        <f t="shared" si="6"/>
        <v>0</v>
      </c>
    </row>
    <row r="16" spans="1:31" ht="15" customHeight="1" x14ac:dyDescent="0.3">
      <c r="A16" s="93" t="s">
        <v>25</v>
      </c>
      <c r="B16" s="104">
        <f>IF(ISNUMBER(Interview!$J75),Interview!$J$75,SUM(LEFT(Interview!$J$75),".5"))</f>
        <v>0</v>
      </c>
      <c r="C16" s="135">
        <f>Roadmap!M55</f>
        <v>0</v>
      </c>
      <c r="D16" s="42">
        <f t="shared" ref="D16:D26" si="7">C16</f>
        <v>0</v>
      </c>
      <c r="E16" s="135">
        <f>Roadmap!Q55</f>
        <v>0</v>
      </c>
      <c r="F16" s="42">
        <f t="shared" ref="F16:F26" si="8">E16</f>
        <v>0</v>
      </c>
      <c r="G16" s="135">
        <f>Roadmap!U55</f>
        <v>0</v>
      </c>
      <c r="H16" s="42">
        <f t="shared" ref="H16:H26" si="9">G16</f>
        <v>0</v>
      </c>
      <c r="I16" s="135">
        <f>Roadmap!Y55</f>
        <v>0</v>
      </c>
      <c r="J16" s="42">
        <f t="shared" ref="J16:J26" si="10">I16</f>
        <v>0</v>
      </c>
      <c r="K16" s="125">
        <f t="shared" si="0"/>
        <v>0</v>
      </c>
      <c r="L16" s="315"/>
      <c r="M16" s="141"/>
      <c r="N16" s="141"/>
      <c r="O16" s="141"/>
      <c r="P16" s="141"/>
      <c r="Q16" s="141"/>
      <c r="R16" s="141"/>
      <c r="S16" s="141"/>
      <c r="T16" s="141"/>
      <c r="U16" s="141"/>
      <c r="V16" s="141"/>
      <c r="Z16" s="35" t="str">
        <f t="shared" si="1"/>
        <v>Security Requirements</v>
      </c>
      <c r="AA16" s="126">
        <f t="shared" si="2"/>
        <v>0</v>
      </c>
      <c r="AB16" s="126">
        <f t="shared" si="3"/>
        <v>0</v>
      </c>
      <c r="AC16" s="126">
        <f t="shared" si="4"/>
        <v>0</v>
      </c>
      <c r="AD16" s="126">
        <f t="shared" si="5"/>
        <v>0</v>
      </c>
      <c r="AE16" s="126">
        <f t="shared" si="6"/>
        <v>0</v>
      </c>
    </row>
    <row r="17" spans="1:31" x14ac:dyDescent="0.3">
      <c r="A17" s="94" t="s">
        <v>26</v>
      </c>
      <c r="B17" s="105">
        <f>IF(ISNUMBER(Interview!$J$89),Interview!$J$89,SUM(LEFT(Interview!$J$89),".5"))</f>
        <v>0</v>
      </c>
      <c r="C17" s="135">
        <f>Roadmap!M64</f>
        <v>0</v>
      </c>
      <c r="D17" s="44">
        <f t="shared" si="7"/>
        <v>0</v>
      </c>
      <c r="E17" s="135">
        <f>Roadmap!Q64</f>
        <v>0</v>
      </c>
      <c r="F17" s="44">
        <f t="shared" si="8"/>
        <v>0</v>
      </c>
      <c r="G17" s="135">
        <f>Roadmap!U64</f>
        <v>0</v>
      </c>
      <c r="H17" s="44">
        <f t="shared" si="9"/>
        <v>0</v>
      </c>
      <c r="I17" s="135">
        <f>Roadmap!Y64</f>
        <v>0</v>
      </c>
      <c r="J17" s="44">
        <f t="shared" si="10"/>
        <v>0</v>
      </c>
      <c r="K17" s="125">
        <f t="shared" si="0"/>
        <v>0</v>
      </c>
      <c r="L17" s="315" t="str">
        <f>A12</f>
        <v>Strategy &amp; metrics</v>
      </c>
      <c r="M17" s="141"/>
      <c r="N17" s="141"/>
      <c r="O17" s="141"/>
      <c r="P17" s="141"/>
      <c r="Q17" s="141"/>
      <c r="R17" s="141"/>
      <c r="S17" s="141"/>
      <c r="T17" s="141"/>
      <c r="U17" s="141"/>
      <c r="V17" s="141"/>
      <c r="Z17" s="35" t="str">
        <f t="shared" si="1"/>
        <v>Secure Architecture</v>
      </c>
      <c r="AA17" s="126">
        <f t="shared" si="2"/>
        <v>0</v>
      </c>
      <c r="AB17" s="126">
        <f t="shared" si="3"/>
        <v>0</v>
      </c>
      <c r="AC17" s="126">
        <f t="shared" si="4"/>
        <v>0</v>
      </c>
      <c r="AD17" s="126">
        <f t="shared" si="5"/>
        <v>0</v>
      </c>
      <c r="AE17" s="126">
        <f t="shared" si="6"/>
        <v>0</v>
      </c>
    </row>
    <row r="18" spans="1:31" x14ac:dyDescent="0.3">
      <c r="A18" s="309" t="s">
        <v>287</v>
      </c>
      <c r="B18" s="311">
        <f>IF(ISNUMBER(Interview!$J$104),Interview!$J$104,SUM(LEFT(Interview!$J$104),".5"))</f>
        <v>0</v>
      </c>
      <c r="C18" s="312">
        <f>Roadmap!M74</f>
        <v>0</v>
      </c>
      <c r="D18" s="42">
        <f>C18</f>
        <v>0</v>
      </c>
      <c r="E18" s="312">
        <f>Roadmap!Q74</f>
        <v>0</v>
      </c>
      <c r="F18" s="42">
        <f>E18</f>
        <v>0</v>
      </c>
      <c r="G18" s="312">
        <f>Roadmap!U74</f>
        <v>0</v>
      </c>
      <c r="H18" s="42">
        <f>G18</f>
        <v>0</v>
      </c>
      <c r="I18" s="312">
        <f>Roadmap!Y74</f>
        <v>0</v>
      </c>
      <c r="J18" s="42">
        <f>I18</f>
        <v>0</v>
      </c>
      <c r="K18" s="125">
        <f>IFERROR(I18-B18,I18-LEFT(B18,1))</f>
        <v>0</v>
      </c>
      <c r="L18" s="315"/>
      <c r="M18" s="141"/>
      <c r="N18" s="141"/>
      <c r="O18" s="141"/>
      <c r="P18" s="141"/>
      <c r="Q18" s="141"/>
      <c r="R18" s="141"/>
      <c r="S18" s="141"/>
      <c r="T18" s="141"/>
      <c r="U18" s="141"/>
      <c r="V18" s="141"/>
      <c r="Z18" s="35" t="str">
        <f>A18</f>
        <v>Secure Build</v>
      </c>
      <c r="AA18" s="126">
        <f>I18</f>
        <v>0</v>
      </c>
      <c r="AB18" s="126">
        <f>G18</f>
        <v>0</v>
      </c>
      <c r="AC18" s="126">
        <f>E18</f>
        <v>0</v>
      </c>
      <c r="AD18" s="126">
        <f>C18</f>
        <v>0</v>
      </c>
      <c r="AE18" s="126">
        <f>B18</f>
        <v>0</v>
      </c>
    </row>
    <row r="19" spans="1:31" x14ac:dyDescent="0.3">
      <c r="A19" s="309" t="s">
        <v>308</v>
      </c>
      <c r="B19" s="311">
        <f>IF(ISNUMBER(Interview!$J$118),Interview!$J$118,SUM(LEFT(Interview!$J$118),".5"))</f>
        <v>0</v>
      </c>
      <c r="C19" s="135">
        <f>Roadmap!M83</f>
        <v>0</v>
      </c>
      <c r="D19" s="42">
        <f>C19</f>
        <v>0</v>
      </c>
      <c r="E19" s="135">
        <f>Roadmap!Q83</f>
        <v>0</v>
      </c>
      <c r="F19" s="42">
        <f>E19</f>
        <v>0</v>
      </c>
      <c r="G19" s="135">
        <f>Roadmap!U83</f>
        <v>0</v>
      </c>
      <c r="H19" s="42">
        <f>G19</f>
        <v>0</v>
      </c>
      <c r="I19" s="135">
        <f>Roadmap!Y83</f>
        <v>0</v>
      </c>
      <c r="J19" s="42">
        <f>I19</f>
        <v>0</v>
      </c>
      <c r="K19" s="125">
        <f>IFERROR(I19-B19,I19-LEFT(B19,1))</f>
        <v>0</v>
      </c>
      <c r="L19" s="315"/>
      <c r="M19" s="141"/>
      <c r="N19" s="141"/>
      <c r="O19" s="141"/>
      <c r="P19" s="141"/>
      <c r="Q19" s="141"/>
      <c r="R19" s="141"/>
      <c r="S19" s="141"/>
      <c r="T19" s="141"/>
      <c r="U19" s="141"/>
      <c r="V19" s="141"/>
      <c r="Z19" s="35" t="str">
        <f>A19</f>
        <v>Secure Deployment</v>
      </c>
      <c r="AA19" s="126">
        <f>I19</f>
        <v>0</v>
      </c>
      <c r="AB19" s="126">
        <f>G19</f>
        <v>0</v>
      </c>
      <c r="AC19" s="126">
        <f>E19</f>
        <v>0</v>
      </c>
      <c r="AD19" s="126">
        <f>C19</f>
        <v>0</v>
      </c>
      <c r="AE19" s="126">
        <f>B19</f>
        <v>0</v>
      </c>
    </row>
    <row r="20" spans="1:31" x14ac:dyDescent="0.3">
      <c r="A20" s="309" t="s">
        <v>329</v>
      </c>
      <c r="B20" s="311">
        <f>IF(ISNUMBER(Interview!$J$132),Interview!$J$132,SUM(LEFT(Interview!$J$132),".5"))</f>
        <v>0</v>
      </c>
      <c r="C20" s="135">
        <f>Roadmap!M92</f>
        <v>0</v>
      </c>
      <c r="D20" s="42">
        <f>C20</f>
        <v>0</v>
      </c>
      <c r="E20" s="135">
        <f>Roadmap!Q92</f>
        <v>0</v>
      </c>
      <c r="F20" s="42">
        <f>E20</f>
        <v>0</v>
      </c>
      <c r="G20" s="135">
        <f>Roadmap!U92</f>
        <v>0</v>
      </c>
      <c r="H20" s="42">
        <f>G20</f>
        <v>0</v>
      </c>
      <c r="I20" s="135">
        <f>Roadmap!Y92</f>
        <v>0</v>
      </c>
      <c r="J20" s="42">
        <f>I20</f>
        <v>0</v>
      </c>
      <c r="K20" s="125">
        <f>IFERROR(I20-B20,I20-LEFT(B20,1))</f>
        <v>0</v>
      </c>
      <c r="L20" s="315"/>
      <c r="M20" s="141"/>
      <c r="N20" s="141"/>
      <c r="O20" s="141"/>
      <c r="P20" s="141"/>
      <c r="Q20" s="141"/>
      <c r="R20" s="141"/>
      <c r="S20" s="141"/>
      <c r="T20" s="141"/>
      <c r="U20" s="141"/>
      <c r="V20" s="141"/>
      <c r="Z20" s="35" t="str">
        <f>A20</f>
        <v>Defect Management</v>
      </c>
      <c r="AA20" s="126">
        <f>I20</f>
        <v>0</v>
      </c>
      <c r="AB20" s="126">
        <f>G20</f>
        <v>0</v>
      </c>
      <c r="AC20" s="126">
        <f>E20</f>
        <v>0</v>
      </c>
      <c r="AD20" s="126">
        <f>C20</f>
        <v>0</v>
      </c>
      <c r="AE20" s="126">
        <f>B20</f>
        <v>0</v>
      </c>
    </row>
    <row r="21" spans="1:31" x14ac:dyDescent="0.3">
      <c r="A21" s="89" t="s">
        <v>350</v>
      </c>
      <c r="B21" s="313">
        <f>IF(ISNUMBER(Interview!$J$147),Interview!$J$147,SUM(LEFT(Interview!$J$147),".5"))</f>
        <v>0</v>
      </c>
      <c r="C21" s="312">
        <f>Roadmap!M102</f>
        <v>0</v>
      </c>
      <c r="D21" s="45">
        <f t="shared" si="7"/>
        <v>0</v>
      </c>
      <c r="E21" s="312">
        <f>Roadmap!Q102</f>
        <v>0</v>
      </c>
      <c r="F21" s="45">
        <f t="shared" si="8"/>
        <v>0</v>
      </c>
      <c r="G21" s="312">
        <f>Roadmap!U102</f>
        <v>0</v>
      </c>
      <c r="H21" s="45">
        <f t="shared" si="9"/>
        <v>0</v>
      </c>
      <c r="I21" s="312">
        <f>Roadmap!Y102</f>
        <v>0</v>
      </c>
      <c r="J21" s="45">
        <f t="shared" si="10"/>
        <v>0</v>
      </c>
      <c r="K21" s="125">
        <f t="shared" si="0"/>
        <v>0</v>
      </c>
      <c r="L21" s="315"/>
      <c r="M21" s="141"/>
      <c r="N21" s="141"/>
      <c r="O21" s="141"/>
      <c r="P21" s="141"/>
      <c r="Q21" s="141"/>
      <c r="R21" s="141"/>
      <c r="S21" s="141"/>
      <c r="T21" s="141"/>
      <c r="U21" s="141"/>
      <c r="V21" s="141"/>
      <c r="Z21" s="35" t="str">
        <f t="shared" si="1"/>
        <v>Architecture Assessment</v>
      </c>
      <c r="AA21" s="126">
        <f t="shared" si="2"/>
        <v>0</v>
      </c>
      <c r="AB21" s="126">
        <f t="shared" si="3"/>
        <v>0</v>
      </c>
      <c r="AC21" s="126">
        <f t="shared" si="4"/>
        <v>0</v>
      </c>
      <c r="AD21" s="126">
        <f t="shared" si="5"/>
        <v>0</v>
      </c>
      <c r="AE21" s="126">
        <f t="shared" si="6"/>
        <v>0</v>
      </c>
    </row>
    <row r="22" spans="1:31" x14ac:dyDescent="0.3">
      <c r="A22" s="90" t="s">
        <v>370</v>
      </c>
      <c r="B22" s="104">
        <f>IF(ISNUMBER(Interview!$J$161),Interview!$J$161,SUM(LEFT(Interview!$J$161),".5"))</f>
        <v>0</v>
      </c>
      <c r="C22" s="135">
        <f>Roadmap!M111</f>
        <v>0</v>
      </c>
      <c r="D22" s="42">
        <f t="shared" si="7"/>
        <v>0</v>
      </c>
      <c r="E22" s="135">
        <f>Roadmap!Q111</f>
        <v>0</v>
      </c>
      <c r="F22" s="42">
        <f t="shared" si="8"/>
        <v>0</v>
      </c>
      <c r="G22" s="135">
        <f>Roadmap!U111</f>
        <v>0</v>
      </c>
      <c r="H22" s="42">
        <f t="shared" si="9"/>
        <v>0</v>
      </c>
      <c r="I22" s="135">
        <f>Roadmap!Y111</f>
        <v>0</v>
      </c>
      <c r="J22" s="42">
        <f t="shared" si="10"/>
        <v>0</v>
      </c>
      <c r="K22" s="125">
        <f t="shared" si="0"/>
        <v>0</v>
      </c>
      <c r="L22" s="315"/>
      <c r="M22" s="141"/>
      <c r="N22" s="141"/>
      <c r="O22" s="141"/>
      <c r="P22" s="141"/>
      <c r="Q22" s="141"/>
      <c r="R22" s="141"/>
      <c r="S22" s="141"/>
      <c r="T22" s="141"/>
      <c r="U22" s="141"/>
      <c r="V22" s="141"/>
      <c r="Z22" s="35" t="str">
        <f t="shared" si="1"/>
        <v>Requirements Driven Testing</v>
      </c>
      <c r="AA22" s="126">
        <f t="shared" si="2"/>
        <v>0</v>
      </c>
      <c r="AB22" s="126">
        <f t="shared" si="3"/>
        <v>0</v>
      </c>
      <c r="AC22" s="126">
        <f t="shared" si="4"/>
        <v>0</v>
      </c>
      <c r="AD22" s="126">
        <f t="shared" si="5"/>
        <v>0</v>
      </c>
      <c r="AE22" s="126">
        <f t="shared" si="6"/>
        <v>0</v>
      </c>
    </row>
    <row r="23" spans="1:31" x14ac:dyDescent="0.3">
      <c r="A23" s="91" t="s">
        <v>28</v>
      </c>
      <c r="B23" s="105">
        <f>IF(ISNUMBER(Interview!$J$175),Interview!$J$175,SUM(LEFT(Interview!$J$175),".5"))</f>
        <v>0</v>
      </c>
      <c r="C23" s="135">
        <f>Roadmap!M120</f>
        <v>0</v>
      </c>
      <c r="D23" s="44">
        <f t="shared" si="7"/>
        <v>0</v>
      </c>
      <c r="E23" s="135">
        <f>Roadmap!Q120</f>
        <v>0</v>
      </c>
      <c r="F23" s="44">
        <f t="shared" si="8"/>
        <v>0</v>
      </c>
      <c r="G23" s="135">
        <f>Roadmap!U120</f>
        <v>0</v>
      </c>
      <c r="H23" s="44">
        <f t="shared" si="9"/>
        <v>0</v>
      </c>
      <c r="I23" s="135">
        <f>Roadmap!Y120</f>
        <v>0</v>
      </c>
      <c r="J23" s="44">
        <f t="shared" si="10"/>
        <v>0</v>
      </c>
      <c r="K23" s="125">
        <f t="shared" si="0"/>
        <v>0</v>
      </c>
      <c r="L23" s="315"/>
      <c r="M23" s="141"/>
      <c r="N23" s="141"/>
      <c r="O23" s="141"/>
      <c r="P23" s="141"/>
      <c r="Q23" s="141"/>
      <c r="R23" s="141"/>
      <c r="S23" s="141"/>
      <c r="T23" s="141"/>
      <c r="U23" s="141"/>
      <c r="V23" s="141"/>
      <c r="Z23" s="35" t="str">
        <f t="shared" si="1"/>
        <v>Security Testing</v>
      </c>
      <c r="AA23" s="126">
        <f t="shared" si="2"/>
        <v>0</v>
      </c>
      <c r="AB23" s="126">
        <f t="shared" si="3"/>
        <v>0</v>
      </c>
      <c r="AC23" s="126">
        <f t="shared" si="4"/>
        <v>0</v>
      </c>
      <c r="AD23" s="126">
        <f t="shared" si="5"/>
        <v>0</v>
      </c>
      <c r="AE23" s="126">
        <f t="shared" si="6"/>
        <v>0</v>
      </c>
    </row>
    <row r="24" spans="1:31" x14ac:dyDescent="0.3">
      <c r="A24" s="86" t="s">
        <v>411</v>
      </c>
      <c r="B24" s="104">
        <f>IF(ISNUMBER(Interview!$J$190),Interview!$J$190,SUM(LEFT(Interview!$J$190),".5"))</f>
        <v>0</v>
      </c>
      <c r="C24" s="310">
        <f>Roadmap!M130</f>
        <v>0</v>
      </c>
      <c r="D24" s="45">
        <f t="shared" si="7"/>
        <v>0</v>
      </c>
      <c r="E24" s="310">
        <f>Roadmap!Q130</f>
        <v>0</v>
      </c>
      <c r="F24" s="45">
        <f t="shared" si="8"/>
        <v>0</v>
      </c>
      <c r="G24" s="310">
        <f>Roadmap!U130</f>
        <v>0</v>
      </c>
      <c r="H24" s="45">
        <f t="shared" si="9"/>
        <v>0</v>
      </c>
      <c r="I24" s="310">
        <f>Roadmap!Y130</f>
        <v>0</v>
      </c>
      <c r="J24" s="45">
        <f t="shared" si="10"/>
        <v>0</v>
      </c>
      <c r="K24" s="125">
        <f t="shared" si="0"/>
        <v>0</v>
      </c>
      <c r="L24" s="315"/>
      <c r="M24" s="141"/>
      <c r="N24" s="141"/>
      <c r="O24" s="141"/>
      <c r="P24" s="141"/>
      <c r="Q24" s="141"/>
      <c r="R24" s="141"/>
      <c r="S24" s="141"/>
      <c r="T24" s="141"/>
      <c r="U24" s="141"/>
      <c r="V24" s="141"/>
      <c r="Z24" s="35" t="str">
        <f t="shared" si="1"/>
        <v>Incident Management</v>
      </c>
      <c r="AA24" s="126">
        <f t="shared" si="2"/>
        <v>0</v>
      </c>
      <c r="AB24" s="126">
        <f t="shared" si="3"/>
        <v>0</v>
      </c>
      <c r="AC24" s="126">
        <f t="shared" si="4"/>
        <v>0</v>
      </c>
      <c r="AD24" s="126">
        <f t="shared" si="5"/>
        <v>0</v>
      </c>
      <c r="AE24" s="126">
        <f t="shared" si="6"/>
        <v>0</v>
      </c>
    </row>
    <row r="25" spans="1:31" x14ac:dyDescent="0.3">
      <c r="A25" s="87" t="s">
        <v>432</v>
      </c>
      <c r="B25" s="104">
        <f>IF(ISNUMBER(Interview!$J$204),Interview!$J$204,SUM(LEFT(Interview!$J$204),".5"))</f>
        <v>0</v>
      </c>
      <c r="C25" s="135">
        <f>Roadmap!M139</f>
        <v>0</v>
      </c>
      <c r="D25" s="42">
        <f t="shared" si="7"/>
        <v>0</v>
      </c>
      <c r="E25" s="135">
        <f>Roadmap!Q139</f>
        <v>0</v>
      </c>
      <c r="F25" s="42">
        <f t="shared" si="8"/>
        <v>0</v>
      </c>
      <c r="G25" s="135">
        <f>Roadmap!U139</f>
        <v>0</v>
      </c>
      <c r="H25" s="42">
        <f t="shared" si="9"/>
        <v>0</v>
      </c>
      <c r="I25" s="135">
        <f>Roadmap!Y139</f>
        <v>0</v>
      </c>
      <c r="J25" s="42">
        <f t="shared" si="10"/>
        <v>0</v>
      </c>
      <c r="K25" s="125">
        <f t="shared" si="0"/>
        <v>0</v>
      </c>
      <c r="L25" s="315"/>
      <c r="M25" s="141"/>
      <c r="N25" s="141"/>
      <c r="O25" s="141"/>
      <c r="P25" s="141"/>
      <c r="Q25" s="141"/>
      <c r="R25" s="141"/>
      <c r="S25" s="141"/>
      <c r="T25" s="141"/>
      <c r="U25" s="141"/>
      <c r="V25" s="141"/>
      <c r="Z25" s="35" t="str">
        <f t="shared" si="1"/>
        <v>Environment Management</v>
      </c>
      <c r="AA25" s="126">
        <f t="shared" si="2"/>
        <v>0</v>
      </c>
      <c r="AB25" s="126">
        <f t="shared" si="3"/>
        <v>0</v>
      </c>
      <c r="AC25" s="126">
        <f t="shared" si="4"/>
        <v>0</v>
      </c>
      <c r="AD25" s="126">
        <f t="shared" si="5"/>
        <v>0</v>
      </c>
      <c r="AE25" s="126">
        <f t="shared" si="6"/>
        <v>0</v>
      </c>
    </row>
    <row r="26" spans="1:31" ht="15.75" thickBot="1" x14ac:dyDescent="0.35">
      <c r="A26" s="88" t="s">
        <v>0</v>
      </c>
      <c r="B26" s="106">
        <f>IF(ISNUMBER(Interview!$J$218),Interview!$J$218,SUM(LEFT(Interview!$J$218),".5"))</f>
        <v>0</v>
      </c>
      <c r="C26" s="314">
        <f>Roadmap!M148</f>
        <v>0</v>
      </c>
      <c r="D26" s="46">
        <f t="shared" si="7"/>
        <v>0</v>
      </c>
      <c r="E26" s="314">
        <f>Roadmap!Q148</f>
        <v>0</v>
      </c>
      <c r="F26" s="46">
        <f t="shared" si="8"/>
        <v>0</v>
      </c>
      <c r="G26" s="314">
        <f>Roadmap!U148</f>
        <v>0</v>
      </c>
      <c r="H26" s="46">
        <f t="shared" si="9"/>
        <v>0</v>
      </c>
      <c r="I26" s="314">
        <f>Roadmap!Y148</f>
        <v>0</v>
      </c>
      <c r="J26" s="46">
        <f t="shared" si="10"/>
        <v>0</v>
      </c>
      <c r="K26" s="125">
        <f t="shared" si="0"/>
        <v>0</v>
      </c>
      <c r="L26" s="315"/>
      <c r="M26" s="141"/>
      <c r="N26" s="141"/>
      <c r="O26" s="141"/>
      <c r="P26" s="141"/>
      <c r="Q26" s="141"/>
      <c r="R26" s="141"/>
      <c r="S26" s="141"/>
      <c r="T26" s="141"/>
      <c r="U26" s="141"/>
      <c r="V26" s="141"/>
      <c r="Z26" s="35" t="str">
        <f t="shared" si="1"/>
        <v>Operational Enablement</v>
      </c>
      <c r="AA26" s="126">
        <f t="shared" si="2"/>
        <v>0</v>
      </c>
      <c r="AB26" s="126">
        <f t="shared" si="3"/>
        <v>0</v>
      </c>
      <c r="AC26" s="126">
        <f t="shared" si="4"/>
        <v>0</v>
      </c>
      <c r="AD26" s="126">
        <f t="shared" si="5"/>
        <v>0</v>
      </c>
      <c r="AE26" s="126">
        <f t="shared" si="6"/>
        <v>0</v>
      </c>
    </row>
    <row r="27" spans="1:31" x14ac:dyDescent="0.3">
      <c r="L27" s="315" t="str">
        <f>A13</f>
        <v>Policy &amp; Compliance</v>
      </c>
      <c r="M27" s="141"/>
      <c r="N27" s="141"/>
      <c r="O27" s="141"/>
      <c r="P27" s="141"/>
      <c r="Q27" s="141"/>
      <c r="R27" s="141"/>
      <c r="S27" s="141"/>
      <c r="T27" s="141"/>
      <c r="U27" s="141"/>
      <c r="V27" s="141"/>
    </row>
    <row r="28" spans="1:31" x14ac:dyDescent="0.3">
      <c r="B28" s="47" t="s">
        <v>51</v>
      </c>
      <c r="C28" s="126">
        <f>SUM(C12:C26)-SUM(B12:B26)</f>
        <v>0</v>
      </c>
      <c r="D28" s="126"/>
      <c r="E28" s="126">
        <f>SUM(E12:E26)-SUM(C12:C26)</f>
        <v>0</v>
      </c>
      <c r="F28" s="126"/>
      <c r="G28" s="126">
        <f>SUM(G12:G26)-SUM(E12:E26)</f>
        <v>0</v>
      </c>
      <c r="H28" s="126"/>
      <c r="I28" s="126">
        <f>SUM(I12:I26)-SUM(G12:G26)</f>
        <v>0</v>
      </c>
      <c r="J28" s="126"/>
      <c r="K28" s="125">
        <f>SUM(K12:K26)</f>
        <v>0</v>
      </c>
      <c r="L28" s="315"/>
      <c r="M28" s="141"/>
      <c r="N28" s="141"/>
      <c r="O28" s="141"/>
      <c r="P28" s="141"/>
      <c r="Q28" s="141"/>
      <c r="R28" s="141"/>
      <c r="S28" s="141"/>
      <c r="T28" s="141"/>
      <c r="U28" s="141"/>
      <c r="V28" s="141"/>
    </row>
    <row r="29" spans="1:31" x14ac:dyDescent="0.3">
      <c r="B29" s="47"/>
      <c r="C29" s="48" t="e">
        <f>C28/$K$28</f>
        <v>#DIV/0!</v>
      </c>
      <c r="E29" s="48" t="e">
        <f>E28/$K$28</f>
        <v>#DIV/0!</v>
      </c>
      <c r="G29" s="48" t="e">
        <f>G28/$K$28</f>
        <v>#DIV/0!</v>
      </c>
      <c r="I29" s="48" t="e">
        <f>I28/$K$28</f>
        <v>#DIV/0!</v>
      </c>
      <c r="K29" s="49">
        <f>1-K28/24</f>
        <v>1</v>
      </c>
      <c r="L29" s="315"/>
      <c r="M29" s="141"/>
      <c r="N29" s="141"/>
      <c r="O29" s="141"/>
      <c r="P29" s="141"/>
      <c r="Q29" s="141"/>
      <c r="R29" s="141"/>
      <c r="S29" s="141"/>
      <c r="T29" s="141"/>
      <c r="U29" s="141"/>
      <c r="V29" s="141"/>
    </row>
    <row r="30" spans="1:31" x14ac:dyDescent="0.3">
      <c r="B30" s="47"/>
      <c r="L30" s="315"/>
      <c r="M30" s="141"/>
      <c r="N30" s="141"/>
      <c r="O30" s="141"/>
      <c r="P30" s="141"/>
      <c r="Q30" s="141"/>
      <c r="R30" s="141"/>
      <c r="S30" s="141"/>
      <c r="T30" s="141"/>
      <c r="U30" s="141"/>
      <c r="V30" s="141"/>
    </row>
    <row r="31" spans="1:31" ht="15.75" thickBot="1" x14ac:dyDescent="0.35">
      <c r="L31" s="315"/>
      <c r="M31" s="141"/>
      <c r="N31" s="141"/>
      <c r="O31" s="141"/>
      <c r="P31" s="141"/>
      <c r="Q31" s="141"/>
      <c r="R31" s="141"/>
      <c r="S31" s="141"/>
      <c r="T31" s="141"/>
      <c r="U31" s="141"/>
      <c r="V31" s="141"/>
    </row>
    <row r="32" spans="1:31" x14ac:dyDescent="0.3">
      <c r="A32" s="50" t="s">
        <v>52</v>
      </c>
      <c r="B32" s="51">
        <v>0</v>
      </c>
      <c r="L32" s="315"/>
      <c r="M32" s="141"/>
      <c r="N32" s="141"/>
      <c r="O32" s="141"/>
      <c r="P32" s="141"/>
      <c r="Q32" s="141"/>
      <c r="R32" s="141"/>
      <c r="S32" s="141"/>
      <c r="T32" s="141"/>
      <c r="U32" s="141"/>
      <c r="V32" s="141"/>
    </row>
    <row r="33" spans="1:22" x14ac:dyDescent="0.3">
      <c r="A33" s="52"/>
      <c r="B33" s="53">
        <v>0.5</v>
      </c>
      <c r="L33" s="315"/>
      <c r="M33" s="141"/>
      <c r="N33" s="141"/>
      <c r="O33" s="141"/>
      <c r="P33" s="141"/>
      <c r="Q33" s="141"/>
      <c r="R33" s="141"/>
      <c r="S33" s="141"/>
      <c r="T33" s="141"/>
      <c r="U33" s="141"/>
      <c r="V33" s="141"/>
    </row>
    <row r="34" spans="1:22" x14ac:dyDescent="0.3">
      <c r="A34" s="52"/>
      <c r="B34" s="53">
        <v>1</v>
      </c>
      <c r="L34" s="315" t="str">
        <f>A14</f>
        <v>Education &amp; Guidance</v>
      </c>
      <c r="M34" s="141"/>
      <c r="N34" s="141"/>
      <c r="O34" s="141"/>
      <c r="P34" s="141"/>
      <c r="Q34" s="141"/>
      <c r="R34" s="141"/>
      <c r="S34" s="141"/>
      <c r="T34" s="141"/>
      <c r="U34" s="141"/>
      <c r="V34" s="141"/>
    </row>
    <row r="35" spans="1:22" x14ac:dyDescent="0.3">
      <c r="A35" s="52"/>
      <c r="B35" s="53">
        <v>1.5</v>
      </c>
      <c r="L35" s="315"/>
      <c r="M35" s="141"/>
      <c r="N35" s="141"/>
      <c r="O35" s="141"/>
      <c r="P35" s="141"/>
      <c r="Q35" s="141"/>
      <c r="R35" s="141"/>
      <c r="S35" s="141"/>
      <c r="T35" s="141"/>
      <c r="U35" s="141"/>
      <c r="V35" s="141"/>
    </row>
    <row r="36" spans="1:22" x14ac:dyDescent="0.3">
      <c r="A36" s="52"/>
      <c r="B36" s="53">
        <v>2</v>
      </c>
      <c r="L36" s="315"/>
      <c r="M36" s="141"/>
      <c r="N36" s="141"/>
      <c r="O36" s="141"/>
      <c r="P36" s="141"/>
      <c r="Q36" s="141"/>
      <c r="R36" s="141"/>
      <c r="S36" s="141"/>
      <c r="T36" s="141"/>
      <c r="U36" s="141"/>
      <c r="V36" s="141"/>
    </row>
    <row r="37" spans="1:22" x14ac:dyDescent="0.3">
      <c r="A37" s="52"/>
      <c r="B37" s="53">
        <v>2.5</v>
      </c>
      <c r="L37" s="315"/>
      <c r="M37" s="141"/>
      <c r="N37" s="141"/>
      <c r="O37" s="141"/>
      <c r="P37" s="141"/>
      <c r="Q37" s="141"/>
      <c r="R37" s="141"/>
      <c r="S37" s="141"/>
      <c r="T37" s="141"/>
      <c r="U37" s="141"/>
      <c r="V37" s="141"/>
    </row>
    <row r="38" spans="1:22" ht="15.75" thickBot="1" x14ac:dyDescent="0.35">
      <c r="A38" s="54"/>
      <c r="B38" s="55">
        <v>3</v>
      </c>
      <c r="L38" s="315"/>
      <c r="M38" s="141"/>
      <c r="N38" s="141"/>
      <c r="O38" s="141"/>
      <c r="P38" s="141"/>
      <c r="Q38" s="141"/>
      <c r="R38" s="141"/>
      <c r="S38" s="141"/>
      <c r="T38" s="141"/>
      <c r="U38" s="141"/>
      <c r="V38" s="141"/>
    </row>
    <row r="39" spans="1:22" x14ac:dyDescent="0.3">
      <c r="L39" s="315"/>
      <c r="M39" s="141"/>
      <c r="N39" s="141"/>
      <c r="O39" s="141"/>
      <c r="P39" s="141"/>
      <c r="Q39" s="141"/>
      <c r="R39" s="141"/>
      <c r="S39" s="141"/>
      <c r="T39" s="141"/>
      <c r="U39" s="141"/>
      <c r="V39" s="141"/>
    </row>
    <row r="40" spans="1:22" x14ac:dyDescent="0.3">
      <c r="L40" s="315"/>
      <c r="M40" s="141"/>
      <c r="N40" s="141"/>
      <c r="O40" s="141"/>
      <c r="P40" s="141"/>
      <c r="Q40" s="141"/>
      <c r="R40" s="141"/>
      <c r="S40" s="141"/>
      <c r="T40" s="141"/>
      <c r="U40" s="141"/>
      <c r="V40" s="141"/>
    </row>
    <row r="41" spans="1:22" x14ac:dyDescent="0.3">
      <c r="L41" s="315" t="str">
        <f>A15</f>
        <v>Threat Assessment</v>
      </c>
      <c r="M41" s="141"/>
      <c r="N41" s="141"/>
      <c r="O41" s="141"/>
      <c r="P41" s="141"/>
      <c r="Q41" s="141"/>
      <c r="R41" s="141"/>
      <c r="S41" s="141"/>
      <c r="T41" s="141"/>
      <c r="U41" s="141"/>
      <c r="V41" s="141"/>
    </row>
    <row r="42" spans="1:22" x14ac:dyDescent="0.3">
      <c r="L42" s="315"/>
      <c r="M42" s="141"/>
      <c r="N42" s="141"/>
      <c r="O42" s="141"/>
      <c r="P42" s="141"/>
      <c r="Q42" s="141"/>
      <c r="R42" s="141"/>
      <c r="S42" s="141"/>
      <c r="T42" s="141"/>
      <c r="U42" s="141"/>
      <c r="V42" s="141"/>
    </row>
    <row r="43" spans="1:22" x14ac:dyDescent="0.3">
      <c r="L43" s="315"/>
      <c r="M43" s="141"/>
      <c r="N43" s="141"/>
      <c r="O43" s="141"/>
      <c r="P43" s="141"/>
      <c r="Q43" s="141"/>
      <c r="R43" s="141"/>
      <c r="S43" s="141"/>
      <c r="T43" s="141"/>
      <c r="U43" s="141"/>
      <c r="V43" s="141"/>
    </row>
    <row r="44" spans="1:22" x14ac:dyDescent="0.3">
      <c r="L44" s="315"/>
      <c r="M44" s="141"/>
      <c r="N44" s="141"/>
      <c r="O44" s="141"/>
      <c r="P44" s="141"/>
      <c r="Q44" s="141"/>
      <c r="R44" s="141"/>
      <c r="S44" s="141"/>
      <c r="T44" s="141"/>
      <c r="U44" s="141"/>
      <c r="V44" s="141"/>
    </row>
    <row r="45" spans="1:22" x14ac:dyDescent="0.3">
      <c r="L45" s="315"/>
      <c r="M45" s="141"/>
      <c r="N45" s="141"/>
      <c r="O45" s="141"/>
      <c r="P45" s="141"/>
      <c r="Q45" s="141"/>
      <c r="R45" s="141"/>
      <c r="S45" s="141"/>
      <c r="T45" s="141"/>
      <c r="U45" s="141"/>
      <c r="V45" s="141"/>
    </row>
    <row r="46" spans="1:22" x14ac:dyDescent="0.3">
      <c r="L46" s="315"/>
      <c r="M46" s="141"/>
      <c r="N46" s="141"/>
      <c r="O46" s="141"/>
      <c r="P46" s="141"/>
      <c r="Q46" s="141"/>
      <c r="R46" s="141"/>
      <c r="S46" s="141"/>
      <c r="T46" s="141"/>
      <c r="U46" s="141"/>
      <c r="V46" s="141"/>
    </row>
    <row r="47" spans="1:22" x14ac:dyDescent="0.3">
      <c r="L47" s="315"/>
      <c r="M47" s="141"/>
      <c r="N47" s="141"/>
      <c r="O47" s="141"/>
      <c r="P47" s="141"/>
      <c r="Q47" s="141"/>
      <c r="R47" s="141"/>
      <c r="S47" s="141"/>
      <c r="T47" s="141"/>
      <c r="U47" s="141"/>
      <c r="V47" s="141"/>
    </row>
    <row r="48" spans="1:22" x14ac:dyDescent="0.3">
      <c r="L48" s="315" t="str">
        <f>A16</f>
        <v>Security Requirements</v>
      </c>
      <c r="M48" s="141"/>
      <c r="N48" s="141"/>
      <c r="O48" s="141"/>
      <c r="P48" s="141"/>
      <c r="Q48" s="141"/>
      <c r="R48" s="141"/>
      <c r="S48" s="141"/>
      <c r="T48" s="141"/>
      <c r="U48" s="141"/>
      <c r="V48" s="141"/>
    </row>
    <row r="49" spans="12:22" x14ac:dyDescent="0.3">
      <c r="L49" s="315"/>
      <c r="M49" s="141"/>
      <c r="N49" s="141"/>
      <c r="O49" s="141"/>
      <c r="P49" s="141"/>
      <c r="Q49" s="141"/>
      <c r="R49" s="141"/>
      <c r="S49" s="141"/>
      <c r="T49" s="141"/>
      <c r="U49" s="141"/>
      <c r="V49" s="141"/>
    </row>
    <row r="50" spans="12:22" x14ac:dyDescent="0.3">
      <c r="L50" s="315"/>
      <c r="M50" s="141"/>
      <c r="N50" s="141"/>
      <c r="O50" s="141"/>
      <c r="P50" s="141"/>
      <c r="Q50" s="141"/>
      <c r="R50" s="141"/>
      <c r="S50" s="141"/>
      <c r="T50" s="141"/>
      <c r="U50" s="141"/>
      <c r="V50" s="141"/>
    </row>
    <row r="51" spans="12:22" x14ac:dyDescent="0.3">
      <c r="L51" s="315"/>
      <c r="M51" s="141"/>
      <c r="N51" s="141"/>
      <c r="O51" s="141"/>
      <c r="P51" s="141"/>
      <c r="Q51" s="141"/>
      <c r="R51" s="141"/>
      <c r="S51" s="141"/>
      <c r="T51" s="141"/>
      <c r="U51" s="141"/>
      <c r="V51" s="141"/>
    </row>
    <row r="52" spans="12:22" x14ac:dyDescent="0.3">
      <c r="L52" s="315"/>
      <c r="M52" s="141"/>
      <c r="N52" s="141"/>
      <c r="O52" s="141"/>
      <c r="P52" s="141"/>
      <c r="Q52" s="141"/>
      <c r="R52" s="141"/>
      <c r="S52" s="141"/>
      <c r="T52" s="141"/>
      <c r="U52" s="141"/>
      <c r="V52" s="141"/>
    </row>
    <row r="53" spans="12:22" x14ac:dyDescent="0.3">
      <c r="L53" s="315"/>
      <c r="M53" s="141"/>
      <c r="N53" s="141"/>
      <c r="O53" s="141"/>
      <c r="P53" s="141"/>
      <c r="Q53" s="141"/>
      <c r="R53" s="141"/>
      <c r="S53" s="141"/>
      <c r="T53" s="141"/>
      <c r="U53" s="141"/>
      <c r="V53" s="141"/>
    </row>
    <row r="54" spans="12:22" x14ac:dyDescent="0.3">
      <c r="L54" s="315"/>
      <c r="M54" s="141"/>
      <c r="N54" s="141"/>
      <c r="O54" s="141"/>
      <c r="P54" s="141"/>
      <c r="Q54" s="141"/>
      <c r="R54" s="141"/>
      <c r="S54" s="141"/>
      <c r="T54" s="141"/>
      <c r="U54" s="141"/>
      <c r="V54" s="141"/>
    </row>
    <row r="55" spans="12:22" x14ac:dyDescent="0.3">
      <c r="L55" s="315"/>
      <c r="M55" s="141"/>
      <c r="N55" s="141"/>
      <c r="O55" s="141"/>
      <c r="P55" s="141"/>
      <c r="Q55" s="141"/>
      <c r="R55" s="141"/>
      <c r="S55" s="141"/>
      <c r="T55" s="141"/>
      <c r="U55" s="141"/>
      <c r="V55" s="141"/>
    </row>
    <row r="56" spans="12:22" x14ac:dyDescent="0.3">
      <c r="L56" s="315" t="str">
        <f>A17</f>
        <v>Secure Architecture</v>
      </c>
    </row>
    <row r="57" spans="12:22" x14ac:dyDescent="0.3">
      <c r="L57" s="52"/>
    </row>
    <row r="58" spans="12:22" x14ac:dyDescent="0.3">
      <c r="L58" s="52"/>
    </row>
    <row r="59" spans="12:22" x14ac:dyDescent="0.3">
      <c r="L59" s="52"/>
    </row>
    <row r="60" spans="12:22" x14ac:dyDescent="0.3">
      <c r="L60" s="52"/>
    </row>
    <row r="61" spans="12:22" x14ac:dyDescent="0.3">
      <c r="L61" s="52"/>
    </row>
    <row r="62" spans="12:22" x14ac:dyDescent="0.3">
      <c r="L62" s="52"/>
    </row>
    <row r="63" spans="12:22" x14ac:dyDescent="0.3">
      <c r="L63" s="52" t="s">
        <v>287</v>
      </c>
    </row>
    <row r="64" spans="12:22" x14ac:dyDescent="0.3">
      <c r="L64" s="52"/>
    </row>
    <row r="65" spans="12:22" x14ac:dyDescent="0.3">
      <c r="L65" s="52"/>
    </row>
    <row r="66" spans="12:22" x14ac:dyDescent="0.3">
      <c r="L66" s="52"/>
    </row>
    <row r="67" spans="12:22" x14ac:dyDescent="0.3">
      <c r="L67" s="52"/>
    </row>
    <row r="68" spans="12:22" x14ac:dyDescent="0.3">
      <c r="L68" s="52"/>
    </row>
    <row r="69" spans="12:22" x14ac:dyDescent="0.3">
      <c r="L69" s="52"/>
    </row>
    <row r="70" spans="12:22" x14ac:dyDescent="0.3">
      <c r="L70" s="52" t="s">
        <v>308</v>
      </c>
    </row>
    <row r="71" spans="12:22" x14ac:dyDescent="0.3">
      <c r="L71" s="52"/>
    </row>
    <row r="72" spans="12:22" x14ac:dyDescent="0.3">
      <c r="L72" s="52"/>
    </row>
    <row r="73" spans="12:22" x14ac:dyDescent="0.3">
      <c r="L73" s="52"/>
    </row>
    <row r="74" spans="12:22" x14ac:dyDescent="0.3">
      <c r="L74" s="52"/>
    </row>
    <row r="75" spans="12:22" x14ac:dyDescent="0.3">
      <c r="L75" s="52"/>
    </row>
    <row r="76" spans="12:22" x14ac:dyDescent="0.3">
      <c r="L76" s="52"/>
    </row>
    <row r="77" spans="12:22" x14ac:dyDescent="0.3">
      <c r="L77" s="52" t="s">
        <v>329</v>
      </c>
    </row>
    <row r="78" spans="12:22" x14ac:dyDescent="0.3">
      <c r="L78" s="52"/>
    </row>
    <row r="79" spans="12:22" x14ac:dyDescent="0.3">
      <c r="L79" s="52"/>
    </row>
    <row r="80" spans="12:22" x14ac:dyDescent="0.3">
      <c r="L80" s="52"/>
      <c r="M80" s="141"/>
      <c r="N80" s="141"/>
      <c r="O80" s="141"/>
      <c r="P80" s="141"/>
      <c r="Q80" s="141"/>
      <c r="R80" s="141"/>
      <c r="S80" s="141"/>
      <c r="T80" s="141"/>
      <c r="U80" s="141"/>
      <c r="V80" s="141"/>
    </row>
    <row r="81" spans="12:22" x14ac:dyDescent="0.3">
      <c r="L81" s="315"/>
      <c r="M81" s="141"/>
      <c r="N81" s="141"/>
      <c r="O81" s="141"/>
      <c r="P81" s="141"/>
      <c r="Q81" s="141"/>
      <c r="R81" s="141"/>
      <c r="S81" s="141"/>
      <c r="T81" s="141"/>
      <c r="U81" s="141"/>
      <c r="V81" s="141"/>
    </row>
    <row r="82" spans="12:22" x14ac:dyDescent="0.3">
      <c r="L82" s="315"/>
      <c r="M82" s="141"/>
      <c r="N82" s="141"/>
      <c r="O82" s="141"/>
      <c r="P82" s="141"/>
      <c r="Q82" s="141"/>
      <c r="R82" s="141"/>
      <c r="S82" s="141"/>
      <c r="T82" s="141"/>
      <c r="U82" s="141"/>
      <c r="V82" s="141"/>
    </row>
    <row r="83" spans="12:22" x14ac:dyDescent="0.3">
      <c r="L83" s="315"/>
      <c r="M83" s="141"/>
      <c r="N83" s="141"/>
      <c r="O83" s="141"/>
      <c r="P83" s="141"/>
      <c r="Q83" s="141"/>
      <c r="R83" s="141"/>
      <c r="S83" s="141"/>
      <c r="T83" s="141"/>
      <c r="U83" s="141"/>
      <c r="V83" s="141"/>
    </row>
    <row r="84" spans="12:22" x14ac:dyDescent="0.3">
      <c r="L84" s="315"/>
      <c r="M84" s="141"/>
      <c r="N84" s="141"/>
      <c r="O84" s="141"/>
      <c r="P84" s="141"/>
      <c r="Q84" s="141"/>
      <c r="R84" s="141"/>
      <c r="S84" s="141"/>
      <c r="T84" s="141"/>
      <c r="U84" s="141"/>
      <c r="V84" s="141"/>
    </row>
    <row r="85" spans="12:22" x14ac:dyDescent="0.3">
      <c r="L85" s="315"/>
      <c r="M85" s="141"/>
      <c r="N85" s="141"/>
      <c r="O85" s="141"/>
      <c r="P85" s="141"/>
      <c r="Q85" s="141"/>
      <c r="R85" s="141"/>
      <c r="S85" s="141"/>
      <c r="T85" s="141"/>
      <c r="U85" s="141"/>
      <c r="V85" s="141"/>
    </row>
    <row r="86" spans="12:22" x14ac:dyDescent="0.3">
      <c r="L86" s="315"/>
      <c r="M86" s="141"/>
      <c r="N86" s="141"/>
      <c r="O86" s="141"/>
      <c r="P86" s="141"/>
      <c r="Q86" s="141"/>
      <c r="R86" s="141"/>
      <c r="S86" s="141"/>
      <c r="T86" s="141"/>
      <c r="U86" s="141"/>
      <c r="V86" s="141"/>
    </row>
    <row r="87" spans="12:22" x14ac:dyDescent="0.3">
      <c r="L87" s="315"/>
      <c r="M87" s="141"/>
      <c r="N87" s="141"/>
      <c r="O87" s="141"/>
      <c r="P87" s="141"/>
      <c r="Q87" s="141"/>
      <c r="R87" s="141"/>
      <c r="S87" s="141"/>
      <c r="T87" s="141"/>
      <c r="U87" s="141"/>
      <c r="V87" s="141"/>
    </row>
    <row r="88" spans="12:22" x14ac:dyDescent="0.3">
      <c r="L88" s="315" t="str">
        <f>A21</f>
        <v>Architecture Assessment</v>
      </c>
      <c r="M88" s="141"/>
      <c r="N88" s="141"/>
      <c r="O88" s="141"/>
      <c r="P88" s="141"/>
      <c r="Q88" s="141"/>
      <c r="R88" s="141"/>
      <c r="S88" s="141"/>
      <c r="T88" s="141"/>
      <c r="U88" s="141"/>
      <c r="V88" s="141"/>
    </row>
    <row r="89" spans="12:22" x14ac:dyDescent="0.3">
      <c r="L89" s="315"/>
      <c r="M89" s="141"/>
      <c r="N89" s="141"/>
      <c r="O89" s="141"/>
      <c r="P89" s="141"/>
      <c r="Q89" s="141"/>
      <c r="R89" s="141"/>
      <c r="S89" s="141"/>
      <c r="T89" s="141"/>
      <c r="U89" s="141"/>
      <c r="V89" s="141"/>
    </row>
    <row r="90" spans="12:22" x14ac:dyDescent="0.3">
      <c r="L90" s="315"/>
      <c r="M90" s="141"/>
      <c r="N90" s="141"/>
      <c r="O90" s="141"/>
      <c r="P90" s="141"/>
      <c r="Q90" s="141"/>
      <c r="R90" s="141"/>
      <c r="S90" s="141"/>
      <c r="T90" s="141"/>
      <c r="U90" s="141"/>
      <c r="V90" s="141"/>
    </row>
    <row r="91" spans="12:22" x14ac:dyDescent="0.3">
      <c r="L91" s="315"/>
      <c r="M91" s="141"/>
      <c r="N91" s="141"/>
      <c r="O91" s="141"/>
      <c r="P91" s="141"/>
      <c r="Q91" s="141"/>
      <c r="R91" s="141"/>
      <c r="S91" s="141"/>
      <c r="T91" s="141"/>
      <c r="U91" s="141"/>
      <c r="V91" s="141"/>
    </row>
    <row r="92" spans="12:22" x14ac:dyDescent="0.3">
      <c r="L92" s="315"/>
      <c r="M92" s="141"/>
      <c r="N92" s="141"/>
      <c r="O92" s="141"/>
      <c r="P92" s="141"/>
      <c r="Q92" s="141"/>
      <c r="R92" s="141"/>
      <c r="S92" s="141"/>
      <c r="T92" s="141"/>
      <c r="U92" s="141"/>
      <c r="V92" s="141"/>
    </row>
    <row r="93" spans="12:22" x14ac:dyDescent="0.3">
      <c r="L93" s="315"/>
      <c r="M93" s="141"/>
      <c r="N93" s="141"/>
      <c r="O93" s="141"/>
      <c r="P93" s="141"/>
      <c r="Q93" s="141"/>
      <c r="R93" s="141"/>
      <c r="S93" s="141"/>
      <c r="T93" s="141"/>
      <c r="U93" s="141"/>
      <c r="V93" s="141"/>
    </row>
    <row r="94" spans="12:22" x14ac:dyDescent="0.3">
      <c r="L94" s="315"/>
      <c r="M94" s="141"/>
      <c r="N94" s="141"/>
      <c r="O94" s="141"/>
      <c r="P94" s="141"/>
      <c r="Q94" s="141"/>
      <c r="R94" s="141"/>
      <c r="S94" s="141"/>
      <c r="T94" s="141"/>
      <c r="U94" s="141"/>
      <c r="V94" s="141"/>
    </row>
    <row r="95" spans="12:22" x14ac:dyDescent="0.3">
      <c r="L95" s="315"/>
      <c r="M95" s="141"/>
      <c r="N95" s="141"/>
      <c r="O95" s="141"/>
      <c r="P95" s="141"/>
      <c r="Q95" s="141"/>
      <c r="R95" s="141"/>
      <c r="S95" s="141"/>
      <c r="T95" s="141"/>
      <c r="U95" s="141"/>
      <c r="V95" s="141"/>
    </row>
    <row r="96" spans="12:22" x14ac:dyDescent="0.3">
      <c r="L96" s="315" t="str">
        <f>A22</f>
        <v>Requirements Driven Testing</v>
      </c>
      <c r="M96" s="141"/>
      <c r="N96" s="141"/>
      <c r="O96" s="141"/>
      <c r="P96" s="141"/>
      <c r="Q96" s="141"/>
      <c r="R96" s="141"/>
      <c r="S96" s="141"/>
      <c r="T96" s="141"/>
      <c r="U96" s="141"/>
      <c r="V96" s="141"/>
    </row>
    <row r="97" spans="12:22" x14ac:dyDescent="0.3">
      <c r="L97" s="315"/>
      <c r="M97" s="141"/>
      <c r="N97" s="141"/>
      <c r="O97" s="141"/>
      <c r="P97" s="141"/>
      <c r="Q97" s="141"/>
      <c r="R97" s="141"/>
      <c r="S97" s="141"/>
      <c r="T97" s="141"/>
      <c r="U97" s="141"/>
      <c r="V97" s="141"/>
    </row>
    <row r="98" spans="12:22" x14ac:dyDescent="0.3">
      <c r="L98" s="315"/>
      <c r="M98" s="141"/>
      <c r="N98" s="141"/>
      <c r="O98" s="141"/>
      <c r="P98" s="141"/>
      <c r="Q98" s="141"/>
      <c r="R98" s="141"/>
      <c r="S98" s="141"/>
      <c r="T98" s="141"/>
      <c r="U98" s="141"/>
      <c r="V98" s="141"/>
    </row>
    <row r="99" spans="12:22" x14ac:dyDescent="0.3">
      <c r="L99" s="315"/>
      <c r="M99" s="141"/>
      <c r="N99" s="141"/>
      <c r="O99" s="141"/>
      <c r="P99" s="141"/>
      <c r="Q99" s="141"/>
      <c r="R99" s="141"/>
      <c r="S99" s="141"/>
      <c r="T99" s="141"/>
      <c r="U99" s="141"/>
      <c r="V99" s="141"/>
    </row>
    <row r="100" spans="12:22" x14ac:dyDescent="0.3">
      <c r="L100" s="315"/>
      <c r="M100" s="141"/>
      <c r="N100" s="141"/>
      <c r="O100" s="141"/>
      <c r="P100" s="141"/>
      <c r="Q100" s="141"/>
      <c r="R100" s="141"/>
      <c r="S100" s="141"/>
      <c r="T100" s="141"/>
      <c r="U100" s="141"/>
      <c r="V100" s="141"/>
    </row>
    <row r="101" spans="12:22" x14ac:dyDescent="0.3">
      <c r="L101" s="315"/>
      <c r="M101" s="141"/>
      <c r="N101" s="141"/>
      <c r="O101" s="141"/>
      <c r="P101" s="141"/>
      <c r="Q101" s="141"/>
      <c r="R101" s="141"/>
      <c r="S101" s="141"/>
      <c r="T101" s="141"/>
      <c r="U101" s="141"/>
      <c r="V101" s="141"/>
    </row>
    <row r="102" spans="12:22" x14ac:dyDescent="0.3">
      <c r="L102" s="315"/>
      <c r="M102" s="141"/>
      <c r="N102" s="141"/>
      <c r="O102" s="141"/>
      <c r="P102" s="141"/>
      <c r="Q102" s="141"/>
      <c r="R102" s="141"/>
      <c r="S102" s="141"/>
      <c r="T102" s="141"/>
      <c r="U102" s="141"/>
      <c r="V102" s="141"/>
    </row>
    <row r="103" spans="12:22" x14ac:dyDescent="0.3">
      <c r="L103" s="315"/>
      <c r="M103" s="141"/>
      <c r="N103" s="141"/>
      <c r="O103" s="141"/>
      <c r="P103" s="141"/>
      <c r="Q103" s="141"/>
      <c r="R103" s="141"/>
      <c r="S103" s="141"/>
      <c r="T103" s="141"/>
      <c r="U103" s="141"/>
      <c r="V103" s="141"/>
    </row>
    <row r="104" spans="12:22" x14ac:dyDescent="0.3">
      <c r="L104" s="315" t="str">
        <f>A23</f>
        <v>Security Testing</v>
      </c>
      <c r="M104" s="141"/>
      <c r="N104" s="141"/>
      <c r="O104" s="141"/>
      <c r="P104" s="141"/>
      <c r="Q104" s="141"/>
      <c r="R104" s="141"/>
      <c r="S104" s="141"/>
      <c r="T104" s="141"/>
      <c r="U104" s="141"/>
      <c r="V104" s="141"/>
    </row>
    <row r="105" spans="12:22" x14ac:dyDescent="0.3">
      <c r="L105" s="315"/>
      <c r="M105" s="141"/>
      <c r="N105" s="141"/>
      <c r="O105" s="141"/>
      <c r="P105" s="141"/>
      <c r="Q105" s="141"/>
      <c r="R105" s="141"/>
      <c r="S105" s="141"/>
      <c r="T105" s="141"/>
      <c r="U105" s="141"/>
      <c r="V105" s="141"/>
    </row>
    <row r="106" spans="12:22" x14ac:dyDescent="0.3">
      <c r="L106" s="315"/>
      <c r="M106" s="141"/>
      <c r="N106" s="141"/>
      <c r="O106" s="141"/>
      <c r="P106" s="141"/>
      <c r="Q106" s="141"/>
      <c r="R106" s="141"/>
      <c r="S106" s="141"/>
      <c r="T106" s="141"/>
      <c r="U106" s="141"/>
      <c r="V106" s="141"/>
    </row>
    <row r="107" spans="12:22" x14ac:dyDescent="0.3">
      <c r="L107" s="315"/>
      <c r="M107" s="141"/>
      <c r="N107" s="141"/>
      <c r="O107" s="141"/>
      <c r="P107" s="141"/>
      <c r="Q107" s="141"/>
      <c r="R107" s="141"/>
      <c r="S107" s="141"/>
      <c r="T107" s="141"/>
      <c r="U107" s="141"/>
      <c r="V107" s="141"/>
    </row>
    <row r="108" spans="12:22" x14ac:dyDescent="0.3">
      <c r="L108" s="315"/>
      <c r="M108" s="141"/>
      <c r="N108" s="141"/>
      <c r="O108" s="141"/>
      <c r="P108" s="141"/>
      <c r="Q108" s="141"/>
      <c r="R108" s="141"/>
      <c r="S108" s="141"/>
      <c r="T108" s="141"/>
      <c r="U108" s="141"/>
      <c r="V108" s="141"/>
    </row>
    <row r="109" spans="12:22" x14ac:dyDescent="0.3">
      <c r="L109" s="315"/>
      <c r="M109" s="141"/>
      <c r="N109" s="141"/>
      <c r="O109" s="141"/>
      <c r="P109" s="141"/>
      <c r="Q109" s="141"/>
      <c r="R109" s="141"/>
      <c r="S109" s="141"/>
      <c r="T109" s="141"/>
      <c r="U109" s="141"/>
      <c r="V109" s="141"/>
    </row>
    <row r="110" spans="12:22" x14ac:dyDescent="0.3">
      <c r="L110" s="315"/>
      <c r="M110" s="141"/>
      <c r="N110" s="141"/>
      <c r="O110" s="141"/>
      <c r="P110" s="141"/>
      <c r="Q110" s="141"/>
      <c r="R110" s="141"/>
      <c r="S110" s="141"/>
      <c r="T110" s="141"/>
      <c r="U110" s="141"/>
      <c r="V110" s="141"/>
    </row>
    <row r="111" spans="12:22" x14ac:dyDescent="0.3">
      <c r="L111" s="315"/>
      <c r="M111" s="141"/>
      <c r="N111" s="141"/>
      <c r="O111" s="141"/>
      <c r="P111" s="141"/>
      <c r="Q111" s="141"/>
      <c r="R111" s="141"/>
      <c r="S111" s="141"/>
      <c r="T111" s="141"/>
      <c r="U111" s="141"/>
      <c r="V111" s="141"/>
    </row>
    <row r="112" spans="12:22" x14ac:dyDescent="0.3">
      <c r="L112" s="315" t="str">
        <f>A24</f>
        <v>Incident Management</v>
      </c>
      <c r="M112" s="141"/>
      <c r="N112" s="141"/>
      <c r="O112" s="141"/>
      <c r="P112" s="141"/>
      <c r="Q112" s="141"/>
      <c r="R112" s="141"/>
      <c r="S112" s="141"/>
      <c r="T112" s="141"/>
      <c r="U112" s="141"/>
      <c r="V112" s="141"/>
    </row>
    <row r="113" spans="12:22" x14ac:dyDescent="0.3">
      <c r="L113" s="315"/>
      <c r="M113" s="141"/>
      <c r="N113" s="141"/>
      <c r="O113" s="141"/>
      <c r="P113" s="141"/>
      <c r="Q113" s="141"/>
      <c r="R113" s="141"/>
      <c r="S113" s="141"/>
      <c r="T113" s="141"/>
      <c r="U113" s="141"/>
      <c r="V113" s="141"/>
    </row>
    <row r="114" spans="12:22" x14ac:dyDescent="0.3">
      <c r="L114" s="315"/>
      <c r="M114" s="141"/>
      <c r="N114" s="141"/>
      <c r="O114" s="141"/>
      <c r="P114" s="141"/>
      <c r="Q114" s="141"/>
      <c r="R114" s="141"/>
      <c r="S114" s="141"/>
      <c r="T114" s="141"/>
      <c r="U114" s="141"/>
      <c r="V114" s="141"/>
    </row>
    <row r="115" spans="12:22" x14ac:dyDescent="0.3">
      <c r="L115" s="315"/>
      <c r="M115" s="141"/>
      <c r="N115" s="141"/>
      <c r="O115" s="141"/>
      <c r="P115" s="141"/>
      <c r="Q115" s="141"/>
      <c r="R115" s="141"/>
      <c r="S115" s="141"/>
      <c r="T115" s="141"/>
      <c r="U115" s="141"/>
      <c r="V115" s="141"/>
    </row>
    <row r="116" spans="12:22" x14ac:dyDescent="0.3">
      <c r="L116" s="315"/>
      <c r="M116" s="141"/>
      <c r="N116" s="141"/>
      <c r="O116" s="141"/>
      <c r="P116" s="141"/>
      <c r="Q116" s="141"/>
      <c r="R116" s="141"/>
      <c r="S116" s="141"/>
      <c r="T116" s="141"/>
      <c r="U116" s="141"/>
      <c r="V116" s="141"/>
    </row>
    <row r="117" spans="12:22" x14ac:dyDescent="0.3">
      <c r="L117" s="315"/>
      <c r="M117" s="141"/>
      <c r="N117" s="141"/>
      <c r="O117" s="141"/>
      <c r="P117" s="141"/>
      <c r="Q117" s="141"/>
      <c r="R117" s="141"/>
      <c r="S117" s="141"/>
      <c r="T117" s="141"/>
      <c r="U117" s="141"/>
      <c r="V117" s="141"/>
    </row>
    <row r="118" spans="12:22" x14ac:dyDescent="0.3">
      <c r="L118" s="315"/>
      <c r="M118" s="141"/>
      <c r="N118" s="141"/>
      <c r="O118" s="141"/>
      <c r="P118" s="141"/>
      <c r="Q118" s="141"/>
      <c r="R118" s="141"/>
      <c r="S118" s="141"/>
      <c r="T118" s="141"/>
      <c r="U118" s="141"/>
      <c r="V118" s="141"/>
    </row>
    <row r="119" spans="12:22" x14ac:dyDescent="0.3">
      <c r="L119" s="315"/>
      <c r="M119" s="141"/>
      <c r="N119" s="141"/>
      <c r="O119" s="141"/>
      <c r="P119" s="141"/>
      <c r="Q119" s="141"/>
      <c r="R119" s="141"/>
      <c r="S119" s="141"/>
      <c r="T119" s="141"/>
      <c r="U119" s="141"/>
      <c r="V119" s="141"/>
    </row>
    <row r="120" spans="12:22" x14ac:dyDescent="0.3">
      <c r="L120" s="315" t="str">
        <f>A25</f>
        <v>Environment Management</v>
      </c>
      <c r="M120" s="141"/>
      <c r="N120" s="141"/>
      <c r="O120" s="141"/>
      <c r="P120" s="141"/>
      <c r="Q120" s="141"/>
      <c r="R120" s="141"/>
      <c r="S120" s="141"/>
      <c r="T120" s="141"/>
      <c r="U120" s="141"/>
      <c r="V120" s="141"/>
    </row>
    <row r="121" spans="12:22" x14ac:dyDescent="0.3">
      <c r="L121" s="315"/>
      <c r="M121" s="141"/>
      <c r="N121" s="141"/>
      <c r="O121" s="141"/>
      <c r="P121" s="141"/>
      <c r="Q121" s="141"/>
      <c r="R121" s="141"/>
      <c r="S121" s="141"/>
      <c r="T121" s="141"/>
      <c r="U121" s="141"/>
      <c r="V121" s="141"/>
    </row>
    <row r="122" spans="12:22" x14ac:dyDescent="0.3">
      <c r="L122" s="315"/>
      <c r="M122" s="141"/>
      <c r="N122" s="141"/>
      <c r="O122" s="141"/>
      <c r="P122" s="141"/>
      <c r="Q122" s="141"/>
      <c r="R122" s="141"/>
      <c r="S122" s="141"/>
      <c r="T122" s="141"/>
      <c r="U122" s="141"/>
      <c r="V122" s="141"/>
    </row>
    <row r="123" spans="12:22" x14ac:dyDescent="0.3">
      <c r="L123" s="315"/>
      <c r="M123" s="141"/>
      <c r="N123" s="141"/>
      <c r="O123" s="141"/>
      <c r="P123" s="141"/>
      <c r="Q123" s="141"/>
      <c r="R123" s="141"/>
      <c r="S123" s="141"/>
      <c r="T123" s="141"/>
      <c r="U123" s="141"/>
      <c r="V123" s="141"/>
    </row>
    <row r="124" spans="12:22" x14ac:dyDescent="0.3">
      <c r="L124" s="315"/>
      <c r="M124" s="141"/>
      <c r="N124" s="141"/>
      <c r="O124" s="141"/>
      <c r="P124" s="141"/>
      <c r="Q124" s="141"/>
      <c r="R124" s="141"/>
      <c r="S124" s="141"/>
      <c r="T124" s="141"/>
      <c r="U124" s="141"/>
      <c r="V124" s="141"/>
    </row>
    <row r="125" spans="12:22" x14ac:dyDescent="0.3">
      <c r="L125" s="315"/>
      <c r="M125" s="141"/>
      <c r="N125" s="141"/>
      <c r="O125" s="141"/>
      <c r="P125" s="141"/>
      <c r="Q125" s="141"/>
      <c r="R125" s="141"/>
      <c r="S125" s="141"/>
      <c r="T125" s="141"/>
      <c r="U125" s="141"/>
      <c r="V125" s="141"/>
    </row>
    <row r="126" spans="12:22" x14ac:dyDescent="0.3">
      <c r="L126" s="315"/>
      <c r="M126" s="141"/>
      <c r="N126" s="141"/>
      <c r="O126" s="141"/>
      <c r="P126" s="141"/>
      <c r="Q126" s="141"/>
      <c r="R126" s="141"/>
      <c r="S126" s="141"/>
      <c r="T126" s="141"/>
      <c r="U126" s="141"/>
      <c r="V126" s="141"/>
    </row>
    <row r="127" spans="12:22" x14ac:dyDescent="0.3">
      <c r="L127" s="315"/>
      <c r="M127" s="141"/>
      <c r="N127" s="141"/>
      <c r="O127" s="141"/>
      <c r="P127" s="141"/>
      <c r="Q127" s="141"/>
      <c r="R127" s="141"/>
      <c r="S127" s="141"/>
      <c r="T127" s="141"/>
      <c r="U127" s="141"/>
      <c r="V127" s="141"/>
    </row>
    <row r="128" spans="12:22" x14ac:dyDescent="0.3">
      <c r="L128" s="315" t="str">
        <f>A26</f>
        <v>Operational Enablement</v>
      </c>
      <c r="M128" s="141"/>
      <c r="N128" s="141"/>
      <c r="O128" s="141"/>
      <c r="P128" s="141"/>
      <c r="Q128" s="141"/>
      <c r="R128" s="141"/>
      <c r="S128" s="141"/>
      <c r="T128" s="141"/>
      <c r="U128" s="141"/>
      <c r="V128" s="141"/>
    </row>
    <row r="129" spans="12:22" x14ac:dyDescent="0.3">
      <c r="L129" s="315"/>
      <c r="M129" s="141"/>
      <c r="N129" s="141"/>
      <c r="O129" s="141"/>
      <c r="P129" s="141"/>
      <c r="Q129" s="141"/>
      <c r="R129" s="141"/>
      <c r="S129" s="141"/>
      <c r="T129" s="141"/>
      <c r="U129" s="141"/>
      <c r="V129" s="141"/>
    </row>
    <row r="130" spans="12:22" x14ac:dyDescent="0.3">
      <c r="L130" s="315"/>
      <c r="M130" s="141"/>
      <c r="N130" s="141"/>
      <c r="O130" s="141"/>
      <c r="P130" s="141"/>
      <c r="Q130" s="141"/>
      <c r="R130" s="141"/>
      <c r="S130" s="141"/>
      <c r="T130" s="141"/>
      <c r="U130" s="141"/>
      <c r="V130" s="141"/>
    </row>
    <row r="131" spans="12:22" x14ac:dyDescent="0.3">
      <c r="L131" s="315"/>
      <c r="M131" s="141"/>
      <c r="N131" s="141"/>
      <c r="O131" s="141"/>
      <c r="P131" s="141"/>
      <c r="Q131" s="141"/>
      <c r="R131" s="141"/>
      <c r="S131" s="141"/>
      <c r="T131" s="141"/>
      <c r="U131" s="141"/>
      <c r="V131" s="141"/>
    </row>
    <row r="132" spans="12:22" ht="15.75" thickBot="1" x14ac:dyDescent="0.35">
      <c r="L132" s="315"/>
      <c r="M132" s="142"/>
      <c r="N132" s="142"/>
      <c r="O132" s="142"/>
      <c r="P132" s="142"/>
      <c r="Q132" s="142"/>
      <c r="R132" s="142"/>
      <c r="S132" s="142"/>
      <c r="T132" s="142"/>
      <c r="U132" s="142"/>
      <c r="V132" s="142"/>
    </row>
  </sheetData>
  <customSheetViews>
    <customSheetView guid="{9846C184-355C-EA4B-8C35-9561D1AEE31C}" fitToPage="1">
      <selection activeCell="B10" sqref="B10"/>
      <pageMargins left="0.55118110236220474" right="0.55118110236220474" top="0.39370078740157483" bottom="0.39370078740157483" header="0.51181102362204722" footer="0.51181102362204722"/>
      <pageSetup paperSize="9" scale="50" orientation="portrait" r:id="rId1"/>
      <headerFooter alignWithMargins="0"/>
    </customSheetView>
  </customSheetViews>
  <mergeCells count="20">
    <mergeCell ref="O11:P11"/>
    <mergeCell ref="Q11:R11"/>
    <mergeCell ref="S11:T11"/>
    <mergeCell ref="U11:V11"/>
    <mergeCell ref="O8:R8"/>
    <mergeCell ref="S8:V8"/>
    <mergeCell ref="O9:P9"/>
    <mergeCell ref="Q9:R9"/>
    <mergeCell ref="S9:T9"/>
    <mergeCell ref="U9:V9"/>
    <mergeCell ref="A1:K1"/>
    <mergeCell ref="O10:P10"/>
    <mergeCell ref="Q10:R10"/>
    <mergeCell ref="S10:T10"/>
    <mergeCell ref="U10:V10"/>
    <mergeCell ref="B4:C4"/>
    <mergeCell ref="B5:C5"/>
    <mergeCell ref="B7:C7"/>
    <mergeCell ref="B8:C8"/>
    <mergeCell ref="B6:C6"/>
  </mergeCells>
  <dataValidations disablePrompts="1" count="1">
    <dataValidation showInputMessage="1" showErrorMessage="1" sqref="B12:B26"/>
  </dataValidations>
  <pageMargins left="0.55118110236220474" right="0.55118110236220474" top="0.39370078740157483" bottom="0.39370078740157483" header="0.51181102362204722" footer="0.51181102362204722"/>
  <pageSetup paperSize="9" scale="50" orientation="portrait" r:id="rId2"/>
  <headerFooter alignWithMargins="0"/>
  <ignoredErrors>
    <ignoredError sqref="B4:B6 B7:B8" unlockedFormula="1"/>
  </ignoredErrors>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Q116"/>
  <sheetViews>
    <sheetView topLeftCell="D1" workbookViewId="0">
      <selection activeCell="M1" sqref="M1:M3"/>
    </sheetView>
  </sheetViews>
  <sheetFormatPr defaultColWidth="8.85546875" defaultRowHeight="12.75" x14ac:dyDescent="0.2"/>
  <cols>
    <col min="3" max="3" width="8.85546875" customWidth="1"/>
    <col min="9" max="9" width="22.7109375" style="23" customWidth="1"/>
    <col min="10" max="10" width="35.140625" customWidth="1"/>
    <col min="15" max="15" width="21.85546875" customWidth="1"/>
    <col min="16" max="16" width="29.140625" customWidth="1"/>
  </cols>
  <sheetData>
    <row r="1" spans="1:17" ht="66" customHeight="1" thickBot="1" x14ac:dyDescent="0.4">
      <c r="A1" s="440" t="s">
        <v>103</v>
      </c>
      <c r="B1" s="441"/>
      <c r="C1" s="441"/>
      <c r="D1" s="441"/>
      <c r="E1" s="441"/>
      <c r="F1" s="441"/>
      <c r="G1" s="441"/>
      <c r="H1" s="441"/>
      <c r="I1" s="441"/>
      <c r="J1" s="441"/>
      <c r="K1" s="442"/>
      <c r="M1" s="192" t="str">
        <f>IF(M2=M3,"OK","Problem")</f>
        <v>OK</v>
      </c>
    </row>
    <row r="2" spans="1:17" x14ac:dyDescent="0.2">
      <c r="M2">
        <f>COUNTA(M4:M200)</f>
        <v>19</v>
      </c>
    </row>
    <row r="3" spans="1:17" x14ac:dyDescent="0.2">
      <c r="A3" s="29" t="s">
        <v>34</v>
      </c>
      <c r="B3" s="28"/>
      <c r="C3" s="508" t="s">
        <v>35</v>
      </c>
      <c r="D3" s="508"/>
      <c r="E3" s="508"/>
      <c r="F3" s="28"/>
      <c r="G3" s="28"/>
      <c r="H3" s="28"/>
      <c r="I3" s="27"/>
      <c r="M3">
        <f>COUNTA('imp-answers'!A2:A200)</f>
        <v>19</v>
      </c>
    </row>
    <row r="4" spans="1:17" x14ac:dyDescent="0.2">
      <c r="A4" s="30" t="s">
        <v>33</v>
      </c>
      <c r="C4" s="31">
        <v>3</v>
      </c>
      <c r="D4" s="31">
        <v>3</v>
      </c>
      <c r="E4" s="31">
        <v>3</v>
      </c>
      <c r="F4" s="31">
        <v>6</v>
      </c>
      <c r="G4" s="111"/>
      <c r="H4" s="507" t="s">
        <v>72</v>
      </c>
      <c r="I4" s="112">
        <v>1</v>
      </c>
      <c r="J4" t="s">
        <v>30</v>
      </c>
      <c r="K4">
        <v>0</v>
      </c>
      <c r="M4" s="507" t="str">
        <f>CHAR(65+N4)</f>
        <v>A</v>
      </c>
      <c r="N4" s="507">
        <v>0</v>
      </c>
      <c r="O4" s="112"/>
      <c r="P4" s="160" t="str">
        <f>VLOOKUP(N4,'imp-answers'!$A$2:$I$50,2,FALSE)</f>
        <v>No</v>
      </c>
      <c r="Q4" s="160">
        <f>VLOOKUP(N4,'imp-answers'!$A$2:$I$50,6,FALSE)</f>
        <v>0</v>
      </c>
    </row>
    <row r="5" spans="1:17" x14ac:dyDescent="0.2">
      <c r="A5" s="30" t="s">
        <v>30</v>
      </c>
      <c r="B5" s="13"/>
      <c r="C5" s="31">
        <v>2.0099999999999998</v>
      </c>
      <c r="D5" s="31">
        <v>2.99</v>
      </c>
      <c r="E5" s="32" t="s">
        <v>5</v>
      </c>
      <c r="F5" s="33">
        <v>5</v>
      </c>
      <c r="G5" s="23"/>
      <c r="H5" s="507"/>
      <c r="I5" s="107"/>
      <c r="J5" t="s">
        <v>61</v>
      </c>
      <c r="K5">
        <v>0.2</v>
      </c>
      <c r="M5" s="509"/>
      <c r="N5" s="509"/>
      <c r="O5" s="107"/>
      <c r="P5" s="160" t="str">
        <f>VLOOKUP(N4,'imp-answers'!$A$2:$I$50,3,FALSE)</f>
        <v>Yes, for some applications</v>
      </c>
      <c r="Q5" s="160">
        <f>VLOOKUP(N4,'imp-answers'!$A$2:$I$50,7,FALSE)</f>
        <v>0.25</v>
      </c>
    </row>
    <row r="6" spans="1:17" x14ac:dyDescent="0.2">
      <c r="C6" s="31">
        <v>2</v>
      </c>
      <c r="D6" s="31">
        <v>2</v>
      </c>
      <c r="E6" s="31">
        <v>2</v>
      </c>
      <c r="F6" s="31">
        <v>4</v>
      </c>
      <c r="G6" s="111"/>
      <c r="H6" s="507"/>
      <c r="I6" s="109"/>
      <c r="J6" t="s">
        <v>92</v>
      </c>
      <c r="K6">
        <v>0.5</v>
      </c>
      <c r="M6" s="509"/>
      <c r="N6" s="509"/>
      <c r="O6" s="158"/>
      <c r="P6" s="160" t="str">
        <f>VLOOKUP(N4,'imp-answers'!$A$2:$I$50,4,FALSE)</f>
        <v>Yes, for at least half of the applications</v>
      </c>
      <c r="Q6" s="160">
        <f>VLOOKUP(N4,'imp-answers'!$A$2:$I$50,8,FALSE)</f>
        <v>0.5</v>
      </c>
    </row>
    <row r="7" spans="1:17" x14ac:dyDescent="0.2">
      <c r="C7" s="31">
        <v>1.01</v>
      </c>
      <c r="D7" s="31">
        <v>1.99</v>
      </c>
      <c r="E7" s="32" t="s">
        <v>4</v>
      </c>
      <c r="F7" s="33">
        <v>3</v>
      </c>
      <c r="G7" s="23"/>
      <c r="H7" s="507"/>
      <c r="I7" s="110">
        <v>2</v>
      </c>
      <c r="J7" t="s">
        <v>93</v>
      </c>
      <c r="K7">
        <v>1</v>
      </c>
      <c r="M7" s="509"/>
      <c r="N7" s="509"/>
      <c r="O7" s="109"/>
      <c r="P7" s="160" t="str">
        <f>VLOOKUP(N4,'imp-answers'!$A$2:$I$50,5,FALSE)</f>
        <v>Yes, for most of the applications</v>
      </c>
      <c r="Q7" s="160">
        <f>VLOOKUP(N4,'imp-answers'!$A$2:$I$50,9,FALSE)</f>
        <v>1</v>
      </c>
    </row>
    <row r="8" spans="1:17" x14ac:dyDescent="0.2">
      <c r="C8" s="31">
        <v>1</v>
      </c>
      <c r="D8" s="31">
        <v>1</v>
      </c>
      <c r="E8" s="31">
        <v>1</v>
      </c>
      <c r="F8" s="31">
        <v>2</v>
      </c>
      <c r="G8" s="111"/>
      <c r="M8" s="509"/>
      <c r="N8" s="509"/>
      <c r="O8" s="157"/>
    </row>
    <row r="9" spans="1:17" x14ac:dyDescent="0.2">
      <c r="C9" s="31">
        <v>0.01</v>
      </c>
      <c r="D9" s="31">
        <v>0.99</v>
      </c>
      <c r="E9" s="32" t="s">
        <v>3</v>
      </c>
      <c r="F9" s="33">
        <v>1</v>
      </c>
      <c r="G9" s="23"/>
      <c r="H9" s="507" t="s">
        <v>73</v>
      </c>
      <c r="I9" s="108" t="s">
        <v>67</v>
      </c>
      <c r="J9" t="s">
        <v>30</v>
      </c>
      <c r="K9">
        <v>0</v>
      </c>
    </row>
    <row r="10" spans="1:17" x14ac:dyDescent="0.2">
      <c r="C10" s="31">
        <v>0</v>
      </c>
      <c r="D10" s="31">
        <v>0</v>
      </c>
      <c r="E10" s="31">
        <v>0</v>
      </c>
      <c r="F10" s="31">
        <v>0</v>
      </c>
      <c r="G10" s="111"/>
      <c r="H10" s="507"/>
      <c r="I10" s="107">
        <v>5</v>
      </c>
      <c r="J10" t="s">
        <v>62</v>
      </c>
      <c r="K10">
        <v>0.2</v>
      </c>
      <c r="M10" s="507" t="str">
        <f>CHAR(65+N10)</f>
        <v>B</v>
      </c>
      <c r="N10" s="507">
        <v>1</v>
      </c>
      <c r="O10" s="112"/>
      <c r="P10" s="160" t="str">
        <f>VLOOKUP(N10,'imp-answers'!$A$2:$I$50,2,FALSE)</f>
        <v>No</v>
      </c>
      <c r="Q10" s="160">
        <f>VLOOKUP(N10,'imp-answers'!$A$2:$I$50,6,FALSE)</f>
        <v>0</v>
      </c>
    </row>
    <row r="11" spans="1:17" x14ac:dyDescent="0.2">
      <c r="H11" s="507"/>
      <c r="I11" s="109" t="s">
        <v>86</v>
      </c>
      <c r="J11" t="s">
        <v>84</v>
      </c>
      <c r="K11">
        <v>0.5</v>
      </c>
      <c r="M11" s="509"/>
      <c r="N11" s="509"/>
      <c r="O11" s="107"/>
      <c r="P11" s="160" t="str">
        <f>VLOOKUP(N10,'imp-answers'!$A$2:$I$50,3,FALSE)</f>
        <v>Yes, some of them</v>
      </c>
      <c r="Q11" s="160">
        <f>VLOOKUP(N10,'imp-answers'!$A$2:$I$50,7,FALSE)</f>
        <v>0.25</v>
      </c>
    </row>
    <row r="12" spans="1:17" x14ac:dyDescent="0.2">
      <c r="H12" s="507"/>
      <c r="I12" s="110" t="s">
        <v>89</v>
      </c>
      <c r="J12" t="s">
        <v>63</v>
      </c>
      <c r="K12">
        <v>1</v>
      </c>
      <c r="M12" s="509"/>
      <c r="N12" s="509"/>
      <c r="O12" s="158"/>
      <c r="P12" s="160" t="str">
        <f>VLOOKUP(N10,'imp-answers'!$A$2:$I$50,4,FALSE)</f>
        <v>Yes, at least half of them</v>
      </c>
      <c r="Q12" s="160">
        <f>VLOOKUP(N10,'imp-answers'!$A$2:$I$50,8,FALSE)</f>
        <v>0.5</v>
      </c>
    </row>
    <row r="13" spans="1:17" x14ac:dyDescent="0.2">
      <c r="M13" s="509"/>
      <c r="N13" s="509"/>
      <c r="O13" s="109"/>
      <c r="P13" s="160" t="str">
        <f>VLOOKUP(N10,'imp-answers'!$A$2:$I$50,5,FALSE)</f>
        <v>Yes, the most of them</v>
      </c>
      <c r="Q13" s="160">
        <f>VLOOKUP(N10,'imp-answers'!$A$2:$I$50,9,FALSE)</f>
        <v>1</v>
      </c>
    </row>
    <row r="14" spans="1:17" x14ac:dyDescent="0.2">
      <c r="H14" s="507" t="s">
        <v>74</v>
      </c>
      <c r="I14" s="108" t="s">
        <v>122</v>
      </c>
      <c r="J14" t="s">
        <v>30</v>
      </c>
      <c r="K14">
        <v>0</v>
      </c>
      <c r="M14" s="509"/>
      <c r="N14" s="509"/>
      <c r="O14" s="157"/>
    </row>
    <row r="15" spans="1:17" x14ac:dyDescent="0.2">
      <c r="H15" s="507"/>
      <c r="I15" s="107" t="s">
        <v>116</v>
      </c>
      <c r="J15" t="s">
        <v>117</v>
      </c>
      <c r="K15">
        <v>0.2</v>
      </c>
    </row>
    <row r="16" spans="1:17" x14ac:dyDescent="0.2">
      <c r="H16" s="507"/>
      <c r="I16" s="109" t="s">
        <v>87</v>
      </c>
      <c r="J16" t="s">
        <v>118</v>
      </c>
      <c r="K16">
        <v>0.5</v>
      </c>
      <c r="M16" s="507" t="str">
        <f>CHAR(65+N16)</f>
        <v>C</v>
      </c>
      <c r="N16" s="507">
        <v>2</v>
      </c>
      <c r="O16" s="112"/>
      <c r="P16" s="160" t="str">
        <f>VLOOKUP(N16,'imp-answers'!$A$2:$I$50,2,FALSE)</f>
        <v>No</v>
      </c>
      <c r="Q16" s="160">
        <f>VLOOKUP(N16,'imp-answers'!$A$2:$I$50,6,FALSE)</f>
        <v>0</v>
      </c>
    </row>
    <row r="17" spans="8:17" x14ac:dyDescent="0.2">
      <c r="H17" s="507"/>
      <c r="I17" s="110" t="s">
        <v>120</v>
      </c>
      <c r="J17" t="s">
        <v>119</v>
      </c>
      <c r="K17">
        <v>1</v>
      </c>
      <c r="M17" s="509"/>
      <c r="N17" s="509"/>
      <c r="O17" s="107"/>
      <c r="P17" s="160" t="str">
        <f>VLOOKUP(N16,'imp-answers'!$A$2:$I$50,3,FALSE)</f>
        <v>Yes, some content has been updated</v>
      </c>
      <c r="Q17" s="160">
        <f>VLOOKUP(N16,'imp-answers'!$A$2:$I$50,7,FALSE)</f>
        <v>0.25</v>
      </c>
    </row>
    <row r="18" spans="8:17" x14ac:dyDescent="0.2">
      <c r="M18" s="509"/>
      <c r="N18" s="509"/>
      <c r="O18" s="158"/>
      <c r="P18" s="160" t="str">
        <f>VLOOKUP(N16,'imp-answers'!$A$2:$I$50,4,FALSE)</f>
        <v>Yes, at least half of the content</v>
      </c>
      <c r="Q18" s="160">
        <f>VLOOKUP(N16,'imp-answers'!$A$2:$I$50,8,FALSE)</f>
        <v>0.5</v>
      </c>
    </row>
    <row r="19" spans="8:17" x14ac:dyDescent="0.2">
      <c r="H19" s="507" t="s">
        <v>75</v>
      </c>
      <c r="I19" s="108" t="s">
        <v>71</v>
      </c>
      <c r="J19" t="s">
        <v>30</v>
      </c>
      <c r="K19">
        <v>0</v>
      </c>
      <c r="M19" s="509"/>
      <c r="N19" s="509"/>
      <c r="O19" s="109"/>
      <c r="P19" s="160" t="str">
        <f>VLOOKUP(N16,'imp-answers'!$A$2:$I$50,5,FALSE)</f>
        <v>Yes, the majority of the content</v>
      </c>
      <c r="Q19" s="160">
        <f>VLOOKUP(N16,'imp-answers'!$A$2:$I$50,9,FALSE)</f>
        <v>1</v>
      </c>
    </row>
    <row r="20" spans="8:17" x14ac:dyDescent="0.2">
      <c r="H20" s="507"/>
      <c r="I20" s="107">
        <v>13</v>
      </c>
      <c r="J20" t="s">
        <v>64</v>
      </c>
      <c r="K20">
        <v>0.2</v>
      </c>
      <c r="M20" s="509"/>
      <c r="N20" s="509"/>
      <c r="O20" s="157"/>
    </row>
    <row r="21" spans="8:17" x14ac:dyDescent="0.2">
      <c r="H21" s="507"/>
      <c r="I21" s="109"/>
      <c r="J21" t="s">
        <v>65</v>
      </c>
      <c r="K21">
        <v>0.5</v>
      </c>
    </row>
    <row r="22" spans="8:17" x14ac:dyDescent="0.2">
      <c r="H22" s="507"/>
      <c r="I22" s="110">
        <v>18</v>
      </c>
      <c r="J22" t="s">
        <v>66</v>
      </c>
      <c r="K22">
        <v>1</v>
      </c>
      <c r="M22" s="507" t="str">
        <f>CHAR(65+N22)</f>
        <v>D</v>
      </c>
      <c r="N22" s="507">
        <v>3</v>
      </c>
      <c r="O22" s="112"/>
      <c r="P22" s="160" t="str">
        <f>VLOOKUP(N22,'imp-answers'!$A$2:$I$50,2,FALSE)</f>
        <v>No</v>
      </c>
      <c r="Q22" s="160">
        <f>VLOOKUP(N22,'imp-answers'!$A$2:$I$50,6,FALSE)</f>
        <v>0</v>
      </c>
    </row>
    <row r="23" spans="8:17" x14ac:dyDescent="0.2">
      <c r="M23" s="509"/>
      <c r="N23" s="509"/>
      <c r="O23" s="107"/>
      <c r="P23" s="160" t="str">
        <f>VLOOKUP(N22,'imp-answers'!$A$2:$I$50,3,FALSE)</f>
        <v>Yes, for some of the trianing</v>
      </c>
      <c r="Q23" s="160">
        <f>VLOOKUP(N22,'imp-answers'!$A$2:$I$50,7,FALSE)</f>
        <v>0.25</v>
      </c>
    </row>
    <row r="24" spans="8:17" x14ac:dyDescent="0.2">
      <c r="H24" s="507" t="s">
        <v>76</v>
      </c>
      <c r="I24" s="108">
        <v>10</v>
      </c>
      <c r="J24" t="s">
        <v>30</v>
      </c>
      <c r="K24">
        <v>0</v>
      </c>
      <c r="M24" s="509"/>
      <c r="N24" s="509"/>
      <c r="O24" s="158"/>
      <c r="P24" s="160" t="str">
        <f>VLOOKUP(N22,'imp-answers'!$A$2:$I$50,4,FALSE)</f>
        <v>Yes, at least half of the training</v>
      </c>
      <c r="Q24" s="160">
        <f>VLOOKUP(N22,'imp-answers'!$A$2:$I$50,8,FALSE)</f>
        <v>0.5</v>
      </c>
    </row>
    <row r="25" spans="8:17" x14ac:dyDescent="0.2">
      <c r="H25" s="507"/>
      <c r="I25" s="107"/>
      <c r="J25" t="s">
        <v>85</v>
      </c>
      <c r="K25">
        <v>1</v>
      </c>
      <c r="M25" s="509"/>
      <c r="N25" s="509"/>
      <c r="O25" s="109"/>
      <c r="P25" s="160" t="str">
        <f>VLOOKUP(N22,'imp-answers'!$A$2:$I$50,5,FALSE)</f>
        <v>Yes, the majority of training</v>
      </c>
      <c r="Q25" s="160">
        <f>VLOOKUP(N22,'imp-answers'!$A$2:$I$50,9,FALSE)</f>
        <v>1</v>
      </c>
    </row>
    <row r="26" spans="8:17" x14ac:dyDescent="0.2">
      <c r="H26" s="507"/>
      <c r="I26" s="109"/>
      <c r="J26" t="s">
        <v>68</v>
      </c>
      <c r="K26">
        <v>0.5</v>
      </c>
      <c r="M26" s="509"/>
      <c r="N26" s="509"/>
      <c r="O26" s="157"/>
    </row>
    <row r="27" spans="8:17" x14ac:dyDescent="0.2">
      <c r="H27" s="507"/>
      <c r="I27" s="110">
        <v>19</v>
      </c>
      <c r="J27" t="s">
        <v>33</v>
      </c>
      <c r="K27">
        <v>1</v>
      </c>
    </row>
    <row r="28" spans="8:17" x14ac:dyDescent="0.2">
      <c r="M28" s="507" t="str">
        <f>CHAR(65+N28)</f>
        <v>E</v>
      </c>
      <c r="N28" s="507">
        <v>4</v>
      </c>
      <c r="O28" s="112"/>
      <c r="P28" s="160" t="str">
        <f>VLOOKUP(N28,'imp-answers'!$A$2:$I$50,2,FALSE)</f>
        <v>No</v>
      </c>
      <c r="Q28" s="160">
        <f>VLOOKUP(N28,'imp-answers'!$A$2:$I$50,6,FALSE)</f>
        <v>0</v>
      </c>
    </row>
    <row r="29" spans="8:17" x14ac:dyDescent="0.2">
      <c r="H29" s="507" t="s">
        <v>77</v>
      </c>
      <c r="I29" s="108" t="s">
        <v>114</v>
      </c>
      <c r="J29" t="s">
        <v>30</v>
      </c>
      <c r="K29">
        <v>0</v>
      </c>
      <c r="M29" s="509"/>
      <c r="N29" s="509"/>
      <c r="O29" s="107"/>
      <c r="P29" s="160" t="str">
        <f>VLOOKUP(N28,'imp-answers'!$A$2:$I$50,3,FALSE)</f>
        <v>Yes, some of the time</v>
      </c>
      <c r="Q29" s="160">
        <f>VLOOKUP(N28,'imp-answers'!$A$2:$I$50,7,FALSE)</f>
        <v>0.25</v>
      </c>
    </row>
    <row r="30" spans="8:17" x14ac:dyDescent="0.2">
      <c r="H30" s="507"/>
      <c r="I30" s="107" t="s">
        <v>115</v>
      </c>
      <c r="J30" t="s">
        <v>121</v>
      </c>
      <c r="K30">
        <v>0.2</v>
      </c>
      <c r="M30" s="509"/>
      <c r="N30" s="509"/>
      <c r="O30" s="158"/>
      <c r="P30" s="160" t="str">
        <f>VLOOKUP(N28,'imp-answers'!$A$2:$I$50,4,FALSE)</f>
        <v>Yes, at least half of the time</v>
      </c>
      <c r="Q30" s="160">
        <f>VLOOKUP(N28,'imp-answers'!$A$2:$I$50,8,FALSE)</f>
        <v>0.5</v>
      </c>
    </row>
    <row r="31" spans="8:17" x14ac:dyDescent="0.2">
      <c r="H31" s="507"/>
      <c r="I31" s="109"/>
      <c r="J31" t="s">
        <v>69</v>
      </c>
      <c r="K31">
        <v>0.5</v>
      </c>
      <c r="M31" s="509"/>
      <c r="N31" s="509"/>
      <c r="O31" s="109"/>
      <c r="P31" s="160" t="str">
        <f>VLOOKUP(N28,'imp-answers'!$A$2:$I$50,5,FALSE)</f>
        <v>Yes, most of the time</v>
      </c>
      <c r="Q31" s="160">
        <f>VLOOKUP(N28,'imp-answers'!$A$2:$I$50,9,FALSE)</f>
        <v>1</v>
      </c>
    </row>
    <row r="32" spans="8:17" x14ac:dyDescent="0.2">
      <c r="H32" s="507"/>
      <c r="I32" s="110"/>
      <c r="J32" t="s">
        <v>70</v>
      </c>
      <c r="K32">
        <v>1</v>
      </c>
      <c r="M32" s="509"/>
      <c r="N32" s="509"/>
      <c r="O32" s="157"/>
    </row>
    <row r="34" spans="8:17" x14ac:dyDescent="0.2">
      <c r="H34" s="507" t="s">
        <v>78</v>
      </c>
      <c r="I34" s="108"/>
      <c r="J34" t="s">
        <v>30</v>
      </c>
      <c r="K34">
        <v>0</v>
      </c>
      <c r="M34" s="507" t="str">
        <f>CHAR(65+N34)</f>
        <v>F</v>
      </c>
      <c r="N34" s="507">
        <v>5</v>
      </c>
      <c r="O34" s="112"/>
      <c r="P34" s="160" t="str">
        <f>VLOOKUP(N34,'imp-answers'!$A$2:$I$50,2,FALSE)</f>
        <v>No</v>
      </c>
      <c r="Q34" s="160">
        <f>VLOOKUP(N34,'imp-answers'!$A$2:$I$50,6,FALSE)</f>
        <v>0</v>
      </c>
    </row>
    <row r="35" spans="8:17" x14ac:dyDescent="0.2">
      <c r="H35" s="507"/>
      <c r="I35" s="107" t="s">
        <v>83</v>
      </c>
      <c r="J35" t="s">
        <v>80</v>
      </c>
      <c r="K35">
        <v>0.2</v>
      </c>
      <c r="M35" s="509"/>
      <c r="N35" s="509"/>
      <c r="O35" s="107"/>
      <c r="P35" s="160" t="str">
        <f>VLOOKUP(N34,'imp-answers'!$A$2:$I$50,3,FALSE)</f>
        <v>Yes, started to implement</v>
      </c>
      <c r="Q35" s="160">
        <f>VLOOKUP(N34,'imp-answers'!$A$2:$I$50,7,FALSE)</f>
        <v>0.25</v>
      </c>
    </row>
    <row r="36" spans="8:17" x14ac:dyDescent="0.2">
      <c r="H36" s="507"/>
      <c r="I36" s="109" t="s">
        <v>88</v>
      </c>
      <c r="J36" t="s">
        <v>82</v>
      </c>
      <c r="K36">
        <v>0.5</v>
      </c>
      <c r="M36" s="509"/>
      <c r="N36" s="509"/>
      <c r="O36" s="158"/>
      <c r="P36" s="160" t="str">
        <f>VLOOKUP(N34,'imp-answers'!$A$2:$I$50,4,FALSE)</f>
        <v>Yes, effective for some of the organization</v>
      </c>
      <c r="Q36" s="160">
        <f>VLOOKUP(N34,'imp-answers'!$A$2:$I$50,8,FALSE)</f>
        <v>0.5</v>
      </c>
    </row>
    <row r="37" spans="8:17" x14ac:dyDescent="0.2">
      <c r="H37" s="507"/>
      <c r="I37" s="110" t="s">
        <v>90</v>
      </c>
      <c r="J37" t="s">
        <v>81</v>
      </c>
      <c r="K37">
        <v>1</v>
      </c>
      <c r="M37" s="509"/>
      <c r="N37" s="509"/>
      <c r="O37" s="109"/>
      <c r="P37" s="160" t="str">
        <f>VLOOKUP(N34,'imp-answers'!$A$2:$I$50,5,FALSE)</f>
        <v>Yes, effective for most of the organization</v>
      </c>
      <c r="Q37" s="160">
        <f>VLOOKUP(N34,'imp-answers'!$A$2:$I$50,9,FALSE)</f>
        <v>1</v>
      </c>
    </row>
    <row r="38" spans="8:17" x14ac:dyDescent="0.2">
      <c r="M38" s="509"/>
      <c r="N38" s="509"/>
      <c r="O38" s="157"/>
    </row>
    <row r="39" spans="8:17" x14ac:dyDescent="0.2">
      <c r="H39" s="507" t="s">
        <v>79</v>
      </c>
      <c r="I39" s="108"/>
    </row>
    <row r="40" spans="8:17" x14ac:dyDescent="0.2">
      <c r="H40" s="507"/>
      <c r="I40" s="107"/>
      <c r="M40" s="507" t="str">
        <f>CHAR(65+N40)</f>
        <v>G</v>
      </c>
      <c r="N40" s="507">
        <v>6</v>
      </c>
      <c r="O40" s="112"/>
      <c r="P40" s="160" t="str">
        <f>VLOOKUP(N40,'imp-answers'!$A$2:$I$50,2,FALSE)</f>
        <v>No</v>
      </c>
      <c r="Q40" s="160">
        <f>VLOOKUP(N40,'imp-answers'!$A$2:$I$50,6,FALSE)</f>
        <v>0</v>
      </c>
    </row>
    <row r="41" spans="8:17" x14ac:dyDescent="0.2">
      <c r="H41" s="507"/>
      <c r="I41" s="109"/>
      <c r="M41" s="509"/>
      <c r="N41" s="509"/>
      <c r="O41" s="107"/>
      <c r="P41" s="160" t="str">
        <f>VLOOKUP(N40,'imp-answers'!$A$2:$I$50,3,FALSE)</f>
        <v>Yes, for some components</v>
      </c>
      <c r="Q41" s="160">
        <f>VLOOKUP(N40,'imp-answers'!$A$2:$I$50,7,FALSE)</f>
        <v>0.25</v>
      </c>
    </row>
    <row r="42" spans="8:17" x14ac:dyDescent="0.2">
      <c r="H42" s="507"/>
      <c r="I42" s="110"/>
      <c r="M42" s="509"/>
      <c r="N42" s="509"/>
      <c r="O42" s="158"/>
      <c r="P42" s="160" t="str">
        <f>VLOOKUP(N40,'imp-answers'!$A$2:$I$50,4,FALSE)</f>
        <v>Yes, for at least half of the components</v>
      </c>
      <c r="Q42" s="160">
        <f>VLOOKUP(N40,'imp-answers'!$A$2:$I$50,8,FALSE)</f>
        <v>0.5</v>
      </c>
    </row>
    <row r="43" spans="8:17" x14ac:dyDescent="0.2">
      <c r="M43" s="509"/>
      <c r="N43" s="509"/>
      <c r="O43" s="109"/>
      <c r="P43" s="160" t="str">
        <f>VLOOKUP(N40,'imp-answers'!$A$2:$I$50,5,FALSE)</f>
        <v>Yes, for most of the components</v>
      </c>
      <c r="Q43" s="160">
        <f>VLOOKUP(N40,'imp-answers'!$A$2:$I$50,9,FALSE)</f>
        <v>1</v>
      </c>
    </row>
    <row r="44" spans="8:17" x14ac:dyDescent="0.2">
      <c r="M44" s="509"/>
      <c r="N44" s="509"/>
      <c r="O44" s="157"/>
    </row>
    <row r="46" spans="8:17" x14ac:dyDescent="0.2">
      <c r="M46" s="507" t="str">
        <f>CHAR(65+N46)</f>
        <v>H</v>
      </c>
      <c r="N46" s="507">
        <v>7</v>
      </c>
      <c r="O46" s="112"/>
      <c r="P46" s="160" t="str">
        <f>VLOOKUP(N46,'imp-answers'!$A$2:$I$50,2,FALSE)</f>
        <v>No</v>
      </c>
      <c r="Q46" s="160">
        <f>VLOOKUP(N46,'imp-answers'!$A$2:$I$50,6,FALSE)</f>
        <v>0</v>
      </c>
    </row>
    <row r="47" spans="8:17" x14ac:dyDescent="0.2">
      <c r="M47" s="509"/>
      <c r="N47" s="509"/>
      <c r="O47" s="107"/>
      <c r="P47" s="160" t="str">
        <f>VLOOKUP(N46,'imp-answers'!$A$2:$I$50,3,FALSE)</f>
        <v>Yes, for some of the incidents</v>
      </c>
      <c r="Q47" s="160">
        <f>VLOOKUP(N46,'imp-answers'!$A$2:$I$50,7,FALSE)</f>
        <v>0.25</v>
      </c>
    </row>
    <row r="48" spans="8:17" x14ac:dyDescent="0.2">
      <c r="M48" s="509"/>
      <c r="N48" s="509"/>
      <c r="O48" s="158"/>
      <c r="P48" s="160" t="str">
        <f>VLOOKUP(N46,'imp-answers'!$A$2:$I$50,4,FALSE)</f>
        <v>Yes, for at least half of the incidents</v>
      </c>
      <c r="Q48" s="160">
        <f>VLOOKUP(N46,'imp-answers'!$A$2:$I$50,8,FALSE)</f>
        <v>0.5</v>
      </c>
    </row>
    <row r="49" spans="13:17" x14ac:dyDescent="0.2">
      <c r="M49" s="509"/>
      <c r="N49" s="509"/>
      <c r="O49" s="109"/>
      <c r="P49" s="160" t="str">
        <f>VLOOKUP(N46,'imp-answers'!$A$2:$I$50,5,FALSE)</f>
        <v>Yes, for most of the incidents</v>
      </c>
      <c r="Q49" s="160">
        <f>VLOOKUP(N46,'imp-answers'!$A$2:$I$50,9,FALSE)</f>
        <v>1</v>
      </c>
    </row>
    <row r="50" spans="13:17" x14ac:dyDescent="0.2">
      <c r="M50" s="509"/>
      <c r="N50" s="509"/>
      <c r="O50" s="157"/>
    </row>
    <row r="52" spans="13:17" x14ac:dyDescent="0.2">
      <c r="M52" s="507" t="str">
        <f>CHAR(65+N52)</f>
        <v>I</v>
      </c>
      <c r="N52" s="507">
        <v>8</v>
      </c>
      <c r="O52" s="112"/>
      <c r="P52" s="160" t="str">
        <f>VLOOKUP(N52,'imp-answers'!$A$2:$I$50,2,FALSE)</f>
        <v>No</v>
      </c>
      <c r="Q52" s="160">
        <f>VLOOKUP(N52,'imp-answers'!$A$2:$I$50,6,FALSE)</f>
        <v>0</v>
      </c>
    </row>
    <row r="53" spans="13:17" x14ac:dyDescent="0.2">
      <c r="M53" s="509"/>
      <c r="N53" s="509"/>
      <c r="O53" s="107"/>
      <c r="P53" s="160" t="str">
        <f>VLOOKUP(N52,'imp-answers'!$A$2:$I$50,3,FALSE)</f>
        <v>Yes, for some types of incidents</v>
      </c>
      <c r="Q53" s="160">
        <f>VLOOKUP(N52,'imp-answers'!$A$2:$I$50,7,FALSE)</f>
        <v>0.25</v>
      </c>
    </row>
    <row r="54" spans="13:17" x14ac:dyDescent="0.2">
      <c r="M54" s="509"/>
      <c r="N54" s="509"/>
      <c r="O54" s="158"/>
      <c r="P54" s="160" t="str">
        <f>VLOOKUP(N52,'imp-answers'!$A$2:$I$50,4,FALSE)</f>
        <v>Yes, for at least half of the types of incidents</v>
      </c>
      <c r="Q54" s="160">
        <f>VLOOKUP(N52,'imp-answers'!$A$2:$I$50,8,FALSE)</f>
        <v>0.5</v>
      </c>
    </row>
    <row r="55" spans="13:17" x14ac:dyDescent="0.2">
      <c r="M55" s="509"/>
      <c r="N55" s="509"/>
      <c r="O55" s="109"/>
      <c r="P55" s="160" t="str">
        <f>VLOOKUP(N52,'imp-answers'!$A$2:$I$50,5,FALSE)</f>
        <v>Yes, for most of the types of incidents</v>
      </c>
      <c r="Q55" s="160">
        <f>VLOOKUP(N52,'imp-answers'!$A$2:$I$50,9,FALSE)</f>
        <v>1</v>
      </c>
    </row>
    <row r="56" spans="13:17" x14ac:dyDescent="0.2">
      <c r="M56" s="509"/>
      <c r="N56" s="509"/>
      <c r="O56" s="157"/>
    </row>
    <row r="58" spans="13:17" x14ac:dyDescent="0.2">
      <c r="M58" s="507" t="str">
        <f>CHAR(65+N58)</f>
        <v>J</v>
      </c>
      <c r="N58" s="507">
        <v>9</v>
      </c>
      <c r="O58" s="112"/>
      <c r="P58" s="160" t="str">
        <f>VLOOKUP(N58,'imp-answers'!$A$2:$I$50,2,FALSE)</f>
        <v>No</v>
      </c>
      <c r="Q58" s="160">
        <f>VLOOKUP(N58,'imp-answers'!$A$2:$I$50,6,FALSE)</f>
        <v>0</v>
      </c>
    </row>
    <row r="59" spans="13:17" x14ac:dyDescent="0.2">
      <c r="M59" s="509"/>
      <c r="N59" s="509"/>
      <c r="O59" s="107"/>
      <c r="P59" s="160" t="str">
        <f>VLOOKUP(N58,'imp-answers'!$A$2:$I$50,3,FALSE)</f>
        <v>Yes, for some of our data</v>
      </c>
      <c r="Q59" s="160">
        <f>VLOOKUP(N58,'imp-answers'!$A$2:$I$50,7,FALSE)</f>
        <v>0.25</v>
      </c>
    </row>
    <row r="60" spans="13:17" x14ac:dyDescent="0.2">
      <c r="M60" s="509"/>
      <c r="N60" s="509"/>
      <c r="O60" s="158"/>
      <c r="P60" s="160" t="str">
        <f>VLOOKUP(N58,'imp-answers'!$A$2:$I$50,4,FALSE)</f>
        <v>Yes, for at least half of our data</v>
      </c>
      <c r="Q60" s="160">
        <f>VLOOKUP(N58,'imp-answers'!$A$2:$I$50,8,FALSE)</f>
        <v>0.5</v>
      </c>
    </row>
    <row r="61" spans="13:17" x14ac:dyDescent="0.2">
      <c r="M61" s="509"/>
      <c r="N61" s="509"/>
      <c r="O61" s="109"/>
      <c r="P61" s="160" t="str">
        <f>VLOOKUP(N58,'imp-answers'!$A$2:$I$50,5,FALSE)</f>
        <v>Yes, for most of our data</v>
      </c>
      <c r="Q61" s="160">
        <f>VLOOKUP(N58,'imp-answers'!$A$2:$I$50,9,FALSE)</f>
        <v>1</v>
      </c>
    </row>
    <row r="62" spans="13:17" x14ac:dyDescent="0.2">
      <c r="M62" s="509"/>
      <c r="N62" s="509"/>
      <c r="O62" s="157"/>
    </row>
    <row r="64" spans="13:17" x14ac:dyDescent="0.2">
      <c r="M64" s="507" t="str">
        <f>CHAR(65+N64)</f>
        <v>K</v>
      </c>
      <c r="N64" s="507">
        <v>10</v>
      </c>
      <c r="O64" s="112"/>
      <c r="P64" s="160" t="str">
        <f>VLOOKUP(N64,'imp-answers'!$A$2:$I$50,2,FALSE)</f>
        <v>No</v>
      </c>
      <c r="Q64" s="160">
        <f>VLOOKUP(N64,'imp-answers'!$A$2:$I$50,6,FALSE)</f>
        <v>0</v>
      </c>
    </row>
    <row r="65" spans="13:17" x14ac:dyDescent="0.2">
      <c r="M65" s="509"/>
      <c r="N65" s="509"/>
      <c r="O65" s="107"/>
      <c r="P65" s="160" t="str">
        <f>VLOOKUP(N64,'imp-answers'!$A$2:$I$50,3,FALSE)</f>
        <v>Yes, we do it when requested</v>
      </c>
      <c r="Q65" s="160">
        <f>VLOOKUP(N64,'imp-answers'!$A$2:$I$50,7,FALSE)</f>
        <v>0.25</v>
      </c>
    </row>
    <row r="66" spans="13:17" x14ac:dyDescent="0.2">
      <c r="M66" s="509"/>
      <c r="N66" s="509"/>
      <c r="O66" s="158"/>
      <c r="P66" s="160" t="str">
        <f>VLOOKUP(N64,'imp-answers'!$A$2:$I$50,4,FALSE)</f>
        <v>Yes, we do it every few years</v>
      </c>
      <c r="Q66" s="160">
        <f>VLOOKUP(N64,'imp-answers'!$A$2:$I$50,8,FALSE)</f>
        <v>0.5</v>
      </c>
    </row>
    <row r="67" spans="13:17" x14ac:dyDescent="0.2">
      <c r="M67" s="509"/>
      <c r="N67" s="509"/>
      <c r="O67" s="109"/>
      <c r="P67" s="160" t="str">
        <f>VLOOKUP(N64,'imp-answers'!$A$2:$I$50,5,FALSE)</f>
        <v>Yes, we do it at least annually</v>
      </c>
      <c r="Q67" s="160">
        <f>VLOOKUP(N64,'imp-answers'!$A$2:$I$50,9,FALSE)</f>
        <v>1</v>
      </c>
    </row>
    <row r="68" spans="13:17" x14ac:dyDescent="0.2">
      <c r="M68" s="509"/>
      <c r="N68" s="509"/>
      <c r="O68" s="157"/>
    </row>
    <row r="70" spans="13:17" x14ac:dyDescent="0.2">
      <c r="M70" s="507" t="str">
        <f>CHAR(65+N70)</f>
        <v>L</v>
      </c>
      <c r="N70" s="507">
        <v>11</v>
      </c>
      <c r="O70" s="112"/>
      <c r="P70" s="160" t="str">
        <f>VLOOKUP(N70,'imp-answers'!$A$2:$I$50,2,FALSE)</f>
        <v>No</v>
      </c>
      <c r="Q70" s="160">
        <f>VLOOKUP(N70,'imp-answers'!$A$2:$I$50,6,FALSE)</f>
        <v>0</v>
      </c>
    </row>
    <row r="71" spans="13:17" x14ac:dyDescent="0.2">
      <c r="M71" s="509"/>
      <c r="N71" s="509"/>
      <c r="O71" s="107"/>
      <c r="P71" s="160" t="str">
        <f>VLOOKUP(N70,'imp-answers'!$A$2:$I$50,3,FALSE)</f>
        <v>Yes, for some of the assets</v>
      </c>
      <c r="Q71" s="160">
        <f>VLOOKUP(N70,'imp-answers'!$A$2:$I$50,7,FALSE)</f>
        <v>0.25</v>
      </c>
    </row>
    <row r="72" spans="13:17" x14ac:dyDescent="0.2">
      <c r="M72" s="509"/>
      <c r="N72" s="509"/>
      <c r="O72" s="158"/>
      <c r="P72" s="160" t="str">
        <f>VLOOKUP(N70,'imp-answers'!$A$2:$I$50,4,FALSE)</f>
        <v>Yes, for at least half of the assets</v>
      </c>
      <c r="Q72" s="160">
        <f>VLOOKUP(N70,'imp-answers'!$A$2:$I$50,8,FALSE)</f>
        <v>0.5</v>
      </c>
    </row>
    <row r="73" spans="13:17" x14ac:dyDescent="0.2">
      <c r="M73" s="509"/>
      <c r="N73" s="509"/>
      <c r="O73" s="109"/>
      <c r="P73" s="160" t="str">
        <f>VLOOKUP(N70,'imp-answers'!$A$2:$I$50,5,FALSE)</f>
        <v>Yes, for most of the assets</v>
      </c>
      <c r="Q73" s="160">
        <f>VLOOKUP(N70,'imp-answers'!$A$2:$I$50,9,FALSE)</f>
        <v>1</v>
      </c>
    </row>
    <row r="74" spans="13:17" x14ac:dyDescent="0.2">
      <c r="M74" s="509"/>
      <c r="N74" s="509"/>
      <c r="O74" s="157"/>
    </row>
    <row r="76" spans="13:17" x14ac:dyDescent="0.2">
      <c r="M76" s="507" t="str">
        <f>CHAR(65+N76)</f>
        <v>M</v>
      </c>
      <c r="N76" s="507">
        <v>12</v>
      </c>
      <c r="O76" s="112"/>
      <c r="P76" s="160" t="str">
        <f>VLOOKUP(N76,'imp-answers'!$A$2:$I$50,2,FALSE)</f>
        <v>No</v>
      </c>
      <c r="Q76" s="160">
        <f>VLOOKUP(N76,'imp-answers'!$A$2:$I$50,6,FALSE)</f>
        <v>0</v>
      </c>
    </row>
    <row r="77" spans="13:17" x14ac:dyDescent="0.2">
      <c r="M77" s="509"/>
      <c r="N77" s="509"/>
      <c r="O77" s="107"/>
      <c r="P77" s="160" t="str">
        <f>VLOOKUP(N76,'imp-answers'!$A$2:$I$50,3,FALSE)</f>
        <v>Yes, for some of the technology domains</v>
      </c>
      <c r="Q77" s="160">
        <f>VLOOKUP(N76,'imp-answers'!$A$2:$I$50,7,FALSE)</f>
        <v>0.25</v>
      </c>
    </row>
    <row r="78" spans="13:17" x14ac:dyDescent="0.2">
      <c r="M78" s="509"/>
      <c r="N78" s="509"/>
      <c r="O78" s="158"/>
      <c r="P78" s="160" t="str">
        <f>VLOOKUP(N76,'imp-answers'!$A$2:$I$50,4,FALSE)</f>
        <v>Yes, for at least half of the technology domains</v>
      </c>
      <c r="Q78" s="160">
        <f>VLOOKUP(N76,'imp-answers'!$A$2:$I$50,8,FALSE)</f>
        <v>0.5</v>
      </c>
    </row>
    <row r="79" spans="13:17" x14ac:dyDescent="0.2">
      <c r="M79" s="509"/>
      <c r="N79" s="509"/>
      <c r="O79" s="109"/>
      <c r="P79" s="160" t="str">
        <f>VLOOKUP(N76,'imp-answers'!$A$2:$I$50,5,FALSE)</f>
        <v>Yes, for the majority of the technology domains</v>
      </c>
      <c r="Q79" s="160">
        <f>VLOOKUP(N76,'imp-answers'!$A$2:$I$50,9,FALSE)</f>
        <v>1</v>
      </c>
    </row>
    <row r="80" spans="13:17" x14ac:dyDescent="0.2">
      <c r="M80" s="509"/>
      <c r="N80" s="509"/>
      <c r="O80" s="157"/>
    </row>
    <row r="82" spans="13:17" x14ac:dyDescent="0.2">
      <c r="M82" s="507" t="str">
        <f>CHAR(65+N82)</f>
        <v>N</v>
      </c>
      <c r="N82" s="507">
        <v>13</v>
      </c>
      <c r="O82" s="112"/>
      <c r="P82" s="160" t="str">
        <f>VLOOKUP(N82,'imp-answers'!$A$2:$I$50,2,FALSE)</f>
        <v>No</v>
      </c>
      <c r="Q82" s="160">
        <f>VLOOKUP(N82,'imp-answers'!$A$2:$I$50,6,FALSE)</f>
        <v>0</v>
      </c>
    </row>
    <row r="83" spans="13:17" x14ac:dyDescent="0.2">
      <c r="M83" s="509"/>
      <c r="N83" s="509"/>
      <c r="O83" s="107"/>
      <c r="P83" s="160" t="str">
        <f>VLOOKUP(N82,'imp-answers'!$A$2:$I$50,3,FALSE)</f>
        <v>Yes, basic risks</v>
      </c>
      <c r="Q83" s="160">
        <f>VLOOKUP(N82,'imp-answers'!$A$2:$I$50,7,FALSE)</f>
        <v>0.25</v>
      </c>
    </row>
    <row r="84" spans="13:17" x14ac:dyDescent="0.2">
      <c r="M84" s="509"/>
      <c r="N84" s="509"/>
      <c r="O84" s="158"/>
      <c r="P84" s="160" t="str">
        <f>VLOOKUP(N82,'imp-answers'!$A$2:$I$50,4,FALSE)</f>
        <v>Yes, covers most significant risks</v>
      </c>
      <c r="Q84" s="160">
        <f>VLOOKUP(N82,'imp-answers'!$A$2:$I$50,8,FALSE)</f>
        <v>0.5</v>
      </c>
    </row>
    <row r="85" spans="13:17" x14ac:dyDescent="0.2">
      <c r="M85" s="509"/>
      <c r="N85" s="509"/>
      <c r="O85" s="109"/>
      <c r="P85" s="160" t="str">
        <f>VLOOKUP(N82,'imp-answers'!$A$2:$I$50,5,FALSE)</f>
        <v>Yes, covers risks and opportunities</v>
      </c>
      <c r="Q85" s="160">
        <f>VLOOKUP(N82,'imp-answers'!$A$2:$I$50,9,FALSE)</f>
        <v>1</v>
      </c>
    </row>
    <row r="86" spans="13:17" x14ac:dyDescent="0.2">
      <c r="M86" s="509"/>
      <c r="N86" s="509"/>
      <c r="O86" s="157"/>
    </row>
    <row r="88" spans="13:17" x14ac:dyDescent="0.2">
      <c r="M88" s="507" t="str">
        <f>CHAR(65+N88)</f>
        <v>O</v>
      </c>
      <c r="N88" s="507">
        <v>14</v>
      </c>
      <c r="O88" s="112"/>
      <c r="P88" s="160" t="str">
        <f>VLOOKUP(N88,'imp-answers'!$A$2:$I$50,2,FALSE)</f>
        <v>No</v>
      </c>
      <c r="Q88" s="160">
        <f>VLOOKUP(N88,'imp-answers'!$A$2:$I$50,6,FALSE)</f>
        <v>0</v>
      </c>
    </row>
    <row r="89" spans="13:17" x14ac:dyDescent="0.2">
      <c r="M89" s="509"/>
      <c r="N89" s="509"/>
      <c r="O89" s="107"/>
      <c r="P89" s="160" t="str">
        <f>VLOOKUP(N88,'imp-answers'!$A$2:$I$50,3,FALSE)</f>
        <v>Yes, we review it annually</v>
      </c>
      <c r="Q89" s="160">
        <f>VLOOKUP(N88,'imp-answers'!$A$2:$I$50,7,FALSE)</f>
        <v>0.25</v>
      </c>
    </row>
    <row r="90" spans="13:17" x14ac:dyDescent="0.2">
      <c r="M90" s="509"/>
      <c r="N90" s="509"/>
      <c r="O90" s="158"/>
      <c r="P90" s="160" t="str">
        <f>VLOOKUP(N88,'imp-answers'!$A$2:$I$50,4,FALSE)</f>
        <v>Yes, we consult the plan before making significant decisions</v>
      </c>
      <c r="Q90" s="160">
        <f>VLOOKUP(N88,'imp-answers'!$A$2:$I$50,8,FALSE)</f>
        <v>0.5</v>
      </c>
    </row>
    <row r="91" spans="13:17" x14ac:dyDescent="0.2">
      <c r="M91" s="509"/>
      <c r="N91" s="509"/>
      <c r="O91" s="109"/>
      <c r="P91" s="160" t="str">
        <f>VLOOKUP(N88,'imp-answers'!$A$2:$I$50,5,FALSE)</f>
        <v>Yes, we consult the plan often, and it's aligned with our application security strategy</v>
      </c>
      <c r="Q91" s="160">
        <f>VLOOKUP(N88,'imp-answers'!$A$2:$I$50,9,FALSE)</f>
        <v>1</v>
      </c>
    </row>
    <row r="92" spans="13:17" x14ac:dyDescent="0.2">
      <c r="M92" s="509"/>
      <c r="N92" s="509"/>
      <c r="O92" s="157"/>
    </row>
    <row r="94" spans="13:17" x14ac:dyDescent="0.2">
      <c r="M94" s="507" t="str">
        <f>CHAR(65+N94)</f>
        <v>P</v>
      </c>
      <c r="N94" s="507">
        <v>15</v>
      </c>
      <c r="O94" s="112"/>
      <c r="P94" s="160" t="str">
        <f>VLOOKUP(N94,'imp-answers'!$A$2:$I$50,2,FALSE)</f>
        <v>No</v>
      </c>
      <c r="Q94" s="160">
        <f>VLOOKUP(N94,'imp-answers'!$A$2:$I$50,6,FALSE)</f>
        <v>0</v>
      </c>
    </row>
    <row r="95" spans="13:17" x14ac:dyDescent="0.2">
      <c r="M95" s="509"/>
      <c r="N95" s="509"/>
      <c r="O95" s="107"/>
      <c r="P95" s="160" t="str">
        <f>VLOOKUP(N94,'imp-answers'!$A$2:$I$50,3,FALSE)</f>
        <v>Yes, but review is ad-hoc</v>
      </c>
      <c r="Q95" s="160">
        <f>VLOOKUP(N94,'imp-answers'!$A$2:$I$50,7,FALSE)</f>
        <v>0.25</v>
      </c>
    </row>
    <row r="96" spans="13:17" x14ac:dyDescent="0.2">
      <c r="M96" s="509"/>
      <c r="N96" s="509"/>
      <c r="O96" s="158"/>
      <c r="P96" s="160" t="str">
        <f>VLOOKUP(N94,'imp-answers'!$A$2:$I$50,4,FALSE)</f>
        <v>Yes, we review it every two years or so</v>
      </c>
      <c r="Q96" s="160">
        <f>VLOOKUP(N94,'imp-answers'!$A$2:$I$50,8,FALSE)</f>
        <v>0.5</v>
      </c>
    </row>
    <row r="97" spans="13:17" x14ac:dyDescent="0.2">
      <c r="M97" s="509"/>
      <c r="N97" s="509"/>
      <c r="O97" s="109"/>
      <c r="P97" s="160" t="str">
        <f>VLOOKUP(N94,'imp-answers'!$A$2:$I$50,5,FALSE)</f>
        <v>Yes, we review it at least annually</v>
      </c>
      <c r="Q97" s="160">
        <f>VLOOKUP(N94,'imp-answers'!$A$2:$I$50,9,FALSE)</f>
        <v>1</v>
      </c>
    </row>
    <row r="98" spans="13:17" x14ac:dyDescent="0.2">
      <c r="M98" s="509"/>
      <c r="N98" s="509"/>
      <c r="O98" s="157"/>
    </row>
    <row r="100" spans="13:17" x14ac:dyDescent="0.2">
      <c r="M100" s="507" t="str">
        <f>CHAR(65+N100)</f>
        <v>Q</v>
      </c>
      <c r="N100" s="507">
        <v>16</v>
      </c>
      <c r="O100" s="112"/>
      <c r="P100" s="160" t="str">
        <f>VLOOKUP(N100,'imp-answers'!$A$2:$I$50,2,FALSE)</f>
        <v>No</v>
      </c>
      <c r="Q100" s="160">
        <f>VLOOKUP(N100,'imp-answers'!$A$2:$I$50,6,FALSE)</f>
        <v>0</v>
      </c>
    </row>
    <row r="101" spans="13:17" x14ac:dyDescent="0.2">
      <c r="M101" s="509"/>
      <c r="N101" s="509"/>
      <c r="O101" s="107"/>
      <c r="P101" s="160" t="str">
        <f>VLOOKUP(N100,'imp-answers'!$A$2:$I$50,3,FALSE)</f>
        <v>Yes, for one metrics category</v>
      </c>
      <c r="Q101" s="160">
        <f>VLOOKUP(N100,'imp-answers'!$A$2:$I$50,7,FALSE)</f>
        <v>0.25</v>
      </c>
    </row>
    <row r="102" spans="13:17" x14ac:dyDescent="0.2">
      <c r="M102" s="509"/>
      <c r="N102" s="509"/>
      <c r="O102" s="158"/>
      <c r="P102" s="160" t="str">
        <f>VLOOKUP(N100,'imp-answers'!$A$2:$I$50,4,FALSE)</f>
        <v>Yes, for two metrics categories</v>
      </c>
      <c r="Q102" s="160">
        <f>VLOOKUP(N100,'imp-answers'!$A$2:$I$50,8,FALSE)</f>
        <v>0.5</v>
      </c>
    </row>
    <row r="103" spans="13:17" x14ac:dyDescent="0.2">
      <c r="M103" s="509"/>
      <c r="N103" s="509"/>
      <c r="O103" s="109"/>
      <c r="P103" s="160" t="str">
        <f>VLOOKUP(N100,'imp-answers'!$A$2:$I$50,5,FALSE)</f>
        <v>Yes, for all three metrics categories</v>
      </c>
      <c r="Q103" s="160">
        <f>VLOOKUP(N100,'imp-answers'!$A$2:$I$50,9,FALSE)</f>
        <v>1</v>
      </c>
    </row>
    <row r="104" spans="13:17" x14ac:dyDescent="0.2">
      <c r="M104" s="509"/>
      <c r="N104" s="509"/>
      <c r="O104" s="157"/>
    </row>
    <row r="106" spans="13:17" x14ac:dyDescent="0.2">
      <c r="M106" s="507" t="str">
        <f>CHAR(65+N106)</f>
        <v>R</v>
      </c>
      <c r="N106" s="507">
        <v>17</v>
      </c>
      <c r="O106" s="112"/>
      <c r="P106" s="160" t="str">
        <f>VLOOKUP(N106,'imp-answers'!$A$2:$I$50,2,FALSE)</f>
        <v>No</v>
      </c>
      <c r="Q106" s="160">
        <f>VLOOKUP(N106,'imp-answers'!$A$2:$I$50,6,FALSE)</f>
        <v>0</v>
      </c>
    </row>
    <row r="107" spans="13:17" x14ac:dyDescent="0.2">
      <c r="M107" s="509"/>
      <c r="N107" s="509"/>
      <c r="O107" s="107"/>
      <c r="P107" s="160" t="str">
        <f>VLOOKUP(N106,'imp-answers'!$A$2:$I$50,3,FALSE)</f>
        <v>Yes, sporadically</v>
      </c>
      <c r="Q107" s="160">
        <f>VLOOKUP(N106,'imp-answers'!$A$2:$I$50,7,FALSE)</f>
        <v>0.25</v>
      </c>
    </row>
    <row r="108" spans="13:17" x14ac:dyDescent="0.2">
      <c r="M108" s="509"/>
      <c r="N108" s="509"/>
      <c r="O108" s="158"/>
      <c r="P108" s="160" t="str">
        <f>VLOOKUP(N106,'imp-answers'!$A$2:$I$50,4,FALSE)</f>
        <v>Yes, upon change of the application</v>
      </c>
      <c r="Q108" s="160">
        <f>VLOOKUP(N106,'imp-answers'!$A$2:$I$50,8,FALSE)</f>
        <v>0.5</v>
      </c>
    </row>
    <row r="109" spans="13:17" x14ac:dyDescent="0.2">
      <c r="M109" s="509"/>
      <c r="N109" s="509"/>
      <c r="O109" s="109"/>
      <c r="P109" s="160" t="str">
        <f>VLOOKUP(N106,'imp-answers'!$A$2:$I$50,5,FALSE)</f>
        <v>Yes, at least yearly</v>
      </c>
      <c r="Q109" s="160">
        <f>VLOOKUP(N106,'imp-answers'!$A$2:$I$50,9,FALSE)</f>
        <v>1</v>
      </c>
    </row>
    <row r="110" spans="13:17" x14ac:dyDescent="0.2">
      <c r="M110" s="509"/>
      <c r="N110" s="509"/>
      <c r="O110" s="157"/>
    </row>
    <row r="112" spans="13:17" x14ac:dyDescent="0.2">
      <c r="M112" s="507" t="str">
        <f>CHAR(65+N112)</f>
        <v>S</v>
      </c>
      <c r="N112" s="507">
        <v>18</v>
      </c>
      <c r="O112" s="112"/>
      <c r="P112" s="160" t="str">
        <f>VLOOKUP(N112,'imp-answers'!$A$2:$I$50,2,FALSE)</f>
        <v>No</v>
      </c>
      <c r="Q112" s="160">
        <f>VLOOKUP(N112,'imp-answers'!$A$2:$I$50,6,FALSE)</f>
        <v>0</v>
      </c>
    </row>
    <row r="113" spans="13:17" x14ac:dyDescent="0.2">
      <c r="M113" s="509"/>
      <c r="N113" s="509"/>
      <c r="O113" s="107"/>
      <c r="P113" s="160" t="str">
        <f>VLOOKUP(N112,'imp-answers'!$A$2:$I$50,3,FALSE)</f>
        <v>Yes, for some of the policies and standards</v>
      </c>
      <c r="Q113" s="160">
        <f>VLOOKUP(N112,'imp-answers'!$A$2:$I$50,7,FALSE)</f>
        <v>0.25</v>
      </c>
    </row>
    <row r="114" spans="13:17" x14ac:dyDescent="0.2">
      <c r="M114" s="509"/>
      <c r="N114" s="509"/>
      <c r="O114" s="158"/>
      <c r="P114" s="160" t="str">
        <f>VLOOKUP(N112,'imp-answers'!$A$2:$I$50,4,FALSE)</f>
        <v>Yes, for at least half of the policies and standards</v>
      </c>
      <c r="Q114" s="160">
        <f>VLOOKUP(N112,'imp-answers'!$A$2:$I$50,8,FALSE)</f>
        <v>0.5</v>
      </c>
    </row>
    <row r="115" spans="13:17" x14ac:dyDescent="0.2">
      <c r="M115" s="509"/>
      <c r="N115" s="509"/>
      <c r="O115" s="109"/>
      <c r="P115" s="160" t="str">
        <f>VLOOKUP(N112,'imp-answers'!$A$2:$I$50,5,FALSE)</f>
        <v>Yes, for most of the policies and standards</v>
      </c>
      <c r="Q115" s="160">
        <f>VLOOKUP(N112,'imp-answers'!$A$2:$I$50,9,FALSE)</f>
        <v>1</v>
      </c>
    </row>
    <row r="116" spans="13:17" x14ac:dyDescent="0.2">
      <c r="M116" s="509"/>
      <c r="N116" s="509"/>
      <c r="O116" s="157"/>
    </row>
  </sheetData>
  <customSheetViews>
    <customSheetView guid="{9846C184-355C-EA4B-8C35-9561D1AEE31C}">
      <selection activeCell="J6" sqref="J6"/>
      <pageMargins left="0.7" right="0.7" top="0.75" bottom="0.75" header="0.3" footer="0.3"/>
    </customSheetView>
  </customSheetViews>
  <mergeCells count="48">
    <mergeCell ref="M112:M116"/>
    <mergeCell ref="N112:N116"/>
    <mergeCell ref="M82:M86"/>
    <mergeCell ref="M88:M92"/>
    <mergeCell ref="M94:M98"/>
    <mergeCell ref="M100:M104"/>
    <mergeCell ref="M106:M110"/>
    <mergeCell ref="N94:N98"/>
    <mergeCell ref="N100:N104"/>
    <mergeCell ref="N106:N110"/>
    <mergeCell ref="N82:N86"/>
    <mergeCell ref="N88:N92"/>
    <mergeCell ref="M4:M8"/>
    <mergeCell ref="M10:M14"/>
    <mergeCell ref="M16:M20"/>
    <mergeCell ref="M22:M26"/>
    <mergeCell ref="M28:M32"/>
    <mergeCell ref="M34:M38"/>
    <mergeCell ref="M40:M44"/>
    <mergeCell ref="M46:M50"/>
    <mergeCell ref="M52:M56"/>
    <mergeCell ref="M58:M62"/>
    <mergeCell ref="M64:M68"/>
    <mergeCell ref="M70:M74"/>
    <mergeCell ref="M76:M80"/>
    <mergeCell ref="N64:N68"/>
    <mergeCell ref="N70:N74"/>
    <mergeCell ref="N76:N80"/>
    <mergeCell ref="N34:N38"/>
    <mergeCell ref="N40:N44"/>
    <mergeCell ref="N46:N50"/>
    <mergeCell ref="N52:N56"/>
    <mergeCell ref="N58:N62"/>
    <mergeCell ref="N4:N8"/>
    <mergeCell ref="N10:N14"/>
    <mergeCell ref="N16:N20"/>
    <mergeCell ref="N22:N26"/>
    <mergeCell ref="N28:N32"/>
    <mergeCell ref="A1:K1"/>
    <mergeCell ref="H24:H27"/>
    <mergeCell ref="H29:H32"/>
    <mergeCell ref="H34:H37"/>
    <mergeCell ref="H39:H42"/>
    <mergeCell ref="C3:E3"/>
    <mergeCell ref="H4:H7"/>
    <mergeCell ref="H9:H12"/>
    <mergeCell ref="H14:H17"/>
    <mergeCell ref="H19:H22"/>
  </mergeCells>
  <pageMargins left="0.7" right="0.7" top="0.75" bottom="0.75" header="0.3" footer="0.3"/>
  <pageSetup paperSize="9"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H91"/>
  <sheetViews>
    <sheetView topLeftCell="A12" zoomScale="145" zoomScaleNormal="145" workbookViewId="0">
      <selection activeCell="E3" sqref="E3:G7"/>
    </sheetView>
  </sheetViews>
  <sheetFormatPr defaultColWidth="11.42578125" defaultRowHeight="12.75" x14ac:dyDescent="0.2"/>
  <cols>
    <col min="4" max="4" width="19.7109375" customWidth="1"/>
    <col min="6" max="6" width="90.7109375" customWidth="1"/>
    <col min="7" max="7" width="64.28515625" customWidth="1"/>
  </cols>
  <sheetData>
    <row r="1" spans="1:8" x14ac:dyDescent="0.2">
      <c r="A1" s="159" t="s">
        <v>183</v>
      </c>
      <c r="B1" s="159" t="s">
        <v>184</v>
      </c>
      <c r="C1" s="159" t="s">
        <v>42</v>
      </c>
      <c r="D1" s="159" t="s">
        <v>185</v>
      </c>
      <c r="E1" s="159" t="s">
        <v>91</v>
      </c>
      <c r="F1" s="159" t="s">
        <v>186</v>
      </c>
      <c r="G1" s="159" t="s">
        <v>187</v>
      </c>
      <c r="H1" s="159" t="s">
        <v>188</v>
      </c>
    </row>
    <row r="2" spans="1:8" ht="51" x14ac:dyDescent="0.2">
      <c r="A2" s="159" t="s">
        <v>264</v>
      </c>
      <c r="B2" s="159" t="s">
        <v>226</v>
      </c>
      <c r="C2" s="159" t="s">
        <v>265</v>
      </c>
      <c r="D2" s="159" t="s">
        <v>266</v>
      </c>
      <c r="E2" s="159">
        <v>1</v>
      </c>
      <c r="F2" s="159" t="s">
        <v>267</v>
      </c>
      <c r="G2" s="161" t="s">
        <v>268</v>
      </c>
      <c r="H2" s="159">
        <v>4</v>
      </c>
    </row>
    <row r="3" spans="1:8" ht="76.5" x14ac:dyDescent="0.2">
      <c r="A3" s="159" t="s">
        <v>269</v>
      </c>
      <c r="B3" s="159" t="s">
        <v>226</v>
      </c>
      <c r="C3" s="159" t="s">
        <v>265</v>
      </c>
      <c r="D3" s="159" t="s">
        <v>266</v>
      </c>
      <c r="E3" s="159">
        <v>2</v>
      </c>
      <c r="F3" s="159" t="s">
        <v>270</v>
      </c>
      <c r="G3" s="161" t="s">
        <v>271</v>
      </c>
      <c r="H3" s="159">
        <v>0</v>
      </c>
    </row>
    <row r="4" spans="1:8" ht="89.25" x14ac:dyDescent="0.2">
      <c r="A4" s="159" t="s">
        <v>272</v>
      </c>
      <c r="B4" s="159" t="s">
        <v>226</v>
      </c>
      <c r="C4" s="159" t="s">
        <v>265</v>
      </c>
      <c r="D4" s="159" t="s">
        <v>266</v>
      </c>
      <c r="E4" s="159">
        <v>3</v>
      </c>
      <c r="F4" s="159" t="s">
        <v>273</v>
      </c>
      <c r="G4" s="161" t="s">
        <v>274</v>
      </c>
      <c r="H4" s="159">
        <v>0</v>
      </c>
    </row>
    <row r="5" spans="1:8" ht="76.5" x14ac:dyDescent="0.2">
      <c r="A5" s="159" t="s">
        <v>275</v>
      </c>
      <c r="B5" s="159" t="s">
        <v>226</v>
      </c>
      <c r="C5" s="159" t="s">
        <v>265</v>
      </c>
      <c r="D5" s="159" t="s">
        <v>276</v>
      </c>
      <c r="E5" s="159">
        <v>1</v>
      </c>
      <c r="F5" s="159" t="s">
        <v>277</v>
      </c>
      <c r="G5" s="161" t="s">
        <v>278</v>
      </c>
      <c r="H5" s="159">
        <v>0</v>
      </c>
    </row>
    <row r="6" spans="1:8" ht="63.75" x14ac:dyDescent="0.2">
      <c r="A6" s="159" t="s">
        <v>279</v>
      </c>
      <c r="B6" s="159" t="s">
        <v>226</v>
      </c>
      <c r="C6" s="159" t="s">
        <v>265</v>
      </c>
      <c r="D6" s="159" t="s">
        <v>276</v>
      </c>
      <c r="E6" s="159">
        <v>2</v>
      </c>
      <c r="F6" s="159" t="s">
        <v>280</v>
      </c>
      <c r="G6" s="161" t="s">
        <v>281</v>
      </c>
      <c r="H6" s="159">
        <v>12</v>
      </c>
    </row>
    <row r="7" spans="1:8" ht="89.25" x14ac:dyDescent="0.2">
      <c r="A7" s="159" t="s">
        <v>282</v>
      </c>
      <c r="B7" s="159" t="s">
        <v>226</v>
      </c>
      <c r="C7" s="159" t="s">
        <v>265</v>
      </c>
      <c r="D7" s="159" t="s">
        <v>276</v>
      </c>
      <c r="E7" s="159">
        <v>3</v>
      </c>
      <c r="F7" s="159" t="s">
        <v>283</v>
      </c>
      <c r="G7" s="161" t="s">
        <v>284</v>
      </c>
      <c r="H7" s="159">
        <v>0</v>
      </c>
    </row>
    <row r="8" spans="1:8" ht="63.75" x14ac:dyDescent="0.2">
      <c r="A8" s="159" t="s">
        <v>245</v>
      </c>
      <c r="B8" s="159" t="s">
        <v>226</v>
      </c>
      <c r="C8" s="159" t="s">
        <v>25</v>
      </c>
      <c r="D8" s="159" t="s">
        <v>246</v>
      </c>
      <c r="E8" s="159">
        <v>1</v>
      </c>
      <c r="F8" s="159" t="s">
        <v>29</v>
      </c>
      <c r="G8" s="161" t="s">
        <v>247</v>
      </c>
      <c r="H8" s="159">
        <v>4</v>
      </c>
    </row>
    <row r="9" spans="1:8" ht="89.25" x14ac:dyDescent="0.2">
      <c r="A9" s="159" t="s">
        <v>248</v>
      </c>
      <c r="B9" s="159" t="s">
        <v>226</v>
      </c>
      <c r="C9" s="159" t="s">
        <v>25</v>
      </c>
      <c r="D9" s="159" t="s">
        <v>246</v>
      </c>
      <c r="E9" s="159">
        <v>2</v>
      </c>
      <c r="F9" s="159" t="s">
        <v>249</v>
      </c>
      <c r="G9" s="161" t="s">
        <v>250</v>
      </c>
      <c r="H9" s="159">
        <v>1</v>
      </c>
    </row>
    <row r="10" spans="1:8" ht="89.25" x14ac:dyDescent="0.2">
      <c r="A10" s="159" t="s">
        <v>251</v>
      </c>
      <c r="B10" s="159" t="s">
        <v>226</v>
      </c>
      <c r="C10" s="159" t="s">
        <v>25</v>
      </c>
      <c r="D10" s="159" t="s">
        <v>246</v>
      </c>
      <c r="E10" s="159">
        <v>3</v>
      </c>
      <c r="F10" s="159" t="s">
        <v>252</v>
      </c>
      <c r="G10" s="161" t="s">
        <v>253</v>
      </c>
      <c r="H10" s="159">
        <v>0</v>
      </c>
    </row>
    <row r="11" spans="1:8" ht="63.75" x14ac:dyDescent="0.2">
      <c r="A11" s="159" t="s">
        <v>254</v>
      </c>
      <c r="B11" s="159" t="s">
        <v>226</v>
      </c>
      <c r="C11" s="159" t="s">
        <v>25</v>
      </c>
      <c r="D11" s="159" t="s">
        <v>255</v>
      </c>
      <c r="E11" s="159">
        <v>1</v>
      </c>
      <c r="F11" s="159" t="s">
        <v>256</v>
      </c>
      <c r="G11" s="161" t="s">
        <v>257</v>
      </c>
      <c r="H11" s="159">
        <v>1</v>
      </c>
    </row>
    <row r="12" spans="1:8" ht="102" x14ac:dyDescent="0.2">
      <c r="A12" s="159" t="s">
        <v>258</v>
      </c>
      <c r="B12" s="159" t="s">
        <v>226</v>
      </c>
      <c r="C12" s="159" t="s">
        <v>25</v>
      </c>
      <c r="D12" s="159" t="s">
        <v>255</v>
      </c>
      <c r="E12" s="159">
        <v>2</v>
      </c>
      <c r="F12" s="159" t="s">
        <v>259</v>
      </c>
      <c r="G12" s="161" t="s">
        <v>260</v>
      </c>
      <c r="H12" s="159">
        <v>1</v>
      </c>
    </row>
    <row r="13" spans="1:8" ht="102" x14ac:dyDescent="0.2">
      <c r="A13" s="159" t="s">
        <v>261</v>
      </c>
      <c r="B13" s="159" t="s">
        <v>226</v>
      </c>
      <c r="C13" s="159" t="s">
        <v>25</v>
      </c>
      <c r="D13" s="159" t="s">
        <v>255</v>
      </c>
      <c r="E13" s="159">
        <v>3</v>
      </c>
      <c r="F13" s="159" t="s">
        <v>262</v>
      </c>
      <c r="G13" s="161" t="s">
        <v>263</v>
      </c>
      <c r="H13" s="159">
        <v>1</v>
      </c>
    </row>
    <row r="14" spans="1:8" ht="76.5" x14ac:dyDescent="0.2">
      <c r="A14" s="159" t="s">
        <v>225</v>
      </c>
      <c r="B14" s="159" t="s">
        <v>226</v>
      </c>
      <c r="C14" s="159" t="s">
        <v>24</v>
      </c>
      <c r="D14" s="159" t="s">
        <v>227</v>
      </c>
      <c r="E14" s="159">
        <v>1</v>
      </c>
      <c r="F14" s="159" t="s">
        <v>228</v>
      </c>
      <c r="G14" s="161" t="s">
        <v>229</v>
      </c>
      <c r="H14" s="159">
        <v>1</v>
      </c>
    </row>
    <row r="15" spans="1:8" ht="76.5" x14ac:dyDescent="0.2">
      <c r="A15" s="159" t="s">
        <v>230</v>
      </c>
      <c r="B15" s="159" t="s">
        <v>226</v>
      </c>
      <c r="C15" s="159" t="s">
        <v>24</v>
      </c>
      <c r="D15" s="159" t="s">
        <v>227</v>
      </c>
      <c r="E15" s="159">
        <v>2</v>
      </c>
      <c r="F15" s="159" t="s">
        <v>231</v>
      </c>
      <c r="G15" s="161" t="s">
        <v>232</v>
      </c>
      <c r="H15" s="159">
        <v>0</v>
      </c>
    </row>
    <row r="16" spans="1:8" ht="63.75" x14ac:dyDescent="0.2">
      <c r="A16" s="159" t="s">
        <v>233</v>
      </c>
      <c r="B16" s="159" t="s">
        <v>226</v>
      </c>
      <c r="C16" s="159" t="s">
        <v>24</v>
      </c>
      <c r="D16" s="159" t="s">
        <v>227</v>
      </c>
      <c r="E16" s="159">
        <v>3</v>
      </c>
      <c r="F16" s="159" t="s">
        <v>234</v>
      </c>
      <c r="G16" s="161" t="s">
        <v>235</v>
      </c>
      <c r="H16" s="159">
        <v>17</v>
      </c>
    </row>
    <row r="17" spans="1:8" ht="38.25" x14ac:dyDescent="0.2">
      <c r="A17" s="159" t="s">
        <v>236</v>
      </c>
      <c r="B17" s="159" t="s">
        <v>226</v>
      </c>
      <c r="C17" s="159" t="s">
        <v>24</v>
      </c>
      <c r="D17" s="159" t="s">
        <v>237</v>
      </c>
      <c r="E17" s="159">
        <v>1</v>
      </c>
      <c r="F17" s="159" t="s">
        <v>238</v>
      </c>
      <c r="G17" s="161" t="s">
        <v>239</v>
      </c>
      <c r="H17" s="159">
        <v>1</v>
      </c>
    </row>
    <row r="18" spans="1:8" ht="89.25" x14ac:dyDescent="0.2">
      <c r="A18" s="159" t="s">
        <v>240</v>
      </c>
      <c r="B18" s="159" t="s">
        <v>226</v>
      </c>
      <c r="C18" s="159" t="s">
        <v>24</v>
      </c>
      <c r="D18" s="159" t="s">
        <v>237</v>
      </c>
      <c r="E18" s="159">
        <v>2</v>
      </c>
      <c r="F18" s="159" t="s">
        <v>241</v>
      </c>
      <c r="G18" s="161" t="s">
        <v>242</v>
      </c>
      <c r="H18" s="159">
        <v>1</v>
      </c>
    </row>
    <row r="19" spans="1:8" ht="63.75" x14ac:dyDescent="0.2">
      <c r="A19" s="159" t="s">
        <v>243</v>
      </c>
      <c r="B19" s="159" t="s">
        <v>226</v>
      </c>
      <c r="C19" s="159" t="s">
        <v>24</v>
      </c>
      <c r="D19" s="159" t="s">
        <v>237</v>
      </c>
      <c r="E19" s="159">
        <v>3</v>
      </c>
      <c r="F19" s="159" t="s">
        <v>244</v>
      </c>
      <c r="G19" s="199" t="s">
        <v>497</v>
      </c>
      <c r="H19" s="159">
        <v>4</v>
      </c>
    </row>
    <row r="20" spans="1:8" ht="140.25" x14ac:dyDescent="0.2">
      <c r="A20" s="159" t="s">
        <v>208</v>
      </c>
      <c r="B20" s="159" t="s">
        <v>19</v>
      </c>
      <c r="C20" s="159" t="s">
        <v>23</v>
      </c>
      <c r="D20" s="159" t="s">
        <v>209</v>
      </c>
      <c r="E20" s="159">
        <v>1</v>
      </c>
      <c r="F20" s="159" t="s">
        <v>210</v>
      </c>
      <c r="G20" s="161" t="s">
        <v>211</v>
      </c>
      <c r="H20" s="159">
        <v>1</v>
      </c>
    </row>
    <row r="21" spans="1:8" ht="114.75" x14ac:dyDescent="0.2">
      <c r="A21" s="159" t="s">
        <v>212</v>
      </c>
      <c r="B21" s="159" t="s">
        <v>19</v>
      </c>
      <c r="C21" s="159" t="s">
        <v>23</v>
      </c>
      <c r="D21" s="159" t="s">
        <v>209</v>
      </c>
      <c r="E21" s="159">
        <v>2</v>
      </c>
      <c r="F21" s="159" t="s">
        <v>213</v>
      </c>
      <c r="G21" s="161" t="s">
        <v>214</v>
      </c>
      <c r="H21" s="159">
        <v>2</v>
      </c>
    </row>
    <row r="22" spans="1:8" ht="89.25" x14ac:dyDescent="0.2">
      <c r="A22" s="159" t="s">
        <v>215</v>
      </c>
      <c r="B22" s="159" t="s">
        <v>19</v>
      </c>
      <c r="C22" s="159" t="s">
        <v>23</v>
      </c>
      <c r="D22" s="159" t="s">
        <v>209</v>
      </c>
      <c r="E22" s="159">
        <v>3</v>
      </c>
      <c r="F22" s="159" t="s">
        <v>216</v>
      </c>
      <c r="G22" s="161" t="s">
        <v>498</v>
      </c>
      <c r="H22" s="159">
        <v>3</v>
      </c>
    </row>
    <row r="23" spans="1:8" ht="102" x14ac:dyDescent="0.2">
      <c r="A23" s="159" t="s">
        <v>217</v>
      </c>
      <c r="B23" s="159" t="s">
        <v>19</v>
      </c>
      <c r="C23" s="159" t="s">
        <v>23</v>
      </c>
      <c r="D23" s="159" t="s">
        <v>218</v>
      </c>
      <c r="E23" s="159">
        <v>1</v>
      </c>
      <c r="F23" s="159" t="s">
        <v>505</v>
      </c>
      <c r="G23" s="161" t="s">
        <v>219</v>
      </c>
      <c r="H23" s="159">
        <v>4</v>
      </c>
    </row>
    <row r="24" spans="1:8" ht="89.25" x14ac:dyDescent="0.2">
      <c r="A24" s="159" t="s">
        <v>220</v>
      </c>
      <c r="B24" s="159" t="s">
        <v>19</v>
      </c>
      <c r="C24" s="159" t="s">
        <v>23</v>
      </c>
      <c r="D24" s="159" t="s">
        <v>218</v>
      </c>
      <c r="E24" s="159">
        <v>2</v>
      </c>
      <c r="F24" s="159" t="s">
        <v>221</v>
      </c>
      <c r="G24" s="161" t="s">
        <v>499</v>
      </c>
      <c r="H24" s="159">
        <v>5</v>
      </c>
    </row>
    <row r="25" spans="1:8" ht="140.25" x14ac:dyDescent="0.2">
      <c r="A25" s="159" t="s">
        <v>222</v>
      </c>
      <c r="B25" s="159" t="s">
        <v>19</v>
      </c>
      <c r="C25" s="159" t="s">
        <v>23</v>
      </c>
      <c r="D25" s="159" t="s">
        <v>218</v>
      </c>
      <c r="E25" s="159">
        <v>3</v>
      </c>
      <c r="F25" s="159" t="s">
        <v>223</v>
      </c>
      <c r="G25" s="161" t="s">
        <v>224</v>
      </c>
      <c r="H25" s="159">
        <v>5</v>
      </c>
    </row>
    <row r="26" spans="1:8" ht="89.25" x14ac:dyDescent="0.2">
      <c r="A26" s="159" t="s">
        <v>189</v>
      </c>
      <c r="B26" s="159" t="s">
        <v>19</v>
      </c>
      <c r="C26" s="159" t="s">
        <v>20</v>
      </c>
      <c r="D26" s="159" t="s">
        <v>190</v>
      </c>
      <c r="E26" s="159">
        <v>1</v>
      </c>
      <c r="F26" s="159" t="s">
        <v>126</v>
      </c>
      <c r="G26" s="161" t="s">
        <v>191</v>
      </c>
      <c r="H26" s="159">
        <v>13</v>
      </c>
    </row>
    <row r="27" spans="1:8" ht="127.5" x14ac:dyDescent="0.2">
      <c r="A27" s="159" t="s">
        <v>198</v>
      </c>
      <c r="B27" s="159" t="s">
        <v>19</v>
      </c>
      <c r="C27" s="159" t="s">
        <v>20</v>
      </c>
      <c r="D27" s="159" t="s">
        <v>199</v>
      </c>
      <c r="E27" s="159">
        <v>1</v>
      </c>
      <c r="F27" s="159" t="s">
        <v>200</v>
      </c>
      <c r="G27" s="161" t="s">
        <v>201</v>
      </c>
      <c r="H27" s="159">
        <v>16</v>
      </c>
    </row>
    <row r="28" spans="1:8" ht="102" x14ac:dyDescent="0.2">
      <c r="A28" s="159" t="s">
        <v>192</v>
      </c>
      <c r="B28" s="159" t="s">
        <v>19</v>
      </c>
      <c r="C28" s="159" t="s">
        <v>20</v>
      </c>
      <c r="D28" s="159" t="s">
        <v>190</v>
      </c>
      <c r="E28" s="159">
        <v>2</v>
      </c>
      <c r="F28" s="159" t="s">
        <v>193</v>
      </c>
      <c r="G28" s="161" t="s">
        <v>194</v>
      </c>
      <c r="H28" s="159">
        <v>14</v>
      </c>
    </row>
    <row r="29" spans="1:8" ht="127.5" x14ac:dyDescent="0.2">
      <c r="A29" s="159" t="s">
        <v>202</v>
      </c>
      <c r="B29" s="159" t="s">
        <v>19</v>
      </c>
      <c r="C29" s="159" t="s">
        <v>20</v>
      </c>
      <c r="D29" s="159" t="s">
        <v>199</v>
      </c>
      <c r="E29" s="159">
        <v>2</v>
      </c>
      <c r="F29" s="159" t="s">
        <v>203</v>
      </c>
      <c r="G29" s="161" t="s">
        <v>204</v>
      </c>
      <c r="H29" s="159">
        <v>1</v>
      </c>
    </row>
    <row r="30" spans="1:8" ht="114.75" x14ac:dyDescent="0.2">
      <c r="A30" s="159" t="s">
        <v>195</v>
      </c>
      <c r="B30" s="159" t="s">
        <v>19</v>
      </c>
      <c r="C30" s="159" t="s">
        <v>20</v>
      </c>
      <c r="D30" s="159" t="s">
        <v>190</v>
      </c>
      <c r="E30" s="159">
        <v>3</v>
      </c>
      <c r="F30" s="159" t="s">
        <v>196</v>
      </c>
      <c r="G30" s="161" t="s">
        <v>197</v>
      </c>
      <c r="H30" s="159">
        <v>15</v>
      </c>
    </row>
    <row r="31" spans="1:8" ht="63.75" x14ac:dyDescent="0.2">
      <c r="A31" s="159" t="s">
        <v>205</v>
      </c>
      <c r="B31" s="159" t="s">
        <v>19</v>
      </c>
      <c r="C31" s="159" t="s">
        <v>20</v>
      </c>
      <c r="D31" s="159" t="s">
        <v>199</v>
      </c>
      <c r="E31" s="159">
        <v>3</v>
      </c>
      <c r="F31" s="159" t="s">
        <v>206</v>
      </c>
      <c r="G31" s="161" t="s">
        <v>207</v>
      </c>
      <c r="H31" s="159">
        <v>4</v>
      </c>
    </row>
    <row r="32" spans="1:8" ht="63.75" x14ac:dyDescent="0.2">
      <c r="A32" s="159" t="s">
        <v>328</v>
      </c>
      <c r="B32" s="159" t="s">
        <v>286</v>
      </c>
      <c r="C32" s="159" t="s">
        <v>329</v>
      </c>
      <c r="D32" s="159" t="s">
        <v>330</v>
      </c>
      <c r="E32" s="159">
        <v>1</v>
      </c>
      <c r="F32" s="159" t="s">
        <v>331</v>
      </c>
      <c r="G32" s="161" t="s">
        <v>332</v>
      </c>
      <c r="H32" s="159">
        <v>0</v>
      </c>
    </row>
    <row r="33" spans="1:8" ht="51" x14ac:dyDescent="0.2">
      <c r="A33" s="159" t="s">
        <v>333</v>
      </c>
      <c r="B33" s="159" t="s">
        <v>286</v>
      </c>
      <c r="C33" s="159" t="s">
        <v>329</v>
      </c>
      <c r="D33" s="159" t="s">
        <v>330</v>
      </c>
      <c r="E33" s="159">
        <v>2</v>
      </c>
      <c r="F33" s="159" t="s">
        <v>334</v>
      </c>
      <c r="G33" s="161" t="s">
        <v>335</v>
      </c>
      <c r="H33" s="159">
        <v>0</v>
      </c>
    </row>
    <row r="34" spans="1:8" ht="51" x14ac:dyDescent="0.2">
      <c r="A34" s="159" t="s">
        <v>336</v>
      </c>
      <c r="B34" s="159" t="s">
        <v>286</v>
      </c>
      <c r="C34" s="159" t="s">
        <v>329</v>
      </c>
      <c r="D34" s="159" t="s">
        <v>330</v>
      </c>
      <c r="E34" s="159">
        <v>3</v>
      </c>
      <c r="F34" s="159" t="s">
        <v>337</v>
      </c>
      <c r="G34" s="161" t="s">
        <v>338</v>
      </c>
      <c r="H34" s="159">
        <v>0</v>
      </c>
    </row>
    <row r="35" spans="1:8" ht="51" x14ac:dyDescent="0.2">
      <c r="A35" s="159" t="s">
        <v>339</v>
      </c>
      <c r="B35" s="159" t="s">
        <v>286</v>
      </c>
      <c r="C35" s="159" t="s">
        <v>329</v>
      </c>
      <c r="D35" s="159" t="s">
        <v>340</v>
      </c>
      <c r="E35" s="159">
        <v>1</v>
      </c>
      <c r="F35" s="159" t="s">
        <v>341</v>
      </c>
      <c r="G35" s="161" t="s">
        <v>342</v>
      </c>
      <c r="H35" s="159">
        <v>0</v>
      </c>
    </row>
    <row r="36" spans="1:8" ht="76.5" x14ac:dyDescent="0.2">
      <c r="A36" s="159" t="s">
        <v>343</v>
      </c>
      <c r="B36" s="159" t="s">
        <v>286</v>
      </c>
      <c r="C36" s="159" t="s">
        <v>329</v>
      </c>
      <c r="D36" s="159" t="s">
        <v>340</v>
      </c>
      <c r="E36" s="159">
        <v>2</v>
      </c>
      <c r="F36" s="159" t="s">
        <v>344</v>
      </c>
      <c r="G36" s="161" t="s">
        <v>345</v>
      </c>
      <c r="H36" s="159">
        <v>0</v>
      </c>
    </row>
    <row r="37" spans="1:8" ht="76.5" x14ac:dyDescent="0.2">
      <c r="A37" s="159" t="s">
        <v>346</v>
      </c>
      <c r="B37" s="159" t="s">
        <v>286</v>
      </c>
      <c r="C37" s="159" t="s">
        <v>329</v>
      </c>
      <c r="D37" s="159" t="s">
        <v>340</v>
      </c>
      <c r="E37" s="159">
        <v>3</v>
      </c>
      <c r="F37" s="159" t="s">
        <v>347</v>
      </c>
      <c r="G37" s="161" t="s">
        <v>348</v>
      </c>
      <c r="H37" s="159">
        <v>0</v>
      </c>
    </row>
    <row r="38" spans="1:8" ht="76.5" x14ac:dyDescent="0.2">
      <c r="A38" s="159" t="s">
        <v>285</v>
      </c>
      <c r="B38" s="159" t="s">
        <v>286</v>
      </c>
      <c r="C38" s="159" t="s">
        <v>287</v>
      </c>
      <c r="D38" s="159" t="s">
        <v>288</v>
      </c>
      <c r="E38" s="159">
        <v>1</v>
      </c>
      <c r="F38" s="159" t="s">
        <v>289</v>
      </c>
      <c r="G38" s="161" t="s">
        <v>290</v>
      </c>
      <c r="H38" s="159">
        <v>0</v>
      </c>
    </row>
    <row r="39" spans="1:8" ht="51" x14ac:dyDescent="0.2">
      <c r="A39" s="159" t="s">
        <v>291</v>
      </c>
      <c r="B39" s="159" t="s">
        <v>286</v>
      </c>
      <c r="C39" s="159" t="s">
        <v>287</v>
      </c>
      <c r="D39" s="159" t="s">
        <v>288</v>
      </c>
      <c r="E39" s="159">
        <v>2</v>
      </c>
      <c r="F39" s="159" t="s">
        <v>292</v>
      </c>
      <c r="G39" s="161" t="s">
        <v>293</v>
      </c>
      <c r="H39" s="159">
        <v>0</v>
      </c>
    </row>
    <row r="40" spans="1:8" ht="89.25" x14ac:dyDescent="0.2">
      <c r="A40" s="159" t="s">
        <v>294</v>
      </c>
      <c r="B40" s="159" t="s">
        <v>286</v>
      </c>
      <c r="C40" s="159" t="s">
        <v>287</v>
      </c>
      <c r="D40" s="159" t="s">
        <v>288</v>
      </c>
      <c r="E40" s="159">
        <v>3</v>
      </c>
      <c r="F40" s="159" t="s">
        <v>295</v>
      </c>
      <c r="G40" s="161" t="s">
        <v>296</v>
      </c>
      <c r="H40" s="159">
        <v>0</v>
      </c>
    </row>
    <row r="41" spans="1:8" ht="76.5" x14ac:dyDescent="0.2">
      <c r="A41" s="159" t="s">
        <v>297</v>
      </c>
      <c r="B41" s="159" t="s">
        <v>286</v>
      </c>
      <c r="C41" s="159" t="s">
        <v>287</v>
      </c>
      <c r="D41" s="159" t="s">
        <v>298</v>
      </c>
      <c r="E41" s="159">
        <v>1</v>
      </c>
      <c r="F41" s="159" t="s">
        <v>299</v>
      </c>
      <c r="G41" s="161" t="s">
        <v>300</v>
      </c>
      <c r="H41" s="159">
        <v>0</v>
      </c>
    </row>
    <row r="42" spans="1:8" ht="76.5" x14ac:dyDescent="0.2">
      <c r="A42" s="159" t="s">
        <v>301</v>
      </c>
      <c r="B42" s="159" t="s">
        <v>286</v>
      </c>
      <c r="C42" s="159" t="s">
        <v>287</v>
      </c>
      <c r="D42" s="159" t="s">
        <v>298</v>
      </c>
      <c r="E42" s="159">
        <v>2</v>
      </c>
      <c r="F42" s="159" t="s">
        <v>302</v>
      </c>
      <c r="G42" s="161" t="s">
        <v>303</v>
      </c>
      <c r="H42" s="159">
        <v>0</v>
      </c>
    </row>
    <row r="43" spans="1:8" ht="114.75" x14ac:dyDescent="0.2">
      <c r="A43" s="159" t="s">
        <v>304</v>
      </c>
      <c r="B43" s="159" t="s">
        <v>286</v>
      </c>
      <c r="C43" s="159" t="s">
        <v>287</v>
      </c>
      <c r="D43" s="159" t="s">
        <v>298</v>
      </c>
      <c r="E43" s="159">
        <v>3</v>
      </c>
      <c r="F43" s="159" t="s">
        <v>305</v>
      </c>
      <c r="G43" s="161" t="s">
        <v>306</v>
      </c>
      <c r="H43" s="159">
        <v>0</v>
      </c>
    </row>
    <row r="44" spans="1:8" ht="76.5" x14ac:dyDescent="0.2">
      <c r="A44" s="159" t="s">
        <v>307</v>
      </c>
      <c r="B44" s="159" t="s">
        <v>286</v>
      </c>
      <c r="C44" s="159" t="s">
        <v>308</v>
      </c>
      <c r="D44" s="159" t="s">
        <v>309</v>
      </c>
      <c r="E44" s="159">
        <v>1</v>
      </c>
      <c r="F44" s="159" t="s">
        <v>310</v>
      </c>
      <c r="G44" s="161" t="s">
        <v>311</v>
      </c>
      <c r="H44" s="159">
        <v>0</v>
      </c>
    </row>
    <row r="45" spans="1:8" ht="63.75" x14ac:dyDescent="0.2">
      <c r="A45" s="159" t="s">
        <v>312</v>
      </c>
      <c r="B45" s="159" t="s">
        <v>286</v>
      </c>
      <c r="C45" s="159" t="s">
        <v>308</v>
      </c>
      <c r="D45" s="159" t="s">
        <v>309</v>
      </c>
      <c r="E45" s="159">
        <v>2</v>
      </c>
      <c r="F45" s="159" t="s">
        <v>313</v>
      </c>
      <c r="G45" s="161" t="s">
        <v>314</v>
      </c>
      <c r="H45" s="159">
        <v>0</v>
      </c>
    </row>
    <row r="46" spans="1:8" ht="51" x14ac:dyDescent="0.2">
      <c r="A46" s="159" t="s">
        <v>315</v>
      </c>
      <c r="B46" s="159" t="s">
        <v>286</v>
      </c>
      <c r="C46" s="159" t="s">
        <v>308</v>
      </c>
      <c r="D46" s="159" t="s">
        <v>309</v>
      </c>
      <c r="E46" s="159">
        <v>3</v>
      </c>
      <c r="F46" s="159" t="s">
        <v>316</v>
      </c>
      <c r="G46" s="161" t="s">
        <v>317</v>
      </c>
      <c r="H46" s="159">
        <v>0</v>
      </c>
    </row>
    <row r="47" spans="1:8" ht="25.5" x14ac:dyDescent="0.2">
      <c r="A47" s="159" t="s">
        <v>318</v>
      </c>
      <c r="B47" s="159" t="s">
        <v>286</v>
      </c>
      <c r="C47" s="159" t="s">
        <v>308</v>
      </c>
      <c r="D47" s="159" t="s">
        <v>319</v>
      </c>
      <c r="E47" s="159">
        <v>1</v>
      </c>
      <c r="F47" s="159" t="s">
        <v>320</v>
      </c>
      <c r="G47" s="161" t="s">
        <v>321</v>
      </c>
      <c r="H47" s="159">
        <v>0</v>
      </c>
    </row>
    <row r="48" spans="1:8" ht="51" x14ac:dyDescent="0.2">
      <c r="A48" s="159" t="s">
        <v>322</v>
      </c>
      <c r="B48" s="159" t="s">
        <v>286</v>
      </c>
      <c r="C48" s="159" t="s">
        <v>308</v>
      </c>
      <c r="D48" s="159" t="s">
        <v>319</v>
      </c>
      <c r="E48" s="159">
        <v>2</v>
      </c>
      <c r="F48" s="159" t="s">
        <v>323</v>
      </c>
      <c r="G48" s="161" t="s">
        <v>324</v>
      </c>
      <c r="H48" s="159">
        <v>0</v>
      </c>
    </row>
    <row r="49" spans="1:8" ht="38.25" x14ac:dyDescent="0.2">
      <c r="A49" s="159" t="s">
        <v>325</v>
      </c>
      <c r="B49" s="159" t="s">
        <v>286</v>
      </c>
      <c r="C49" s="159" t="s">
        <v>308</v>
      </c>
      <c r="D49" s="159" t="s">
        <v>319</v>
      </c>
      <c r="E49" s="159">
        <v>3</v>
      </c>
      <c r="F49" s="159" t="s">
        <v>326</v>
      </c>
      <c r="G49" s="161" t="s">
        <v>327</v>
      </c>
      <c r="H49" s="159">
        <v>0</v>
      </c>
    </row>
    <row r="50" spans="1:8" ht="51" x14ac:dyDescent="0.2">
      <c r="A50" s="159" t="s">
        <v>431</v>
      </c>
      <c r="B50" s="159" t="s">
        <v>36</v>
      </c>
      <c r="C50" s="159" t="s">
        <v>432</v>
      </c>
      <c r="D50" s="159" t="s">
        <v>433</v>
      </c>
      <c r="E50" s="159">
        <v>1</v>
      </c>
      <c r="F50" s="159" t="s">
        <v>434</v>
      </c>
      <c r="G50" s="161" t="s">
        <v>435</v>
      </c>
      <c r="H50" s="159">
        <v>0</v>
      </c>
    </row>
    <row r="51" spans="1:8" ht="63.75" x14ac:dyDescent="0.2">
      <c r="A51" s="159" t="s">
        <v>436</v>
      </c>
      <c r="B51" s="159" t="s">
        <v>36</v>
      </c>
      <c r="C51" s="159" t="s">
        <v>432</v>
      </c>
      <c r="D51" s="159" t="s">
        <v>433</v>
      </c>
      <c r="E51" s="159">
        <v>2</v>
      </c>
      <c r="F51" s="159" t="s">
        <v>437</v>
      </c>
      <c r="G51" s="161" t="s">
        <v>438</v>
      </c>
      <c r="H51" s="159">
        <v>6</v>
      </c>
    </row>
    <row r="52" spans="1:8" ht="25.5" x14ac:dyDescent="0.2">
      <c r="A52" s="159" t="s">
        <v>439</v>
      </c>
      <c r="B52" s="159" t="s">
        <v>36</v>
      </c>
      <c r="C52" s="159" t="s">
        <v>432</v>
      </c>
      <c r="D52" s="159" t="s">
        <v>433</v>
      </c>
      <c r="E52" s="159">
        <v>3</v>
      </c>
      <c r="F52" s="159" t="s">
        <v>440</v>
      </c>
      <c r="G52" s="161" t="s">
        <v>441</v>
      </c>
      <c r="H52" s="159">
        <v>0</v>
      </c>
    </row>
    <row r="53" spans="1:8" ht="51" x14ac:dyDescent="0.2">
      <c r="A53" s="159" t="s">
        <v>442</v>
      </c>
      <c r="B53" s="159" t="s">
        <v>36</v>
      </c>
      <c r="C53" s="159" t="s">
        <v>432</v>
      </c>
      <c r="D53" s="159" t="s">
        <v>443</v>
      </c>
      <c r="E53" s="159">
        <v>1</v>
      </c>
      <c r="F53" s="159" t="s">
        <v>444</v>
      </c>
      <c r="G53" s="161" t="s">
        <v>445</v>
      </c>
      <c r="H53" s="159">
        <v>6</v>
      </c>
    </row>
    <row r="54" spans="1:8" ht="63.75" x14ac:dyDescent="0.2">
      <c r="A54" s="159" t="s">
        <v>446</v>
      </c>
      <c r="B54" s="159" t="s">
        <v>36</v>
      </c>
      <c r="C54" s="159" t="s">
        <v>432</v>
      </c>
      <c r="D54" s="159" t="s">
        <v>443</v>
      </c>
      <c r="E54" s="159">
        <v>2</v>
      </c>
      <c r="F54" s="159" t="s">
        <v>447</v>
      </c>
      <c r="G54" s="161" t="s">
        <v>448</v>
      </c>
      <c r="H54" s="159">
        <v>6</v>
      </c>
    </row>
    <row r="55" spans="1:8" ht="63.75" x14ac:dyDescent="0.2">
      <c r="A55" s="159" t="s">
        <v>449</v>
      </c>
      <c r="B55" s="159" t="s">
        <v>36</v>
      </c>
      <c r="C55" s="159" t="s">
        <v>432</v>
      </c>
      <c r="D55" s="159" t="s">
        <v>443</v>
      </c>
      <c r="E55" s="159">
        <v>3</v>
      </c>
      <c r="F55" s="159" t="s">
        <v>450</v>
      </c>
      <c r="G55" s="161" t="s">
        <v>451</v>
      </c>
      <c r="H55" s="159">
        <v>6</v>
      </c>
    </row>
    <row r="56" spans="1:8" ht="63.75" x14ac:dyDescent="0.2">
      <c r="A56" s="159" t="s">
        <v>410</v>
      </c>
      <c r="B56" s="159" t="s">
        <v>36</v>
      </c>
      <c r="C56" s="159" t="s">
        <v>411</v>
      </c>
      <c r="D56" s="159" t="s">
        <v>412</v>
      </c>
      <c r="E56" s="159">
        <v>1</v>
      </c>
      <c r="F56" s="159" t="s">
        <v>413</v>
      </c>
      <c r="G56" s="161" t="s">
        <v>414</v>
      </c>
      <c r="H56" s="159">
        <v>0</v>
      </c>
    </row>
    <row r="57" spans="1:8" ht="76.5" x14ac:dyDescent="0.2">
      <c r="A57" s="159" t="s">
        <v>415</v>
      </c>
      <c r="B57" s="159" t="s">
        <v>36</v>
      </c>
      <c r="C57" s="159" t="s">
        <v>411</v>
      </c>
      <c r="D57" s="159" t="s">
        <v>412</v>
      </c>
      <c r="E57" s="159">
        <v>2</v>
      </c>
      <c r="F57" s="159" t="s">
        <v>416</v>
      </c>
      <c r="G57" s="161" t="s">
        <v>417</v>
      </c>
      <c r="H57" s="159">
        <v>0</v>
      </c>
    </row>
    <row r="58" spans="1:8" ht="51" x14ac:dyDescent="0.2">
      <c r="A58" s="159" t="s">
        <v>418</v>
      </c>
      <c r="B58" s="159" t="s">
        <v>36</v>
      </c>
      <c r="C58" s="159" t="s">
        <v>411</v>
      </c>
      <c r="D58" s="159" t="s">
        <v>412</v>
      </c>
      <c r="E58" s="159">
        <v>3</v>
      </c>
      <c r="F58" s="159" t="s">
        <v>419</v>
      </c>
      <c r="G58" s="161" t="s">
        <v>420</v>
      </c>
      <c r="H58" s="159">
        <v>0</v>
      </c>
    </row>
    <row r="59" spans="1:8" ht="38.25" x14ac:dyDescent="0.2">
      <c r="A59" s="159" t="s">
        <v>421</v>
      </c>
      <c r="B59" s="159" t="s">
        <v>36</v>
      </c>
      <c r="C59" s="159" t="s">
        <v>411</v>
      </c>
      <c r="D59" s="159" t="s">
        <v>422</v>
      </c>
      <c r="E59" s="159">
        <v>1</v>
      </c>
      <c r="F59" s="159" t="s">
        <v>423</v>
      </c>
      <c r="G59" s="161" t="s">
        <v>424</v>
      </c>
      <c r="H59" s="159">
        <v>7</v>
      </c>
    </row>
    <row r="60" spans="1:8" ht="63.75" x14ac:dyDescent="0.2">
      <c r="A60" s="159" t="s">
        <v>425</v>
      </c>
      <c r="B60" s="159" t="s">
        <v>36</v>
      </c>
      <c r="C60" s="159" t="s">
        <v>411</v>
      </c>
      <c r="D60" s="159" t="s">
        <v>422</v>
      </c>
      <c r="E60" s="159">
        <v>2</v>
      </c>
      <c r="F60" s="159" t="s">
        <v>426</v>
      </c>
      <c r="G60" s="161" t="s">
        <v>427</v>
      </c>
      <c r="H60" s="159">
        <v>8</v>
      </c>
    </row>
    <row r="61" spans="1:8" ht="51" x14ac:dyDescent="0.2">
      <c r="A61" s="159" t="s">
        <v>428</v>
      </c>
      <c r="B61" s="159" t="s">
        <v>36</v>
      </c>
      <c r="C61" s="159" t="s">
        <v>411</v>
      </c>
      <c r="D61" s="159" t="s">
        <v>422</v>
      </c>
      <c r="E61" s="159">
        <v>3</v>
      </c>
      <c r="F61" s="159" t="s">
        <v>429</v>
      </c>
      <c r="G61" s="161" t="s">
        <v>430</v>
      </c>
      <c r="H61" s="159">
        <v>4</v>
      </c>
    </row>
    <row r="62" spans="1:8" ht="89.25" x14ac:dyDescent="0.2">
      <c r="A62" s="159" t="s">
        <v>452</v>
      </c>
      <c r="B62" s="159" t="s">
        <v>36</v>
      </c>
      <c r="C62" s="159" t="s">
        <v>453</v>
      </c>
      <c r="D62" s="159" t="s">
        <v>454</v>
      </c>
      <c r="E62" s="159">
        <v>1</v>
      </c>
      <c r="F62" s="159" t="s">
        <v>455</v>
      </c>
      <c r="G62" s="161" t="s">
        <v>456</v>
      </c>
      <c r="H62" s="159">
        <v>0</v>
      </c>
    </row>
    <row r="63" spans="1:8" ht="89.25" x14ac:dyDescent="0.2">
      <c r="A63" s="159" t="s">
        <v>457</v>
      </c>
      <c r="B63" s="159" t="s">
        <v>36</v>
      </c>
      <c r="C63" s="159" t="s">
        <v>453</v>
      </c>
      <c r="D63" s="159" t="s">
        <v>454</v>
      </c>
      <c r="E63" s="159">
        <v>2</v>
      </c>
      <c r="F63" s="159" t="s">
        <v>458</v>
      </c>
      <c r="G63" s="161" t="s">
        <v>459</v>
      </c>
      <c r="H63" s="159">
        <v>9</v>
      </c>
    </row>
    <row r="64" spans="1:8" ht="89.25" x14ac:dyDescent="0.2">
      <c r="A64" s="159" t="s">
        <v>460</v>
      </c>
      <c r="B64" s="159" t="s">
        <v>36</v>
      </c>
      <c r="C64" s="159" t="s">
        <v>453</v>
      </c>
      <c r="D64" s="159" t="s">
        <v>454</v>
      </c>
      <c r="E64" s="159">
        <v>3</v>
      </c>
      <c r="F64" s="159" t="s">
        <v>461</v>
      </c>
      <c r="G64" s="161" t="s">
        <v>462</v>
      </c>
      <c r="H64" s="159">
        <v>10</v>
      </c>
    </row>
    <row r="65" spans="1:8" ht="51" x14ac:dyDescent="0.2">
      <c r="A65" s="159" t="s">
        <v>463</v>
      </c>
      <c r="B65" s="159" t="s">
        <v>36</v>
      </c>
      <c r="C65" s="159" t="s">
        <v>453</v>
      </c>
      <c r="D65" s="159" t="s">
        <v>464</v>
      </c>
      <c r="E65" s="159">
        <v>1</v>
      </c>
      <c r="F65" s="159" t="s">
        <v>465</v>
      </c>
      <c r="G65" s="161" t="s">
        <v>466</v>
      </c>
      <c r="H65" s="159">
        <v>0</v>
      </c>
    </row>
    <row r="66" spans="1:8" ht="89.25" x14ac:dyDescent="0.2">
      <c r="A66" s="159" t="s">
        <v>467</v>
      </c>
      <c r="B66" s="159" t="s">
        <v>36</v>
      </c>
      <c r="C66" s="159" t="s">
        <v>453</v>
      </c>
      <c r="D66" s="159" t="s">
        <v>464</v>
      </c>
      <c r="E66" s="159">
        <v>2</v>
      </c>
      <c r="F66" s="159" t="s">
        <v>468</v>
      </c>
      <c r="G66" s="161" t="s">
        <v>469</v>
      </c>
      <c r="H66" s="159">
        <v>4</v>
      </c>
    </row>
    <row r="67" spans="1:8" ht="63.75" x14ac:dyDescent="0.2">
      <c r="A67" s="159" t="s">
        <v>470</v>
      </c>
      <c r="B67" s="159" t="s">
        <v>36</v>
      </c>
      <c r="C67" s="159" t="s">
        <v>453</v>
      </c>
      <c r="D67" s="159" t="s">
        <v>464</v>
      </c>
      <c r="E67" s="159">
        <v>3</v>
      </c>
      <c r="F67" s="159" t="s">
        <v>471</v>
      </c>
      <c r="G67" s="161" t="s">
        <v>472</v>
      </c>
      <c r="H67" s="159">
        <v>11</v>
      </c>
    </row>
    <row r="68" spans="1:8" ht="89.25" x14ac:dyDescent="0.2">
      <c r="A68" s="159" t="s">
        <v>349</v>
      </c>
      <c r="B68" s="159" t="s">
        <v>27</v>
      </c>
      <c r="C68" s="159" t="s">
        <v>350</v>
      </c>
      <c r="D68" s="159" t="s">
        <v>351</v>
      </c>
      <c r="E68" s="159">
        <v>1</v>
      </c>
      <c r="F68" s="159" t="s">
        <v>352</v>
      </c>
      <c r="G68" s="161" t="s">
        <v>353</v>
      </c>
      <c r="H68" s="159">
        <v>0</v>
      </c>
    </row>
    <row r="69" spans="1:8" ht="89.25" x14ac:dyDescent="0.2">
      <c r="A69" s="159" t="s">
        <v>354</v>
      </c>
      <c r="B69" s="159" t="s">
        <v>27</v>
      </c>
      <c r="C69" s="159" t="s">
        <v>350</v>
      </c>
      <c r="D69" s="159" t="s">
        <v>351</v>
      </c>
      <c r="E69" s="159">
        <v>2</v>
      </c>
      <c r="F69" s="159" t="s">
        <v>355</v>
      </c>
      <c r="G69" s="161" t="s">
        <v>500</v>
      </c>
      <c r="H69" s="159">
        <v>0</v>
      </c>
    </row>
    <row r="70" spans="1:8" ht="89.25" x14ac:dyDescent="0.2">
      <c r="A70" s="159" t="s">
        <v>356</v>
      </c>
      <c r="B70" s="159" t="s">
        <v>27</v>
      </c>
      <c r="C70" s="159" t="s">
        <v>350</v>
      </c>
      <c r="D70" s="159" t="s">
        <v>351</v>
      </c>
      <c r="E70" s="159">
        <v>3</v>
      </c>
      <c r="F70" s="159" t="s">
        <v>357</v>
      </c>
      <c r="G70" s="161" t="s">
        <v>358</v>
      </c>
      <c r="H70" s="159">
        <v>0</v>
      </c>
    </row>
    <row r="71" spans="1:8" ht="89.25" x14ac:dyDescent="0.2">
      <c r="A71" s="159" t="s">
        <v>359</v>
      </c>
      <c r="B71" s="159" t="s">
        <v>27</v>
      </c>
      <c r="C71" s="159" t="s">
        <v>350</v>
      </c>
      <c r="D71" s="159" t="s">
        <v>360</v>
      </c>
      <c r="E71" s="159">
        <v>1</v>
      </c>
      <c r="F71" s="159" t="s">
        <v>361</v>
      </c>
      <c r="G71" s="161" t="s">
        <v>362</v>
      </c>
      <c r="H71" s="159">
        <v>1</v>
      </c>
    </row>
    <row r="72" spans="1:8" ht="89.25" x14ac:dyDescent="0.2">
      <c r="A72" s="159" t="s">
        <v>363</v>
      </c>
      <c r="B72" s="159" t="s">
        <v>27</v>
      </c>
      <c r="C72" s="159" t="s">
        <v>350</v>
      </c>
      <c r="D72" s="159" t="s">
        <v>360</v>
      </c>
      <c r="E72" s="159">
        <v>2</v>
      </c>
      <c r="F72" s="159" t="s">
        <v>364</v>
      </c>
      <c r="G72" s="161" t="s">
        <v>365</v>
      </c>
      <c r="H72" s="159">
        <v>1</v>
      </c>
    </row>
    <row r="73" spans="1:8" ht="51" x14ac:dyDescent="0.2">
      <c r="A73" s="159" t="s">
        <v>366</v>
      </c>
      <c r="B73" s="159" t="s">
        <v>27</v>
      </c>
      <c r="C73" s="159" t="s">
        <v>350</v>
      </c>
      <c r="D73" s="159" t="s">
        <v>360</v>
      </c>
      <c r="E73" s="159">
        <v>3</v>
      </c>
      <c r="F73" s="159" t="s">
        <v>367</v>
      </c>
      <c r="G73" s="161" t="s">
        <v>368</v>
      </c>
      <c r="H73" s="159">
        <v>1</v>
      </c>
    </row>
    <row r="74" spans="1:8" ht="76.5" x14ac:dyDescent="0.2">
      <c r="A74" s="159" t="s">
        <v>369</v>
      </c>
      <c r="B74" s="159" t="s">
        <v>27</v>
      </c>
      <c r="C74" s="159" t="s">
        <v>370</v>
      </c>
      <c r="D74" s="159" t="s">
        <v>371</v>
      </c>
      <c r="E74" s="159">
        <v>1</v>
      </c>
      <c r="F74" s="159" t="s">
        <v>372</v>
      </c>
      <c r="G74" s="161" t="s">
        <v>373</v>
      </c>
      <c r="H74" s="159">
        <v>1</v>
      </c>
    </row>
    <row r="75" spans="1:8" ht="51" x14ac:dyDescent="0.2">
      <c r="A75" s="159" t="s">
        <v>374</v>
      </c>
      <c r="B75" s="159" t="s">
        <v>27</v>
      </c>
      <c r="C75" s="159" t="s">
        <v>370</v>
      </c>
      <c r="D75" s="159" t="s">
        <v>371</v>
      </c>
      <c r="E75" s="159">
        <v>2</v>
      </c>
      <c r="F75" s="159" t="s">
        <v>375</v>
      </c>
      <c r="G75" s="161" t="s">
        <v>376</v>
      </c>
      <c r="H75" s="159">
        <v>1</v>
      </c>
    </row>
    <row r="76" spans="1:8" ht="63.75" x14ac:dyDescent="0.2">
      <c r="A76" s="159" t="s">
        <v>377</v>
      </c>
      <c r="B76" s="159" t="s">
        <v>27</v>
      </c>
      <c r="C76" s="159" t="s">
        <v>370</v>
      </c>
      <c r="D76" s="159" t="s">
        <v>371</v>
      </c>
      <c r="E76" s="159">
        <v>3</v>
      </c>
      <c r="F76" s="159" t="s">
        <v>378</v>
      </c>
      <c r="G76" s="161" t="s">
        <v>379</v>
      </c>
      <c r="H76" s="159">
        <v>1</v>
      </c>
    </row>
    <row r="77" spans="1:8" ht="51" x14ac:dyDescent="0.2">
      <c r="A77" s="159" t="s">
        <v>380</v>
      </c>
      <c r="B77" s="159" t="s">
        <v>27</v>
      </c>
      <c r="C77" s="159" t="s">
        <v>370</v>
      </c>
      <c r="D77" s="159" t="s">
        <v>381</v>
      </c>
      <c r="E77" s="159">
        <v>1</v>
      </c>
      <c r="F77" s="159" t="s">
        <v>382</v>
      </c>
      <c r="G77" s="161" t="s">
        <v>383</v>
      </c>
      <c r="H77" s="159">
        <v>1</v>
      </c>
    </row>
    <row r="78" spans="1:8" ht="63.75" x14ac:dyDescent="0.2">
      <c r="A78" s="159" t="s">
        <v>384</v>
      </c>
      <c r="B78" s="159" t="s">
        <v>27</v>
      </c>
      <c r="C78" s="159" t="s">
        <v>370</v>
      </c>
      <c r="D78" s="159" t="s">
        <v>381</v>
      </c>
      <c r="E78" s="159">
        <v>2</v>
      </c>
      <c r="F78" s="159" t="s">
        <v>385</v>
      </c>
      <c r="G78" s="161" t="s">
        <v>386</v>
      </c>
      <c r="H78" s="159">
        <v>4</v>
      </c>
    </row>
    <row r="79" spans="1:8" ht="63.75" x14ac:dyDescent="0.2">
      <c r="A79" s="159" t="s">
        <v>387</v>
      </c>
      <c r="B79" s="159" t="s">
        <v>27</v>
      </c>
      <c r="C79" s="159" t="s">
        <v>370</v>
      </c>
      <c r="D79" s="159" t="s">
        <v>381</v>
      </c>
      <c r="E79" s="159">
        <v>3</v>
      </c>
      <c r="F79" s="159" t="s">
        <v>388</v>
      </c>
      <c r="G79" s="161" t="s">
        <v>389</v>
      </c>
      <c r="H79" s="159">
        <v>4</v>
      </c>
    </row>
    <row r="80" spans="1:8" ht="63.75" x14ac:dyDescent="0.2">
      <c r="A80" s="159" t="s">
        <v>390</v>
      </c>
      <c r="B80" s="159" t="s">
        <v>27</v>
      </c>
      <c r="C80" s="159" t="s">
        <v>28</v>
      </c>
      <c r="D80" s="159" t="s">
        <v>391</v>
      </c>
      <c r="E80" s="159">
        <v>1</v>
      </c>
      <c r="F80" s="159" t="s">
        <v>392</v>
      </c>
      <c r="G80" s="161" t="s">
        <v>393</v>
      </c>
      <c r="H80" s="159">
        <v>1</v>
      </c>
    </row>
    <row r="81" spans="1:8" ht="76.5" x14ac:dyDescent="0.2">
      <c r="A81" s="159" t="s">
        <v>394</v>
      </c>
      <c r="B81" s="159" t="s">
        <v>27</v>
      </c>
      <c r="C81" s="159" t="s">
        <v>28</v>
      </c>
      <c r="D81" s="159" t="s">
        <v>391</v>
      </c>
      <c r="E81" s="159">
        <v>2</v>
      </c>
      <c r="F81" s="159" t="s">
        <v>395</v>
      </c>
      <c r="G81" s="161" t="s">
        <v>396</v>
      </c>
      <c r="H81" s="159">
        <v>1</v>
      </c>
    </row>
    <row r="82" spans="1:8" ht="63.75" x14ac:dyDescent="0.2">
      <c r="A82" s="159" t="s">
        <v>397</v>
      </c>
      <c r="B82" s="159" t="s">
        <v>27</v>
      </c>
      <c r="C82" s="159" t="s">
        <v>28</v>
      </c>
      <c r="D82" s="159" t="s">
        <v>391</v>
      </c>
      <c r="E82" s="159">
        <v>3</v>
      </c>
      <c r="F82" s="159" t="s">
        <v>398</v>
      </c>
      <c r="G82" s="161" t="s">
        <v>399</v>
      </c>
      <c r="H82" s="159">
        <v>1</v>
      </c>
    </row>
    <row r="83" spans="1:8" ht="76.5" x14ac:dyDescent="0.2">
      <c r="A83" s="159" t="s">
        <v>400</v>
      </c>
      <c r="B83" s="159" t="s">
        <v>27</v>
      </c>
      <c r="C83" s="159" t="s">
        <v>28</v>
      </c>
      <c r="D83" s="159" t="s">
        <v>401</v>
      </c>
      <c r="E83" s="159">
        <v>1</v>
      </c>
      <c r="F83" s="159" t="s">
        <v>402</v>
      </c>
      <c r="G83" s="161" t="s">
        <v>403</v>
      </c>
      <c r="H83" s="159">
        <v>1</v>
      </c>
    </row>
    <row r="84" spans="1:8" ht="102" x14ac:dyDescent="0.2">
      <c r="A84" s="159" t="s">
        <v>404</v>
      </c>
      <c r="B84" s="159" t="s">
        <v>27</v>
      </c>
      <c r="C84" s="159" t="s">
        <v>28</v>
      </c>
      <c r="D84" s="159" t="s">
        <v>401</v>
      </c>
      <c r="E84" s="159">
        <v>2</v>
      </c>
      <c r="F84" s="159" t="s">
        <v>405</v>
      </c>
      <c r="G84" s="161" t="s">
        <v>406</v>
      </c>
      <c r="H84" s="159">
        <v>1</v>
      </c>
    </row>
    <row r="85" spans="1:8" ht="89.25" x14ac:dyDescent="0.2">
      <c r="A85" s="159" t="s">
        <v>407</v>
      </c>
      <c r="B85" s="159" t="s">
        <v>27</v>
      </c>
      <c r="C85" s="159" t="s">
        <v>28</v>
      </c>
      <c r="D85" s="159" t="s">
        <v>401</v>
      </c>
      <c r="E85" s="159">
        <v>3</v>
      </c>
      <c r="F85" s="159" t="s">
        <v>408</v>
      </c>
      <c r="G85" s="161" t="s">
        <v>409</v>
      </c>
      <c r="H85" s="159">
        <v>4</v>
      </c>
    </row>
    <row r="86" spans="1:8" ht="51" x14ac:dyDescent="0.2">
      <c r="A86" t="s">
        <v>491</v>
      </c>
      <c r="B86" t="s">
        <v>19</v>
      </c>
      <c r="C86" t="s">
        <v>22</v>
      </c>
      <c r="D86" t="s">
        <v>473</v>
      </c>
      <c r="E86">
        <v>1</v>
      </c>
      <c r="F86" t="s">
        <v>474</v>
      </c>
      <c r="G86" s="196" t="s">
        <v>475</v>
      </c>
      <c r="H86">
        <v>0</v>
      </c>
    </row>
    <row r="87" spans="1:8" ht="63.75" x14ac:dyDescent="0.2">
      <c r="A87" s="13" t="s">
        <v>492</v>
      </c>
      <c r="B87" s="13" t="s">
        <v>19</v>
      </c>
      <c r="C87" s="13" t="s">
        <v>22</v>
      </c>
      <c r="D87" s="13" t="s">
        <v>473</v>
      </c>
      <c r="E87">
        <v>2</v>
      </c>
      <c r="F87" s="13" t="s">
        <v>476</v>
      </c>
      <c r="G87" s="196" t="s">
        <v>477</v>
      </c>
      <c r="H87">
        <v>18</v>
      </c>
    </row>
    <row r="88" spans="1:8" ht="76.5" x14ac:dyDescent="0.2">
      <c r="A88" s="13" t="s">
        <v>493</v>
      </c>
      <c r="B88" s="13" t="s">
        <v>19</v>
      </c>
      <c r="C88" s="13" t="s">
        <v>22</v>
      </c>
      <c r="D88" s="13" t="s">
        <v>473</v>
      </c>
      <c r="E88">
        <v>3</v>
      </c>
      <c r="F88" s="13" t="s">
        <v>481</v>
      </c>
      <c r="G88" s="196" t="s">
        <v>482</v>
      </c>
      <c r="H88">
        <v>15</v>
      </c>
    </row>
    <row r="89" spans="1:8" ht="25.5" x14ac:dyDescent="0.2">
      <c r="A89" s="13" t="s">
        <v>494</v>
      </c>
      <c r="B89" s="13" t="s">
        <v>19</v>
      </c>
      <c r="C89" t="s">
        <v>22</v>
      </c>
      <c r="D89" s="13" t="s">
        <v>484</v>
      </c>
      <c r="E89">
        <v>1</v>
      </c>
      <c r="F89" s="13" t="s">
        <v>485</v>
      </c>
      <c r="G89" s="196" t="s">
        <v>486</v>
      </c>
      <c r="H89">
        <v>0</v>
      </c>
    </row>
    <row r="90" spans="1:8" ht="51" x14ac:dyDescent="0.2">
      <c r="A90" s="13" t="s">
        <v>495</v>
      </c>
      <c r="B90" s="13" t="s">
        <v>19</v>
      </c>
      <c r="C90" s="13" t="s">
        <v>22</v>
      </c>
      <c r="D90" s="13" t="s">
        <v>484</v>
      </c>
      <c r="E90">
        <v>2</v>
      </c>
      <c r="F90" s="13" t="s">
        <v>487</v>
      </c>
      <c r="G90" s="196" t="s">
        <v>488</v>
      </c>
      <c r="H90">
        <v>0</v>
      </c>
    </row>
    <row r="91" spans="1:8" ht="63.75" x14ac:dyDescent="0.2">
      <c r="A91" s="13" t="s">
        <v>496</v>
      </c>
      <c r="B91" s="13" t="s">
        <v>19</v>
      </c>
      <c r="C91" s="13" t="s">
        <v>22</v>
      </c>
      <c r="D91" s="13" t="s">
        <v>484</v>
      </c>
      <c r="E91">
        <v>3</v>
      </c>
      <c r="F91" s="13" t="s">
        <v>489</v>
      </c>
      <c r="G91" s="196" t="s">
        <v>490</v>
      </c>
      <c r="H91">
        <v>0</v>
      </c>
    </row>
  </sheetData>
  <autoFilter ref="A1:H91"/>
  <pageMargins left="0.7" right="0.7" top="0.75" bottom="0.75" header="0.3" footer="0.3"/>
  <pageSetup paperSize="9"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I20"/>
  <sheetViews>
    <sheetView workbookViewId="0">
      <selection activeCell="A8" sqref="A8"/>
    </sheetView>
  </sheetViews>
  <sheetFormatPr defaultColWidth="11.42578125" defaultRowHeight="12.75" x14ac:dyDescent="0.2"/>
  <cols>
    <col min="3" max="3" width="33.42578125" bestFit="1" customWidth="1"/>
    <col min="4" max="4" width="27.42578125" customWidth="1"/>
    <col min="5" max="5" width="29.7109375" customWidth="1"/>
  </cols>
  <sheetData>
    <row r="1" spans="1:9" x14ac:dyDescent="0.2">
      <c r="A1" s="159" t="s">
        <v>128</v>
      </c>
      <c r="B1" s="159" t="s">
        <v>72</v>
      </c>
      <c r="C1" s="159" t="s">
        <v>73</v>
      </c>
      <c r="D1" s="159" t="s">
        <v>74</v>
      </c>
      <c r="E1" s="159" t="s">
        <v>75</v>
      </c>
      <c r="F1" s="159" t="s">
        <v>129</v>
      </c>
      <c r="G1" s="159" t="s">
        <v>130</v>
      </c>
      <c r="H1" s="159" t="s">
        <v>131</v>
      </c>
      <c r="I1" s="159" t="s">
        <v>132</v>
      </c>
    </row>
    <row r="2" spans="1:9" x14ac:dyDescent="0.2">
      <c r="A2" s="159">
        <v>0</v>
      </c>
      <c r="B2" s="159" t="s">
        <v>30</v>
      </c>
      <c r="C2" s="159" t="s">
        <v>133</v>
      </c>
      <c r="D2" s="159" t="s">
        <v>134</v>
      </c>
      <c r="E2" s="159" t="s">
        <v>135</v>
      </c>
      <c r="F2" s="159">
        <v>0</v>
      </c>
      <c r="G2" s="159">
        <v>0.25</v>
      </c>
      <c r="H2" s="159">
        <v>0.5</v>
      </c>
      <c r="I2" s="159">
        <v>1</v>
      </c>
    </row>
    <row r="3" spans="1:9" x14ac:dyDescent="0.2">
      <c r="A3" s="159">
        <v>1</v>
      </c>
      <c r="B3" s="159" t="s">
        <v>30</v>
      </c>
      <c r="C3" s="159" t="s">
        <v>136</v>
      </c>
      <c r="D3" s="159" t="s">
        <v>137</v>
      </c>
      <c r="E3" s="159" t="s">
        <v>138</v>
      </c>
      <c r="F3" s="159">
        <v>0</v>
      </c>
      <c r="G3" s="159">
        <v>0.25</v>
      </c>
      <c r="H3" s="159">
        <v>0.5</v>
      </c>
      <c r="I3" s="159">
        <v>1</v>
      </c>
    </row>
    <row r="4" spans="1:9" x14ac:dyDescent="0.2">
      <c r="A4" s="159">
        <v>2</v>
      </c>
      <c r="B4" s="159" t="s">
        <v>30</v>
      </c>
      <c r="C4" s="159" t="s">
        <v>139</v>
      </c>
      <c r="D4" s="159" t="s">
        <v>140</v>
      </c>
      <c r="E4" s="159" t="s">
        <v>141</v>
      </c>
      <c r="F4" s="159">
        <v>0</v>
      </c>
      <c r="G4" s="159">
        <v>0.25</v>
      </c>
      <c r="H4" s="159">
        <v>0.5</v>
      </c>
      <c r="I4" s="159">
        <v>1</v>
      </c>
    </row>
    <row r="5" spans="1:9" x14ac:dyDescent="0.2">
      <c r="A5" s="159">
        <v>3</v>
      </c>
      <c r="B5" s="159" t="s">
        <v>30</v>
      </c>
      <c r="C5" s="159" t="s">
        <v>142</v>
      </c>
      <c r="D5" s="159" t="s">
        <v>143</v>
      </c>
      <c r="E5" s="159" t="s">
        <v>144</v>
      </c>
      <c r="F5" s="159">
        <v>0</v>
      </c>
      <c r="G5" s="159">
        <v>0.25</v>
      </c>
      <c r="H5" s="159">
        <v>0.5</v>
      </c>
      <c r="I5" s="159">
        <v>1</v>
      </c>
    </row>
    <row r="6" spans="1:9" x14ac:dyDescent="0.2">
      <c r="A6" s="159">
        <v>4</v>
      </c>
      <c r="B6" s="159" t="s">
        <v>30</v>
      </c>
      <c r="C6" s="159" t="s">
        <v>145</v>
      </c>
      <c r="D6" s="159" t="s">
        <v>127</v>
      </c>
      <c r="E6" s="159" t="s">
        <v>146</v>
      </c>
      <c r="F6" s="159">
        <v>0</v>
      </c>
      <c r="G6" s="159">
        <v>0.25</v>
      </c>
      <c r="H6" s="159">
        <v>0.5</v>
      </c>
      <c r="I6" s="159">
        <v>1</v>
      </c>
    </row>
    <row r="7" spans="1:9" x14ac:dyDescent="0.2">
      <c r="A7" s="159">
        <v>5</v>
      </c>
      <c r="B7" s="159" t="s">
        <v>30</v>
      </c>
      <c r="C7" s="159" t="s">
        <v>147</v>
      </c>
      <c r="D7" s="159" t="s">
        <v>148</v>
      </c>
      <c r="E7" s="159" t="s">
        <v>149</v>
      </c>
      <c r="F7" s="159">
        <v>0</v>
      </c>
      <c r="G7" s="159">
        <v>0.25</v>
      </c>
      <c r="H7" s="159">
        <v>0.5</v>
      </c>
      <c r="I7" s="159">
        <v>1</v>
      </c>
    </row>
    <row r="8" spans="1:9" x14ac:dyDescent="0.2">
      <c r="A8" s="159">
        <v>6</v>
      </c>
      <c r="B8" s="159" t="s">
        <v>30</v>
      </c>
      <c r="C8" s="159" t="s">
        <v>150</v>
      </c>
      <c r="D8" s="159" t="s">
        <v>151</v>
      </c>
      <c r="E8" s="159" t="s">
        <v>152</v>
      </c>
      <c r="F8" s="159">
        <v>0</v>
      </c>
      <c r="G8" s="159">
        <v>0.25</v>
      </c>
      <c r="H8" s="159">
        <v>0.5</v>
      </c>
      <c r="I8" s="159">
        <v>1</v>
      </c>
    </row>
    <row r="9" spans="1:9" x14ac:dyDescent="0.2">
      <c r="A9" s="159">
        <v>7</v>
      </c>
      <c r="B9" s="159" t="s">
        <v>30</v>
      </c>
      <c r="C9" s="159" t="s">
        <v>153</v>
      </c>
      <c r="D9" s="159" t="s">
        <v>154</v>
      </c>
      <c r="E9" s="159" t="s">
        <v>155</v>
      </c>
      <c r="F9" s="159">
        <v>0</v>
      </c>
      <c r="G9" s="159">
        <v>0.25</v>
      </c>
      <c r="H9" s="159">
        <v>0.5</v>
      </c>
      <c r="I9" s="159">
        <v>1</v>
      </c>
    </row>
    <row r="10" spans="1:9" x14ac:dyDescent="0.2">
      <c r="A10" s="159">
        <v>8</v>
      </c>
      <c r="B10" s="159" t="s">
        <v>30</v>
      </c>
      <c r="C10" s="159" t="s">
        <v>156</v>
      </c>
      <c r="D10" s="159" t="s">
        <v>157</v>
      </c>
      <c r="E10" s="159" t="s">
        <v>158</v>
      </c>
      <c r="F10" s="159">
        <v>0</v>
      </c>
      <c r="G10" s="159">
        <v>0.25</v>
      </c>
      <c r="H10" s="159">
        <v>0.5</v>
      </c>
      <c r="I10" s="159">
        <v>1</v>
      </c>
    </row>
    <row r="11" spans="1:9" x14ac:dyDescent="0.2">
      <c r="A11" s="159">
        <v>9</v>
      </c>
      <c r="B11" s="159" t="s">
        <v>30</v>
      </c>
      <c r="C11" s="159" t="s">
        <v>159</v>
      </c>
      <c r="D11" s="159" t="s">
        <v>160</v>
      </c>
      <c r="E11" s="159" t="s">
        <v>161</v>
      </c>
      <c r="F11" s="159">
        <v>0</v>
      </c>
      <c r="G11" s="159">
        <v>0.25</v>
      </c>
      <c r="H11" s="159">
        <v>0.5</v>
      </c>
      <c r="I11" s="159">
        <v>1</v>
      </c>
    </row>
    <row r="12" spans="1:9" x14ac:dyDescent="0.2">
      <c r="A12" s="159">
        <v>10</v>
      </c>
      <c r="B12" s="159" t="s">
        <v>30</v>
      </c>
      <c r="C12" s="159" t="s">
        <v>162</v>
      </c>
      <c r="D12" s="159" t="s">
        <v>65</v>
      </c>
      <c r="E12" s="159" t="s">
        <v>66</v>
      </c>
      <c r="F12" s="159">
        <v>0</v>
      </c>
      <c r="G12" s="159">
        <v>0.25</v>
      </c>
      <c r="H12" s="159">
        <v>0.5</v>
      </c>
      <c r="I12" s="159">
        <v>1</v>
      </c>
    </row>
    <row r="13" spans="1:9" x14ac:dyDescent="0.2">
      <c r="A13" s="159">
        <v>11</v>
      </c>
      <c r="B13" s="159" t="s">
        <v>30</v>
      </c>
      <c r="C13" s="159" t="s">
        <v>163</v>
      </c>
      <c r="D13" s="159" t="s">
        <v>164</v>
      </c>
      <c r="E13" s="159" t="s">
        <v>165</v>
      </c>
      <c r="F13" s="159">
        <v>0</v>
      </c>
      <c r="G13" s="159">
        <v>0.25</v>
      </c>
      <c r="H13" s="159">
        <v>0.5</v>
      </c>
      <c r="I13" s="159">
        <v>1</v>
      </c>
    </row>
    <row r="14" spans="1:9" x14ac:dyDescent="0.2">
      <c r="A14" s="159">
        <v>12</v>
      </c>
      <c r="B14" s="159" t="s">
        <v>30</v>
      </c>
      <c r="C14" s="159" t="s">
        <v>166</v>
      </c>
      <c r="D14" s="159" t="s">
        <v>167</v>
      </c>
      <c r="E14" s="159" t="s">
        <v>168</v>
      </c>
      <c r="F14" s="159">
        <v>0</v>
      </c>
      <c r="G14" s="159">
        <v>0.25</v>
      </c>
      <c r="H14" s="159">
        <v>0.5</v>
      </c>
      <c r="I14" s="159">
        <v>1</v>
      </c>
    </row>
    <row r="15" spans="1:9" x14ac:dyDescent="0.2">
      <c r="A15" s="159">
        <v>13</v>
      </c>
      <c r="B15" s="159" t="s">
        <v>30</v>
      </c>
      <c r="C15" s="159" t="s">
        <v>169</v>
      </c>
      <c r="D15" s="159" t="s">
        <v>170</v>
      </c>
      <c r="E15" s="159" t="s">
        <v>171</v>
      </c>
      <c r="F15" s="159">
        <v>0</v>
      </c>
      <c r="G15" s="159">
        <v>0.25</v>
      </c>
      <c r="H15" s="159">
        <v>0.5</v>
      </c>
      <c r="I15" s="159">
        <v>1</v>
      </c>
    </row>
    <row r="16" spans="1:9" x14ac:dyDescent="0.2">
      <c r="A16" s="159">
        <v>14</v>
      </c>
      <c r="B16" s="159" t="s">
        <v>30</v>
      </c>
      <c r="C16" s="159" t="s">
        <v>172</v>
      </c>
      <c r="D16" s="159" t="s">
        <v>173</v>
      </c>
      <c r="E16" s="159" t="s">
        <v>174</v>
      </c>
      <c r="F16" s="159">
        <v>0</v>
      </c>
      <c r="G16" s="159">
        <v>0.25</v>
      </c>
      <c r="H16" s="159">
        <v>0.5</v>
      </c>
      <c r="I16" s="159">
        <v>1</v>
      </c>
    </row>
    <row r="17" spans="1:9" x14ac:dyDescent="0.2">
      <c r="A17" s="159">
        <v>15</v>
      </c>
      <c r="B17" s="159" t="s">
        <v>30</v>
      </c>
      <c r="C17" s="160" t="s">
        <v>483</v>
      </c>
      <c r="D17" s="159" t="s">
        <v>175</v>
      </c>
      <c r="E17" s="159" t="s">
        <v>176</v>
      </c>
      <c r="F17" s="159">
        <v>0</v>
      </c>
      <c r="G17" s="159">
        <v>0.25</v>
      </c>
      <c r="H17" s="159">
        <v>0.5</v>
      </c>
      <c r="I17" s="159">
        <v>1</v>
      </c>
    </row>
    <row r="18" spans="1:9" x14ac:dyDescent="0.2">
      <c r="A18" s="159">
        <v>16</v>
      </c>
      <c r="B18" s="159" t="s">
        <v>30</v>
      </c>
      <c r="C18" s="159" t="s">
        <v>177</v>
      </c>
      <c r="D18" s="159" t="s">
        <v>178</v>
      </c>
      <c r="E18" s="159" t="s">
        <v>179</v>
      </c>
      <c r="F18" s="159">
        <v>0</v>
      </c>
      <c r="G18" s="159">
        <v>0.25</v>
      </c>
      <c r="H18" s="159">
        <v>0.5</v>
      </c>
      <c r="I18" s="159">
        <v>1</v>
      </c>
    </row>
    <row r="19" spans="1:9" x14ac:dyDescent="0.2">
      <c r="A19" s="159">
        <v>17</v>
      </c>
      <c r="B19" s="159" t="s">
        <v>30</v>
      </c>
      <c r="C19" s="159" t="s">
        <v>180</v>
      </c>
      <c r="D19" s="159" t="s">
        <v>181</v>
      </c>
      <c r="E19" s="159" t="s">
        <v>182</v>
      </c>
      <c r="F19" s="159">
        <v>0</v>
      </c>
      <c r="G19" s="159">
        <v>0.25</v>
      </c>
      <c r="H19" s="159">
        <v>0.5</v>
      </c>
      <c r="I19" s="159">
        <v>1</v>
      </c>
    </row>
    <row r="20" spans="1:9" x14ac:dyDescent="0.2">
      <c r="A20">
        <v>18</v>
      </c>
      <c r="B20" t="s">
        <v>30</v>
      </c>
      <c r="C20" t="s">
        <v>478</v>
      </c>
      <c r="D20" t="s">
        <v>479</v>
      </c>
      <c r="E20" t="s">
        <v>480</v>
      </c>
      <c r="F20" s="159">
        <v>0</v>
      </c>
      <c r="G20" s="159">
        <v>0.25</v>
      </c>
      <c r="H20" s="159">
        <v>0.5</v>
      </c>
      <c r="I20" s="159">
        <v>1</v>
      </c>
    </row>
  </sheetData>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
  <sheetViews>
    <sheetView workbookViewId="0"/>
  </sheetViews>
  <sheetFormatPr defaultColWidth="8.85546875" defaultRowHeight="12.75" x14ac:dyDescent="0.2"/>
  <cols>
    <col min="1" max="1" width="170.28515625" style="57" customWidth="1"/>
    <col min="2" max="16384" width="8.85546875" style="57"/>
  </cols>
  <sheetData>
    <row r="1" spans="1:1" ht="27.75" x14ac:dyDescent="0.2">
      <c r="A1" s="56" t="s">
        <v>53</v>
      </c>
    </row>
  </sheetData>
  <sheetProtection sheet="1" objects="1" scenarios="1"/>
  <customSheetViews>
    <customSheetView guid="{9846C184-355C-EA4B-8C35-9561D1AEE31C}">
      <pageMargins left="0.75" right="0.75" top="1" bottom="1" header="0.5" footer="0.5"/>
      <headerFooter alignWithMargins="0"/>
    </customSheetView>
  </customSheetViews>
  <pageMargins left="0.75" right="0.75" top="1" bottom="1" header="0.5" footer="0.5"/>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56</vt:i4>
      </vt:variant>
    </vt:vector>
  </HeadingPairs>
  <TitlesOfParts>
    <vt:vector size="65" baseType="lpstr">
      <vt:lpstr>Attribution and License</vt:lpstr>
      <vt:lpstr>Interview</vt:lpstr>
      <vt:lpstr>Scorecard</vt:lpstr>
      <vt:lpstr>Roadmap</vt:lpstr>
      <vt:lpstr>Roadmap Chart</vt:lpstr>
      <vt:lpstr>Lookups</vt:lpstr>
      <vt:lpstr>imp-questions</vt:lpstr>
      <vt:lpstr>imp-answers</vt:lpstr>
      <vt:lpstr>Background Images</vt:lpstr>
      <vt:lpstr>AndPTBL</vt:lpstr>
      <vt:lpstr>AnsA</vt:lpstr>
      <vt:lpstr>AnsATBL</vt:lpstr>
      <vt:lpstr>AnsB</vt:lpstr>
      <vt:lpstr>AnsBTBL</vt:lpstr>
      <vt:lpstr>AnsC</vt:lpstr>
      <vt:lpstr>AnsCTBL</vt:lpstr>
      <vt:lpstr>AnsD</vt:lpstr>
      <vt:lpstr>AnsDTBL</vt:lpstr>
      <vt:lpstr>AnsE</vt:lpstr>
      <vt:lpstr>AnsETBL</vt:lpstr>
      <vt:lpstr>AnsF</vt:lpstr>
      <vt:lpstr>AnsFTBL</vt:lpstr>
      <vt:lpstr>AnsG</vt:lpstr>
      <vt:lpstr>AnsGTBL</vt:lpstr>
      <vt:lpstr>AnsH</vt:lpstr>
      <vt:lpstr>AnsHTBL</vt:lpstr>
      <vt:lpstr>AnsI</vt:lpstr>
      <vt:lpstr>AnsITBL</vt:lpstr>
      <vt:lpstr>AnsJ</vt:lpstr>
      <vt:lpstr>AnsJTBL</vt:lpstr>
      <vt:lpstr>AnsK</vt:lpstr>
      <vt:lpstr>AnsKTBL</vt:lpstr>
      <vt:lpstr>AnsL</vt:lpstr>
      <vt:lpstr>AnsLTBL</vt:lpstr>
      <vt:lpstr>AnsM</vt:lpstr>
      <vt:lpstr>AnsMTBL</vt:lpstr>
      <vt:lpstr>AnsN</vt:lpstr>
      <vt:lpstr>AnsNTBL</vt:lpstr>
      <vt:lpstr>AnsO</vt:lpstr>
      <vt:lpstr>AnsOTBL</vt:lpstr>
      <vt:lpstr>AnsP</vt:lpstr>
      <vt:lpstr>AnsPTBL</vt:lpstr>
      <vt:lpstr>AnsQ</vt:lpstr>
      <vt:lpstr>AnsQTBL</vt:lpstr>
      <vt:lpstr>AnsR</vt:lpstr>
      <vt:lpstr>AnsRTBL</vt:lpstr>
      <vt:lpstr>AnsS</vt:lpstr>
      <vt:lpstr>AnsSTBL</vt:lpstr>
      <vt:lpstr>AnswerA</vt:lpstr>
      <vt:lpstr>AnswerATBL</vt:lpstr>
      <vt:lpstr>AnswerB</vt:lpstr>
      <vt:lpstr>AnswerBTBL</vt:lpstr>
      <vt:lpstr>AnswerC</vt:lpstr>
      <vt:lpstr>AnswerCTBL</vt:lpstr>
      <vt:lpstr>AnswerD</vt:lpstr>
      <vt:lpstr>AnswerDTBL</vt:lpstr>
      <vt:lpstr>AnswerE</vt:lpstr>
      <vt:lpstr>AnswerETBL</vt:lpstr>
      <vt:lpstr>AnswerF</vt:lpstr>
      <vt:lpstr>AnswerFTBL</vt:lpstr>
      <vt:lpstr>AnswerG</vt:lpstr>
      <vt:lpstr>AnswerGTBL</vt:lpstr>
      <vt:lpstr>AnswerH</vt:lpstr>
      <vt:lpstr>AnswerHTBL</vt:lpstr>
      <vt:lpstr>'Roadmap Chart'!Print_Area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 Glas and Sebastien Deleersnyder</dc:creator>
  <cp:keywords/>
  <dc:description/>
  <cp:lastModifiedBy>Soisenniemi Turo</cp:lastModifiedBy>
  <dcterms:created xsi:type="dcterms:W3CDTF">2009-06-08T07:01:59Z</dcterms:created>
  <dcterms:modified xsi:type="dcterms:W3CDTF">2019-10-23T10:06:49Z</dcterms:modified>
  <cp:category/>
</cp:coreProperties>
</file>