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804" windowWidth="16608" windowHeight="9132" firstSheet="5" activeTab="6"/>
  </bookViews>
  <sheets>
    <sheet name="Profit &amp; Loss" sheetId="1" state="hidden" r:id="rId1"/>
    <sheet name="Quarters" sheetId="3" state="hidden" r:id="rId2"/>
    <sheet name="Balance Sheet" sheetId="2" state="hidden" r:id="rId3"/>
    <sheet name="Cash Flow" sheetId="4" state="hidden" r:id="rId4"/>
    <sheet name="Customization" sheetId="5" state="hidden" r:id="rId5"/>
    <sheet name="Financials&gt;" sheetId="7" r:id="rId6"/>
    <sheet name="Historical FS" sheetId="8" r:id="rId7"/>
    <sheet name="Ratio analysis" sheetId="11" r:id="rId8"/>
    <sheet name="Forecasting" sheetId="12" r:id="rId9"/>
    <sheet name="Common size Statement" sheetId="19" r:id="rId10"/>
    <sheet name="Beta Regression" sheetId="18" r:id="rId11"/>
    <sheet name="WACC" sheetId="15" r:id="rId12"/>
    <sheet name="Data&gt;" sheetId="9" r:id="rId13"/>
    <sheet name="Rm" sheetId="17" r:id="rId14"/>
    <sheet name="Wacc data" sheetId="16" r:id="rId15"/>
    <sheet name="Data Sheet" sheetId="6" r:id="rId16"/>
    <sheet name="Cashflow data" sheetId="10" r:id="rId17"/>
    <sheet name="Raw FS" sheetId="13" r:id="rId18"/>
    <sheet name="RP data" sheetId="20" r:id="rId19"/>
    <sheet name="Relative pricing" sheetId="21" r:id="rId20"/>
    <sheet name="Intrinsic Growth" sheetId="14" r:id="rId21"/>
    <sheet name="DCF" sheetId="22" r:id="rId22"/>
    <sheet name="Football Analysis" sheetId="23" r:id="rId23"/>
  </sheets>
  <definedNames>
    <definedName name="UPDATE">'Data Sheet'!$E$1</definedName>
  </definedNames>
  <calcPr calcId="144525"/>
</workbook>
</file>

<file path=xl/calcChain.xml><?xml version="1.0" encoding="utf-8"?>
<calcChain xmlns="http://schemas.openxmlformats.org/spreadsheetml/2006/main">
  <c r="F28" i="22" l="1"/>
  <c r="F29" i="22"/>
  <c r="F43" i="22" l="1"/>
  <c r="F41" i="22"/>
  <c r="F40" i="22"/>
  <c r="K16" i="22"/>
  <c r="J16" i="22"/>
  <c r="I16" i="22"/>
  <c r="H16" i="22"/>
  <c r="G16" i="22"/>
  <c r="F22" i="22"/>
  <c r="F6" i="22"/>
  <c r="F10" i="22" s="1"/>
  <c r="F4" i="22"/>
  <c r="G4" i="22" s="1"/>
  <c r="H4" i="22" s="1"/>
  <c r="I4" i="22" s="1"/>
  <c r="J4" i="22" s="1"/>
  <c r="K4" i="22" s="1"/>
  <c r="M11" i="21" l="1"/>
  <c r="M12" i="21"/>
  <c r="M13" i="21"/>
  <c r="M14" i="21"/>
  <c r="M15" i="21"/>
  <c r="M10" i="21"/>
  <c r="M9" i="21"/>
  <c r="M8" i="21"/>
  <c r="M7" i="21"/>
  <c r="L11" i="21"/>
  <c r="L12" i="21"/>
  <c r="L13" i="21"/>
  <c r="L14" i="21"/>
  <c r="L15" i="21"/>
  <c r="L10" i="21"/>
  <c r="L9" i="21"/>
  <c r="L8" i="21"/>
  <c r="L7" i="21"/>
  <c r="K11" i="21"/>
  <c r="K12" i="21"/>
  <c r="K13" i="21"/>
  <c r="K14" i="21"/>
  <c r="K15" i="21"/>
  <c r="K10" i="21"/>
  <c r="K9" i="21"/>
  <c r="K8" i="21"/>
  <c r="K7" i="21"/>
  <c r="G12" i="21"/>
  <c r="G13" i="21"/>
  <c r="G14" i="21"/>
  <c r="G15" i="21"/>
  <c r="G11" i="21"/>
  <c r="G10" i="21"/>
  <c r="G9" i="21"/>
  <c r="G8" i="21"/>
  <c r="G7" i="21"/>
  <c r="Q28" i="21" s="1"/>
  <c r="E11" i="21"/>
  <c r="E12" i="21"/>
  <c r="E13" i="21"/>
  <c r="E14" i="21"/>
  <c r="E15" i="21"/>
  <c r="E10" i="21"/>
  <c r="E9" i="21"/>
  <c r="E8" i="21"/>
  <c r="F8" i="21" s="1"/>
  <c r="E7" i="21"/>
  <c r="D11" i="21"/>
  <c r="D12" i="21"/>
  <c r="D13" i="21"/>
  <c r="D14" i="21"/>
  <c r="D15" i="21"/>
  <c r="D10" i="21"/>
  <c r="D9" i="21"/>
  <c r="D8" i="21"/>
  <c r="D7" i="21"/>
  <c r="F15" i="21"/>
  <c r="F11" i="21"/>
  <c r="F10" i="21"/>
  <c r="Q30" i="21"/>
  <c r="J5" i="20"/>
  <c r="J6" i="20"/>
  <c r="J7" i="20"/>
  <c r="J8" i="20"/>
  <c r="J9" i="20"/>
  <c r="J10" i="20"/>
  <c r="J11" i="20"/>
  <c r="J12" i="20"/>
  <c r="J4" i="20"/>
  <c r="I12" i="20"/>
  <c r="I11" i="20"/>
  <c r="I10" i="20"/>
  <c r="I9" i="20"/>
  <c r="I8" i="20"/>
  <c r="I7" i="20"/>
  <c r="I6" i="20"/>
  <c r="I5" i="20"/>
  <c r="I4" i="20"/>
  <c r="F9" i="21" l="1"/>
  <c r="H9" i="21" s="1"/>
  <c r="F12" i="21"/>
  <c r="H12" i="21" s="1"/>
  <c r="F14" i="21"/>
  <c r="H14" i="21" s="1"/>
  <c r="F13" i="21"/>
  <c r="H13" i="21" s="1"/>
  <c r="Q9" i="21"/>
  <c r="Q12" i="21"/>
  <c r="Q14" i="21"/>
  <c r="Q8" i="21"/>
  <c r="H8" i="21"/>
  <c r="Q10" i="21"/>
  <c r="H10" i="21"/>
  <c r="Q11" i="21"/>
  <c r="H11" i="21"/>
  <c r="Q13" i="21"/>
  <c r="Q15" i="21"/>
  <c r="H15" i="21"/>
  <c r="F7" i="21"/>
  <c r="P28" i="21"/>
  <c r="P30" i="21"/>
  <c r="O28" i="21"/>
  <c r="O30" i="21"/>
  <c r="O15" i="21" l="1"/>
  <c r="P15" i="21"/>
  <c r="O13" i="21"/>
  <c r="P13" i="21"/>
  <c r="O11" i="21"/>
  <c r="P11" i="21"/>
  <c r="P10" i="21"/>
  <c r="O10" i="21"/>
  <c r="O8" i="21"/>
  <c r="P8" i="21"/>
  <c r="P14" i="21"/>
  <c r="O14" i="21"/>
  <c r="P9" i="21"/>
  <c r="O9" i="21"/>
  <c r="P12" i="21"/>
  <c r="O12" i="21"/>
  <c r="Q7" i="21"/>
  <c r="H7" i="21"/>
  <c r="P7" i="21" l="1"/>
  <c r="O7" i="21"/>
  <c r="Q23" i="21"/>
  <c r="Q21" i="21"/>
  <c r="Q29" i="21" s="1"/>
  <c r="Q19" i="21"/>
  <c r="Q22" i="21"/>
  <c r="Q20" i="21"/>
  <c r="Q18" i="21"/>
  <c r="Q31" i="21" l="1"/>
  <c r="Q33" i="21" s="1"/>
  <c r="Q27" i="21"/>
  <c r="O23" i="21"/>
  <c r="O21" i="21"/>
  <c r="O27" i="21" s="1"/>
  <c r="O29" i="21" s="1"/>
  <c r="O31" i="21" s="1"/>
  <c r="O33" i="21" s="1"/>
  <c r="O19" i="21"/>
  <c r="O22" i="21"/>
  <c r="O20" i="21"/>
  <c r="O18" i="21"/>
  <c r="P22" i="21"/>
  <c r="P20" i="21"/>
  <c r="P18" i="21"/>
  <c r="P23" i="21"/>
  <c r="P21" i="21"/>
  <c r="P27" i="21" s="1"/>
  <c r="P29" i="21" s="1"/>
  <c r="P31" i="21" s="1"/>
  <c r="P33" i="21" s="1"/>
  <c r="P19" i="21"/>
  <c r="D41" i="19" l="1"/>
  <c r="E41" i="19"/>
  <c r="F41" i="19"/>
  <c r="G41" i="19"/>
  <c r="H41" i="19"/>
  <c r="I41" i="19"/>
  <c r="J41" i="19"/>
  <c r="K41" i="19"/>
  <c r="L41" i="19"/>
  <c r="D42" i="19"/>
  <c r="E42" i="19"/>
  <c r="F42" i="19"/>
  <c r="G42" i="19"/>
  <c r="H42" i="19"/>
  <c r="I42" i="19"/>
  <c r="J42" i="19"/>
  <c r="K42" i="19"/>
  <c r="L42" i="19"/>
  <c r="D43" i="19"/>
  <c r="E43" i="19"/>
  <c r="F43" i="19"/>
  <c r="G43" i="19"/>
  <c r="H43" i="19"/>
  <c r="I43" i="19"/>
  <c r="J43" i="19"/>
  <c r="K43" i="19"/>
  <c r="L43" i="19"/>
  <c r="C42" i="19"/>
  <c r="C43" i="19"/>
  <c r="C41" i="19"/>
  <c r="L39" i="19"/>
  <c r="K39" i="19"/>
  <c r="J39" i="19"/>
  <c r="I39" i="19"/>
  <c r="H39" i="19"/>
  <c r="G39" i="19"/>
  <c r="F39" i="19"/>
  <c r="E39" i="19"/>
  <c r="D39" i="19"/>
  <c r="L38" i="19"/>
  <c r="K38" i="19"/>
  <c r="J38" i="19"/>
  <c r="I38" i="19"/>
  <c r="H38" i="19"/>
  <c r="G38" i="19"/>
  <c r="F38" i="19"/>
  <c r="E38" i="19"/>
  <c r="D38" i="19"/>
  <c r="L37" i="19"/>
  <c r="K37" i="19"/>
  <c r="J37" i="19"/>
  <c r="I37" i="19"/>
  <c r="H37" i="19"/>
  <c r="G37" i="19"/>
  <c r="F37" i="19"/>
  <c r="E37" i="19"/>
  <c r="D37" i="19"/>
  <c r="C39" i="19"/>
  <c r="C38" i="19"/>
  <c r="C37" i="19"/>
  <c r="L36" i="19"/>
  <c r="K36" i="19"/>
  <c r="J36" i="19"/>
  <c r="I36" i="19"/>
  <c r="H36" i="19"/>
  <c r="G36" i="19"/>
  <c r="F36" i="19"/>
  <c r="E36" i="19"/>
  <c r="D36" i="19"/>
  <c r="C36" i="19"/>
  <c r="D35" i="19"/>
  <c r="E35" i="19"/>
  <c r="F35" i="19"/>
  <c r="G35" i="19"/>
  <c r="H35" i="19"/>
  <c r="I35" i="19"/>
  <c r="J35" i="19"/>
  <c r="K35" i="19"/>
  <c r="L35" i="19"/>
  <c r="C35" i="19"/>
  <c r="D31" i="19"/>
  <c r="E31" i="19"/>
  <c r="F31" i="19"/>
  <c r="G31" i="19"/>
  <c r="H31" i="19"/>
  <c r="I31" i="19"/>
  <c r="J31" i="19"/>
  <c r="K31" i="19"/>
  <c r="L31" i="19"/>
  <c r="D32" i="19"/>
  <c r="E32" i="19"/>
  <c r="F32" i="19"/>
  <c r="G32" i="19"/>
  <c r="H32" i="19"/>
  <c r="I32" i="19"/>
  <c r="J32" i="19"/>
  <c r="K32" i="19"/>
  <c r="L32" i="19"/>
  <c r="D33" i="19"/>
  <c r="E33" i="19"/>
  <c r="F33" i="19"/>
  <c r="G33" i="19"/>
  <c r="H33" i="19"/>
  <c r="I33" i="19"/>
  <c r="J33" i="19"/>
  <c r="K33" i="19"/>
  <c r="L33" i="19"/>
  <c r="C31" i="19"/>
  <c r="C32" i="19"/>
  <c r="C33" i="19"/>
  <c r="D30" i="19"/>
  <c r="E30" i="19"/>
  <c r="F30" i="19"/>
  <c r="G30" i="19"/>
  <c r="H30" i="19"/>
  <c r="I30" i="19"/>
  <c r="J30" i="19"/>
  <c r="K30" i="19"/>
  <c r="L30" i="19"/>
  <c r="C30" i="19"/>
  <c r="D29" i="19"/>
  <c r="E29" i="19"/>
  <c r="F29" i="19"/>
  <c r="G29" i="19"/>
  <c r="H29" i="19"/>
  <c r="I29" i="19"/>
  <c r="J29" i="19"/>
  <c r="K29" i="19"/>
  <c r="L29" i="19"/>
  <c r="C29" i="19"/>
  <c r="D22" i="19"/>
  <c r="E22" i="19"/>
  <c r="F22" i="19"/>
  <c r="G22" i="19"/>
  <c r="H22" i="19"/>
  <c r="I22" i="19"/>
  <c r="J22" i="19"/>
  <c r="K22" i="19"/>
  <c r="L22" i="19"/>
  <c r="C22" i="19"/>
  <c r="B25" i="19"/>
  <c r="B3" i="19"/>
  <c r="D8" i="19"/>
  <c r="E8" i="19"/>
  <c r="F8" i="19"/>
  <c r="G8" i="19"/>
  <c r="H8" i="19"/>
  <c r="I8" i="19"/>
  <c r="J8" i="19"/>
  <c r="K8" i="19"/>
  <c r="L8" i="19"/>
  <c r="D9" i="19"/>
  <c r="E9" i="19"/>
  <c r="F9" i="19"/>
  <c r="G9" i="19"/>
  <c r="H9" i="19"/>
  <c r="I9" i="19"/>
  <c r="J9" i="19"/>
  <c r="K9" i="19"/>
  <c r="L9" i="19"/>
  <c r="D10" i="19"/>
  <c r="E10" i="19"/>
  <c r="F10" i="19"/>
  <c r="G10" i="19"/>
  <c r="H10" i="19"/>
  <c r="I10" i="19"/>
  <c r="J10" i="19"/>
  <c r="K10" i="19"/>
  <c r="L10" i="19"/>
  <c r="D11" i="19"/>
  <c r="E11" i="19"/>
  <c r="F11" i="19"/>
  <c r="G11" i="19"/>
  <c r="H11" i="19"/>
  <c r="I11" i="19"/>
  <c r="J11" i="19"/>
  <c r="K11" i="19"/>
  <c r="L11" i="19"/>
  <c r="D12" i="19"/>
  <c r="E12" i="19"/>
  <c r="F12" i="19"/>
  <c r="G12" i="19"/>
  <c r="H12" i="19"/>
  <c r="I12" i="19"/>
  <c r="J12" i="19"/>
  <c r="K12" i="19"/>
  <c r="L12" i="19"/>
  <c r="D13" i="19"/>
  <c r="E13" i="19"/>
  <c r="F13" i="19"/>
  <c r="G13" i="19"/>
  <c r="H13" i="19"/>
  <c r="I13" i="19"/>
  <c r="J13" i="19"/>
  <c r="K13" i="19"/>
  <c r="L13" i="19"/>
  <c r="D14" i="19"/>
  <c r="E14" i="19"/>
  <c r="F14" i="19"/>
  <c r="G14" i="19"/>
  <c r="H14" i="19"/>
  <c r="I14" i="19"/>
  <c r="J14" i="19"/>
  <c r="K14" i="19"/>
  <c r="L14" i="19"/>
  <c r="D15" i="19"/>
  <c r="E15" i="19"/>
  <c r="F15" i="19"/>
  <c r="G15" i="19"/>
  <c r="H15" i="19"/>
  <c r="I15" i="19"/>
  <c r="J15" i="19"/>
  <c r="K15" i="19"/>
  <c r="L15" i="19"/>
  <c r="D16" i="19"/>
  <c r="E16" i="19"/>
  <c r="F16" i="19"/>
  <c r="G16" i="19"/>
  <c r="H16" i="19"/>
  <c r="I16" i="19"/>
  <c r="J16" i="19"/>
  <c r="K16" i="19"/>
  <c r="L16" i="19"/>
  <c r="D17" i="19"/>
  <c r="E17" i="19"/>
  <c r="F17" i="19"/>
  <c r="G17" i="19"/>
  <c r="H17" i="19"/>
  <c r="I17" i="19"/>
  <c r="J17" i="19"/>
  <c r="K17" i="19"/>
  <c r="L17" i="19"/>
  <c r="D18" i="19"/>
  <c r="E18" i="19"/>
  <c r="F18" i="19"/>
  <c r="G18" i="19"/>
  <c r="H18" i="19"/>
  <c r="I18" i="19"/>
  <c r="J18" i="19"/>
  <c r="K18" i="19"/>
  <c r="L18" i="19"/>
  <c r="D19" i="19"/>
  <c r="E19" i="19"/>
  <c r="F19" i="19"/>
  <c r="G19" i="19"/>
  <c r="H19" i="19"/>
  <c r="I19" i="19"/>
  <c r="J19" i="19"/>
  <c r="K19" i="19"/>
  <c r="L19" i="19"/>
  <c r="D20" i="19"/>
  <c r="E20" i="19"/>
  <c r="F20" i="19"/>
  <c r="G20" i="19"/>
  <c r="H20" i="19"/>
  <c r="I20" i="19"/>
  <c r="J20" i="19"/>
  <c r="K20" i="19"/>
  <c r="L20" i="19"/>
  <c r="D21" i="19"/>
  <c r="E21" i="19"/>
  <c r="F21" i="19"/>
  <c r="G21" i="19"/>
  <c r="H21" i="19"/>
  <c r="I21" i="19"/>
  <c r="J21" i="19"/>
  <c r="K21" i="19"/>
  <c r="L21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8" i="19"/>
  <c r="D7" i="19"/>
  <c r="E7" i="19"/>
  <c r="F7" i="19"/>
  <c r="G7" i="19"/>
  <c r="H7" i="19"/>
  <c r="I7" i="19"/>
  <c r="J7" i="19"/>
  <c r="K7" i="19"/>
  <c r="L7" i="19"/>
  <c r="C7" i="19"/>
  <c r="E26" i="15" l="1"/>
  <c r="J27" i="15"/>
  <c r="C36" i="15" l="1"/>
  <c r="C35" i="15"/>
  <c r="I16" i="15" l="1"/>
  <c r="E15" i="15" l="1"/>
  <c r="E16" i="15"/>
  <c r="E17" i="15"/>
  <c r="E18" i="15"/>
  <c r="D15" i="15"/>
  <c r="D16" i="15"/>
  <c r="D17" i="15"/>
  <c r="D18" i="15"/>
  <c r="G18" i="15" l="1"/>
  <c r="J18" i="15" s="1"/>
  <c r="E14" i="15"/>
  <c r="D14" i="15"/>
  <c r="F21" i="15"/>
  <c r="E27" i="15" s="1"/>
  <c r="J36" i="15" s="1"/>
  <c r="F20" i="15"/>
  <c r="G17" i="15"/>
  <c r="J17" i="15" s="1"/>
  <c r="G16" i="15"/>
  <c r="J16" i="15" s="1"/>
  <c r="H15" i="15"/>
  <c r="G15" i="15"/>
  <c r="J15" i="15" s="1"/>
  <c r="I20" i="15"/>
  <c r="K12" i="18"/>
  <c r="K6" i="18"/>
  <c r="N7" i="18"/>
  <c r="N6" i="18"/>
  <c r="H17" i="15" l="1"/>
  <c r="E28" i="15"/>
  <c r="J44" i="15" s="1"/>
  <c r="C37" i="15"/>
  <c r="D37" i="15" s="1"/>
  <c r="E37" i="15" s="1"/>
  <c r="G14" i="15"/>
  <c r="J14" i="15" s="1"/>
  <c r="H16" i="15"/>
  <c r="H18" i="15"/>
  <c r="I21" i="15"/>
  <c r="H14" i="15"/>
  <c r="B4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35" i="15" l="1"/>
  <c r="H21" i="15"/>
  <c r="H20" i="15"/>
  <c r="E35" i="15" s="1"/>
  <c r="E36" i="15" s="1"/>
  <c r="J42" i="15" s="1"/>
  <c r="G20" i="15"/>
  <c r="G21" i="15"/>
  <c r="J21" i="15"/>
  <c r="J34" i="15" s="1"/>
  <c r="J20" i="15"/>
  <c r="D36" i="15"/>
  <c r="D39" i="15" l="1"/>
  <c r="J45" i="15"/>
  <c r="E39" i="15"/>
  <c r="J35" i="15" s="1"/>
  <c r="J37" i="15" s="1"/>
  <c r="J28" i="15" s="1"/>
  <c r="J29" i="15" s="1"/>
  <c r="J41" i="15" s="1"/>
  <c r="J47" i="15" l="1"/>
  <c r="G9" i="17" l="1"/>
  <c r="G11" i="17" s="1"/>
  <c r="B6" i="16"/>
  <c r="B7" i="16" s="1"/>
  <c r="B8" i="16" s="1"/>
  <c r="B5" i="16"/>
  <c r="K42" i="14" l="1"/>
  <c r="J42" i="14"/>
  <c r="I42" i="14"/>
  <c r="H42" i="14"/>
  <c r="G42" i="14"/>
  <c r="H31" i="14"/>
  <c r="I31" i="14"/>
  <c r="J31" i="14"/>
  <c r="K31" i="14"/>
  <c r="G31" i="14"/>
  <c r="B31" i="14"/>
  <c r="B30" i="14"/>
  <c r="K30" i="14"/>
  <c r="J30" i="14"/>
  <c r="I30" i="14"/>
  <c r="H30" i="14"/>
  <c r="G30" i="14"/>
  <c r="B29" i="14"/>
  <c r="H29" i="14"/>
  <c r="I29" i="14"/>
  <c r="J29" i="14"/>
  <c r="K29" i="14"/>
  <c r="G29" i="14"/>
  <c r="H12" i="14" l="1"/>
  <c r="I12" i="14"/>
  <c r="J12" i="14"/>
  <c r="K12" i="14"/>
  <c r="H13" i="14"/>
  <c r="I13" i="14"/>
  <c r="J13" i="14"/>
  <c r="K13" i="14"/>
  <c r="H14" i="14"/>
  <c r="I14" i="14"/>
  <c r="J14" i="14"/>
  <c r="K14" i="14"/>
  <c r="G13" i="14"/>
  <c r="G14" i="14"/>
  <c r="G12" i="14"/>
  <c r="B13" i="14"/>
  <c r="B14" i="14"/>
  <c r="B12" i="14"/>
  <c r="H5" i="14"/>
  <c r="I5" i="14"/>
  <c r="J5" i="14"/>
  <c r="K5" i="14"/>
  <c r="H6" i="14"/>
  <c r="I6" i="14"/>
  <c r="J6" i="14"/>
  <c r="K6" i="14"/>
  <c r="H7" i="14"/>
  <c r="I7" i="14"/>
  <c r="J7" i="14"/>
  <c r="K7" i="14"/>
  <c r="H8" i="14"/>
  <c r="I8" i="14"/>
  <c r="J8" i="14"/>
  <c r="K8" i="14"/>
  <c r="G6" i="14"/>
  <c r="G7" i="14"/>
  <c r="G8" i="14"/>
  <c r="G5" i="14"/>
  <c r="B8" i="14"/>
  <c r="B7" i="14"/>
  <c r="B6" i="14"/>
  <c r="B5" i="14"/>
  <c r="N86" i="13"/>
  <c r="M86" i="13"/>
  <c r="L86" i="13"/>
  <c r="K86" i="13"/>
  <c r="J86" i="13"/>
  <c r="I86" i="13"/>
  <c r="H86" i="13"/>
  <c r="G86" i="13"/>
  <c r="F86" i="13"/>
  <c r="E86" i="13"/>
  <c r="D86" i="13"/>
  <c r="C86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N33" i="13" l="1"/>
  <c r="M33" i="13"/>
  <c r="L33" i="13"/>
  <c r="K33" i="13"/>
  <c r="J33" i="13"/>
  <c r="I33" i="13"/>
  <c r="H33" i="13"/>
  <c r="G33" i="13"/>
  <c r="F33" i="13"/>
  <c r="E33" i="13"/>
  <c r="D33" i="13"/>
  <c r="C33" i="13"/>
  <c r="L2" i="12" l="1"/>
  <c r="G2" i="12"/>
  <c r="B2" i="12"/>
  <c r="B2" i="11"/>
  <c r="B69" i="8"/>
  <c r="B46" i="8"/>
  <c r="B4" i="8"/>
  <c r="B2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C100" i="8"/>
  <c r="C101" i="8"/>
  <c r="C102" i="8"/>
  <c r="C103" i="8"/>
  <c r="C104" i="8"/>
  <c r="C99" i="8"/>
  <c r="C98" i="8"/>
  <c r="C97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C93" i="8"/>
  <c r="C92" i="8"/>
  <c r="C91" i="8"/>
  <c r="C85" i="8"/>
  <c r="C86" i="8"/>
  <c r="C87" i="8"/>
  <c r="C84" i="8"/>
  <c r="C83" i="8"/>
  <c r="C82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C78" i="8"/>
  <c r="C75" i="8"/>
  <c r="C76" i="8"/>
  <c r="C77" i="8"/>
  <c r="C74" i="8"/>
  <c r="C73" i="8"/>
  <c r="C72" i="8"/>
  <c r="C71" i="8"/>
  <c r="K56" i="14" l="1"/>
  <c r="J56" i="14"/>
  <c r="I56" i="14"/>
  <c r="H56" i="14"/>
  <c r="G56" i="14"/>
  <c r="H2" i="14" l="1"/>
  <c r="H40" i="14" s="1"/>
  <c r="I2" i="14"/>
  <c r="I40" i="14" s="1"/>
  <c r="J2" i="14"/>
  <c r="J40" i="14" s="1"/>
  <c r="K2" i="14"/>
  <c r="K40" i="14" s="1"/>
  <c r="G2" i="14"/>
  <c r="G40" i="14" s="1"/>
  <c r="G22" i="14"/>
  <c r="H22" i="14"/>
  <c r="I22" i="14"/>
  <c r="J22" i="14"/>
  <c r="K22" i="14"/>
  <c r="G23" i="14"/>
  <c r="H23" i="14"/>
  <c r="I23" i="14"/>
  <c r="J23" i="14"/>
  <c r="K23" i="14"/>
  <c r="G24" i="14"/>
  <c r="H24" i="14"/>
  <c r="I24" i="14"/>
  <c r="J24" i="14"/>
  <c r="K24" i="14"/>
  <c r="G25" i="14"/>
  <c r="H25" i="14"/>
  <c r="I25" i="14"/>
  <c r="J25" i="14"/>
  <c r="K25" i="14"/>
  <c r="G26" i="14"/>
  <c r="H26" i="14"/>
  <c r="I26" i="14"/>
  <c r="J26" i="14"/>
  <c r="K26" i="14"/>
  <c r="G27" i="14"/>
  <c r="H27" i="14"/>
  <c r="I27" i="14"/>
  <c r="J27" i="14"/>
  <c r="K27" i="14"/>
  <c r="G28" i="14"/>
  <c r="H28" i="14"/>
  <c r="I28" i="14"/>
  <c r="J28" i="14"/>
  <c r="K28" i="14"/>
  <c r="H21" i="14"/>
  <c r="I21" i="14"/>
  <c r="J21" i="14"/>
  <c r="K21" i="14"/>
  <c r="G21" i="14"/>
  <c r="B22" i="14"/>
  <c r="B23" i="14"/>
  <c r="B24" i="14"/>
  <c r="B25" i="14"/>
  <c r="B26" i="14"/>
  <c r="B27" i="14"/>
  <c r="B28" i="14"/>
  <c r="B21" i="14"/>
  <c r="I32" i="14" l="1"/>
  <c r="K32" i="14"/>
  <c r="J32" i="14"/>
  <c r="H32" i="14"/>
  <c r="G9" i="14"/>
  <c r="J9" i="14"/>
  <c r="H9" i="14"/>
  <c r="K15" i="14"/>
  <c r="I15" i="14"/>
  <c r="G32" i="14"/>
  <c r="K9" i="14"/>
  <c r="I9" i="14"/>
  <c r="G15" i="14"/>
  <c r="G18" i="14" s="1"/>
  <c r="J15" i="14"/>
  <c r="J18" i="14" s="1"/>
  <c r="H15" i="14"/>
  <c r="H18" i="14" s="1"/>
  <c r="H34" i="14" l="1"/>
  <c r="G34" i="14"/>
  <c r="K18" i="14"/>
  <c r="K43" i="14" s="1"/>
  <c r="K49" i="14" s="1"/>
  <c r="I18" i="14"/>
  <c r="I43" i="14" s="1"/>
  <c r="I49" i="14" s="1"/>
  <c r="J34" i="14"/>
  <c r="H43" i="14"/>
  <c r="H49" i="14" s="1"/>
  <c r="K33" i="6"/>
  <c r="J33" i="6"/>
  <c r="I33" i="6"/>
  <c r="H33" i="6"/>
  <c r="G33" i="6"/>
  <c r="F33" i="6"/>
  <c r="E33" i="6"/>
  <c r="D33" i="6"/>
  <c r="C33" i="6"/>
  <c r="B33" i="6"/>
  <c r="K34" i="14" l="1"/>
  <c r="I34" i="14"/>
  <c r="J43" i="14"/>
  <c r="J49" i="14" s="1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L5" i="12"/>
  <c r="L6" i="12" s="1"/>
  <c r="L7" i="12" s="1"/>
  <c r="L8" i="12" s="1"/>
  <c r="L9" i="12" s="1"/>
  <c r="L10" i="12" s="1"/>
  <c r="L11" i="12" s="1"/>
  <c r="H5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C3" i="11"/>
  <c r="C105" i="8"/>
  <c r="C88" i="8"/>
  <c r="C89" i="8"/>
  <c r="C90" i="8"/>
  <c r="C60" i="8"/>
  <c r="C61" i="8"/>
  <c r="C62" i="8"/>
  <c r="C63" i="8"/>
  <c r="C54" i="8"/>
  <c r="C55" i="8"/>
  <c r="C56" i="8"/>
  <c r="C57" i="8"/>
  <c r="C58" i="8" s="1"/>
  <c r="C48" i="8"/>
  <c r="C49" i="8"/>
  <c r="C50" i="8"/>
  <c r="C51" i="8"/>
  <c r="C52" i="8"/>
  <c r="C36" i="8"/>
  <c r="C41" i="8" s="1"/>
  <c r="C29" i="8"/>
  <c r="C23" i="8"/>
  <c r="C20" i="8"/>
  <c r="C14" i="8"/>
  <c r="C8" i="8"/>
  <c r="C9" i="8" s="1"/>
  <c r="C5" i="8"/>
  <c r="C28" i="11" s="1"/>
  <c r="C35" i="11" s="1"/>
  <c r="C3" i="8"/>
  <c r="D4" i="12" a="1"/>
  <c r="D5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C65" i="8" l="1"/>
  <c r="C67" i="8" s="1"/>
  <c r="C79" i="8"/>
  <c r="C39" i="11" s="1"/>
  <c r="C94" i="8"/>
  <c r="C40" i="11"/>
  <c r="C24" i="8"/>
  <c r="C18" i="11" s="1"/>
  <c r="C31" i="11"/>
  <c r="C29" i="11"/>
  <c r="C36" i="11" s="1"/>
  <c r="C27" i="11"/>
  <c r="C34" i="11" s="1"/>
  <c r="C11" i="8"/>
  <c r="C15" i="8"/>
  <c r="C17" i="11" s="1"/>
  <c r="C21" i="8"/>
  <c r="C30" i="11"/>
  <c r="L12" i="12"/>
  <c r="D10" i="12"/>
  <c r="E10" i="12" s="1"/>
  <c r="D8" i="12"/>
  <c r="D6" i="12"/>
  <c r="E6" i="12" s="1"/>
  <c r="D4" i="12"/>
  <c r="D15" i="12" s="1"/>
  <c r="D11" i="12"/>
  <c r="E11" i="12" s="1"/>
  <c r="D9" i="12"/>
  <c r="E9" i="12" s="1"/>
  <c r="D7" i="12"/>
  <c r="E7" i="12" s="1"/>
  <c r="C41" i="11" l="1"/>
  <c r="C107" i="8"/>
  <c r="E8" i="12"/>
  <c r="C17" i="8"/>
  <c r="C12" i="8"/>
  <c r="C11" i="11" s="1"/>
  <c r="D12" i="12"/>
  <c r="E12" i="12" s="1"/>
  <c r="C37" i="11"/>
  <c r="E5" i="12"/>
  <c r="D13" i="12"/>
  <c r="E13" i="12" s="1"/>
  <c r="D14" i="12"/>
  <c r="L13" i="12"/>
  <c r="E14" i="12" l="1"/>
  <c r="C21" i="11"/>
  <c r="C26" i="8"/>
  <c r="C18" i="8"/>
  <c r="C12" i="11" s="1"/>
  <c r="C25" i="11"/>
  <c r="C13" i="11"/>
  <c r="C19" i="11" s="1"/>
  <c r="E15" i="12"/>
  <c r="L14" i="12"/>
  <c r="C27" i="8" l="1"/>
  <c r="C14" i="11" s="1"/>
  <c r="C32" i="8"/>
  <c r="C30" i="8"/>
  <c r="L15" i="12"/>
  <c r="C33" i="8" l="1"/>
  <c r="C15" i="11" s="1"/>
  <c r="C23" i="11"/>
  <c r="C38" i="8"/>
  <c r="J3" i="11"/>
  <c r="I3" i="11"/>
  <c r="H3" i="11"/>
  <c r="G3" i="11"/>
  <c r="F3" i="11"/>
  <c r="E3" i="11"/>
  <c r="D3" i="11"/>
  <c r="C42" i="8" l="1"/>
  <c r="C44" i="8"/>
  <c r="C22" i="11" s="1"/>
  <c r="C24" i="11" s="1"/>
  <c r="J105" i="8" l="1"/>
  <c r="H105" i="8"/>
  <c r="F105" i="8"/>
  <c r="D105" i="8"/>
  <c r="I105" i="8"/>
  <c r="G105" i="8"/>
  <c r="E105" i="8"/>
  <c r="J94" i="8" l="1"/>
  <c r="H94" i="8"/>
  <c r="F94" i="8"/>
  <c r="D94" i="8"/>
  <c r="I94" i="8"/>
  <c r="G94" i="8"/>
  <c r="E94" i="8"/>
  <c r="J57" i="8"/>
  <c r="I57" i="8"/>
  <c r="H57" i="8"/>
  <c r="G57" i="8"/>
  <c r="F57" i="8"/>
  <c r="E57" i="8"/>
  <c r="D57" i="8"/>
  <c r="E62" i="8"/>
  <c r="F62" i="8"/>
  <c r="G62" i="8"/>
  <c r="H62" i="8"/>
  <c r="I62" i="8"/>
  <c r="J62" i="8"/>
  <c r="E61" i="8"/>
  <c r="F61" i="8"/>
  <c r="G61" i="8"/>
  <c r="H61" i="8"/>
  <c r="I61" i="8"/>
  <c r="J61" i="8"/>
  <c r="D62" i="8"/>
  <c r="D61" i="8"/>
  <c r="J60" i="8"/>
  <c r="J63" i="8" s="1"/>
  <c r="I60" i="8"/>
  <c r="H60" i="8"/>
  <c r="H63" i="8" s="1"/>
  <c r="G60" i="8"/>
  <c r="F60" i="8"/>
  <c r="F63" i="8" s="1"/>
  <c r="E60" i="8"/>
  <c r="D60" i="8"/>
  <c r="D63" i="8" s="1"/>
  <c r="E63" i="8" l="1"/>
  <c r="G63" i="8"/>
  <c r="I63" i="8"/>
  <c r="J79" i="8"/>
  <c r="H79" i="8"/>
  <c r="F79" i="8"/>
  <c r="D79" i="8"/>
  <c r="I79" i="8"/>
  <c r="G79" i="8"/>
  <c r="G107" i="8" s="1"/>
  <c r="E79" i="8"/>
  <c r="E107" i="8" s="1"/>
  <c r="D55" i="8"/>
  <c r="E55" i="8"/>
  <c r="F55" i="8"/>
  <c r="G55" i="8"/>
  <c r="H55" i="8"/>
  <c r="I55" i="8"/>
  <c r="J55" i="8"/>
  <c r="D56" i="8"/>
  <c r="E56" i="8"/>
  <c r="F56" i="8"/>
  <c r="G56" i="8"/>
  <c r="H56" i="8"/>
  <c r="I56" i="8"/>
  <c r="J56" i="8"/>
  <c r="E54" i="8"/>
  <c r="F54" i="8"/>
  <c r="G54" i="8"/>
  <c r="H54" i="8"/>
  <c r="I54" i="8"/>
  <c r="J54" i="8"/>
  <c r="D54" i="8"/>
  <c r="J52" i="8"/>
  <c r="I52" i="8"/>
  <c r="H52" i="8"/>
  <c r="G52" i="8"/>
  <c r="F52" i="8"/>
  <c r="E52" i="8"/>
  <c r="J51" i="8"/>
  <c r="I51" i="8"/>
  <c r="H51" i="8"/>
  <c r="G51" i="8"/>
  <c r="F51" i="8"/>
  <c r="E51" i="8"/>
  <c r="J50" i="8"/>
  <c r="I50" i="8"/>
  <c r="H50" i="8"/>
  <c r="G50" i="8"/>
  <c r="F50" i="8"/>
  <c r="E50" i="8"/>
  <c r="J49" i="8"/>
  <c r="I49" i="8"/>
  <c r="H49" i="8"/>
  <c r="G49" i="8"/>
  <c r="F49" i="8"/>
  <c r="E49" i="8"/>
  <c r="D49" i="8"/>
  <c r="D50" i="8"/>
  <c r="D51" i="8"/>
  <c r="D52" i="8"/>
  <c r="J48" i="8"/>
  <c r="I48" i="8"/>
  <c r="H48" i="8"/>
  <c r="G48" i="8"/>
  <c r="F48" i="8"/>
  <c r="E48" i="8"/>
  <c r="D48" i="8"/>
  <c r="K36" i="8"/>
  <c r="K41" i="8" s="1"/>
  <c r="J36" i="8"/>
  <c r="J41" i="8" s="1"/>
  <c r="I36" i="8"/>
  <c r="I41" i="8" s="1"/>
  <c r="H36" i="8"/>
  <c r="H41" i="8" s="1"/>
  <c r="H9" i="11" s="1"/>
  <c r="G36" i="8"/>
  <c r="G41" i="8" s="1"/>
  <c r="F36" i="8"/>
  <c r="F41" i="8" s="1"/>
  <c r="F9" i="11" s="1"/>
  <c r="E36" i="8"/>
  <c r="E41" i="8" s="1"/>
  <c r="D36" i="8"/>
  <c r="D41" i="8" s="1"/>
  <c r="D9" i="11" s="1"/>
  <c r="K29" i="8"/>
  <c r="J29" i="8"/>
  <c r="I29" i="8"/>
  <c r="H29" i="8"/>
  <c r="G29" i="8"/>
  <c r="F29" i="8"/>
  <c r="E29" i="8"/>
  <c r="D29" i="8"/>
  <c r="K23" i="8"/>
  <c r="J23" i="8"/>
  <c r="I23" i="8"/>
  <c r="H23" i="8"/>
  <c r="G23" i="8"/>
  <c r="F23" i="8"/>
  <c r="E23" i="8"/>
  <c r="D23" i="8"/>
  <c r="K20" i="8"/>
  <c r="J20" i="8"/>
  <c r="I20" i="8"/>
  <c r="H20" i="8"/>
  <c r="G20" i="8"/>
  <c r="F20" i="8"/>
  <c r="E20" i="8"/>
  <c r="D20" i="8"/>
  <c r="J9" i="11" l="1"/>
  <c r="E9" i="11"/>
  <c r="G9" i="11"/>
  <c r="I9" i="11"/>
  <c r="D58" i="8"/>
  <c r="D65" i="8" s="1"/>
  <c r="D40" i="11" s="1"/>
  <c r="I58" i="8"/>
  <c r="I65" i="8" s="1"/>
  <c r="I67" i="8" s="1"/>
  <c r="G58" i="8"/>
  <c r="G65" i="8" s="1"/>
  <c r="G67" i="8" s="1"/>
  <c r="E58" i="8"/>
  <c r="E65" i="8" s="1"/>
  <c r="E67" i="8" s="1"/>
  <c r="G41" i="11"/>
  <c r="G40" i="11"/>
  <c r="D41" i="11"/>
  <c r="D107" i="8"/>
  <c r="F41" i="11"/>
  <c r="F107" i="8"/>
  <c r="J41" i="11"/>
  <c r="J107" i="8"/>
  <c r="E41" i="11"/>
  <c r="E40" i="11"/>
  <c r="I41" i="11"/>
  <c r="I40" i="11"/>
  <c r="I107" i="8"/>
  <c r="H41" i="11"/>
  <c r="H107" i="8"/>
  <c r="J58" i="8"/>
  <c r="J65" i="8" s="1"/>
  <c r="J67" i="8" s="1"/>
  <c r="H58" i="8"/>
  <c r="H65" i="8" s="1"/>
  <c r="H67" i="8" s="1"/>
  <c r="F58" i="8"/>
  <c r="F65" i="8" s="1"/>
  <c r="F67" i="8" s="1"/>
  <c r="D67" i="8"/>
  <c r="K14" i="8"/>
  <c r="J14" i="8"/>
  <c r="I14" i="8"/>
  <c r="H14" i="8"/>
  <c r="G14" i="8"/>
  <c r="F14" i="8"/>
  <c r="E14" i="8"/>
  <c r="D14" i="8"/>
  <c r="K8" i="8"/>
  <c r="J8" i="8"/>
  <c r="I8" i="8"/>
  <c r="H8" i="8"/>
  <c r="G8" i="8"/>
  <c r="F8" i="8"/>
  <c r="E8" i="8"/>
  <c r="D8" i="8"/>
  <c r="H40" i="11" l="1"/>
  <c r="J40" i="11"/>
  <c r="F40" i="11"/>
  <c r="M41" i="11"/>
  <c r="L41" i="11"/>
  <c r="K5" i="8"/>
  <c r="K11" i="8" s="1"/>
  <c r="E5" i="8"/>
  <c r="F5" i="8"/>
  <c r="G5" i="8"/>
  <c r="H5" i="8"/>
  <c r="I5" i="8"/>
  <c r="J5" i="8"/>
  <c r="D5" i="8"/>
  <c r="D6" i="8" s="1"/>
  <c r="D5" i="11" s="1"/>
  <c r="E3" i="8"/>
  <c r="F3" i="8"/>
  <c r="G3" i="8"/>
  <c r="H3" i="8"/>
  <c r="I3" i="8"/>
  <c r="J3" i="8"/>
  <c r="D3" i="8"/>
  <c r="L40" i="11" l="1"/>
  <c r="H15" i="8"/>
  <c r="H17" i="11" s="1"/>
  <c r="H27" i="11"/>
  <c r="H34" i="11" s="1"/>
  <c r="H28" i="11"/>
  <c r="H35" i="11" s="1"/>
  <c r="H29" i="11"/>
  <c r="H36" i="11" s="1"/>
  <c r="H30" i="11"/>
  <c r="H31" i="11"/>
  <c r="H39" i="11"/>
  <c r="D31" i="11"/>
  <c r="D29" i="11"/>
  <c r="D27" i="11"/>
  <c r="D30" i="11"/>
  <c r="D28" i="11"/>
  <c r="D39" i="11"/>
  <c r="I27" i="11"/>
  <c r="I34" i="11" s="1"/>
  <c r="I28" i="11"/>
  <c r="I35" i="11" s="1"/>
  <c r="I29" i="11"/>
  <c r="I36" i="11" s="1"/>
  <c r="I30" i="11"/>
  <c r="I31" i="11"/>
  <c r="I39" i="11"/>
  <c r="G27" i="11"/>
  <c r="G34" i="11" s="1"/>
  <c r="G28" i="11"/>
  <c r="G35" i="11" s="1"/>
  <c r="G29" i="11"/>
  <c r="G36" i="11" s="1"/>
  <c r="G30" i="11"/>
  <c r="G31" i="11"/>
  <c r="G39" i="11"/>
  <c r="E27" i="11"/>
  <c r="E34" i="11" s="1"/>
  <c r="E28" i="11"/>
  <c r="E35" i="11" s="1"/>
  <c r="E29" i="11"/>
  <c r="E36" i="11" s="1"/>
  <c r="E30" i="11"/>
  <c r="E31" i="11"/>
  <c r="E39" i="11"/>
  <c r="M40" i="11"/>
  <c r="J27" i="11"/>
  <c r="J34" i="11" s="1"/>
  <c r="J28" i="11"/>
  <c r="J35" i="11" s="1"/>
  <c r="J29" i="11"/>
  <c r="J36" i="11" s="1"/>
  <c r="J30" i="11"/>
  <c r="J31" i="11"/>
  <c r="J39" i="11"/>
  <c r="F27" i="11"/>
  <c r="F34" i="11" s="1"/>
  <c r="F28" i="11"/>
  <c r="F35" i="11" s="1"/>
  <c r="F29" i="11"/>
  <c r="F36" i="11" s="1"/>
  <c r="F30" i="11"/>
  <c r="F31" i="11"/>
  <c r="F39" i="11"/>
  <c r="K17" i="8"/>
  <c r="K12" i="8"/>
  <c r="D11" i="8"/>
  <c r="D21" i="8"/>
  <c r="D24" i="8"/>
  <c r="D18" i="11" s="1"/>
  <c r="I21" i="8"/>
  <c r="I24" i="8"/>
  <c r="I18" i="11" s="1"/>
  <c r="G24" i="8"/>
  <c r="G18" i="11" s="1"/>
  <c r="G21" i="8"/>
  <c r="E21" i="8"/>
  <c r="E24" i="8"/>
  <c r="E18" i="11" s="1"/>
  <c r="K26" i="8"/>
  <c r="K18" i="8"/>
  <c r="D15" i="8"/>
  <c r="D17" i="11" s="1"/>
  <c r="I15" i="8"/>
  <c r="I17" i="11" s="1"/>
  <c r="E15" i="8"/>
  <c r="E17" i="11" s="1"/>
  <c r="J11" i="8"/>
  <c r="J21" i="8"/>
  <c r="J24" i="8"/>
  <c r="J18" i="11" s="1"/>
  <c r="H11" i="8"/>
  <c r="H21" i="8"/>
  <c r="H24" i="8"/>
  <c r="H18" i="11" s="1"/>
  <c r="F11" i="8"/>
  <c r="F21" i="8"/>
  <c r="F24" i="8"/>
  <c r="F18" i="11" s="1"/>
  <c r="K9" i="8"/>
  <c r="K24" i="8"/>
  <c r="K21" i="8"/>
  <c r="J15" i="8"/>
  <c r="J17" i="11" s="1"/>
  <c r="F15" i="8"/>
  <c r="F17" i="11" s="1"/>
  <c r="K15" i="8"/>
  <c r="G15" i="8"/>
  <c r="G17" i="11" s="1"/>
  <c r="F6" i="8"/>
  <c r="F5" i="11" s="1"/>
  <c r="H6" i="8"/>
  <c r="H5" i="11" s="1"/>
  <c r="J6" i="8"/>
  <c r="J5" i="11" s="1"/>
  <c r="J9" i="8"/>
  <c r="F9" i="8"/>
  <c r="I11" i="8"/>
  <c r="I9" i="8"/>
  <c r="G11" i="8"/>
  <c r="G9" i="8"/>
  <c r="E11" i="8"/>
  <c r="E9" i="8"/>
  <c r="E6" i="8"/>
  <c r="E5" i="11" s="1"/>
  <c r="G6" i="8"/>
  <c r="G5" i="11" s="1"/>
  <c r="I6" i="8"/>
  <c r="I5" i="11" s="1"/>
  <c r="K6" i="8"/>
  <c r="H9" i="8"/>
  <c r="D9" i="8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E23" i="2" s="1"/>
  <c r="F12" i="1"/>
  <c r="F13" i="1" s="1"/>
  <c r="G12" i="1"/>
  <c r="G13" i="1" s="1"/>
  <c r="G14" i="1" s="1"/>
  <c r="H12" i="1"/>
  <c r="I12" i="1"/>
  <c r="I23" i="2" s="1"/>
  <c r="J12" i="1"/>
  <c r="J13" i="1" s="1"/>
  <c r="K12" i="1"/>
  <c r="K13" i="1" s="1"/>
  <c r="K14" i="1" s="1"/>
  <c r="C15" i="1"/>
  <c r="D15" i="1"/>
  <c r="E15" i="1"/>
  <c r="F15" i="1"/>
  <c r="G15" i="1"/>
  <c r="H15" i="1"/>
  <c r="I15" i="1"/>
  <c r="J15" i="1"/>
  <c r="K15" i="1"/>
  <c r="B15" i="1"/>
  <c r="H13" i="1"/>
  <c r="I13" i="1"/>
  <c r="B7" i="1"/>
  <c r="B4" i="1"/>
  <c r="B20" i="2" s="1"/>
  <c r="A1" i="1"/>
  <c r="E1" i="6"/>
  <c r="H1" i="1" s="1"/>
  <c r="E1" i="3"/>
  <c r="H16" i="2"/>
  <c r="D16" i="2"/>
  <c r="K23" i="2"/>
  <c r="F23" i="2"/>
  <c r="C23" i="2"/>
  <c r="K16" i="2"/>
  <c r="C16" i="2"/>
  <c r="G23" i="2"/>
  <c r="F16" i="2"/>
  <c r="E6" i="1"/>
  <c r="E19" i="1" s="1"/>
  <c r="H23" i="2"/>
  <c r="D23" i="2"/>
  <c r="I6" i="1"/>
  <c r="I19" i="1" s="1"/>
  <c r="J6" i="1"/>
  <c r="J19" i="1" s="1"/>
  <c r="K6" i="1"/>
  <c r="K19" i="1" s="1"/>
  <c r="G6" i="1"/>
  <c r="G19" i="1" s="1"/>
  <c r="C6" i="1"/>
  <c r="C19" i="1" s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I14" i="3"/>
  <c r="G14" i="3"/>
  <c r="G20" i="2"/>
  <c r="K20" i="2"/>
  <c r="D20" i="2"/>
  <c r="J20" i="2"/>
  <c r="C20" i="2"/>
  <c r="E20" i="2"/>
  <c r="L12" i="1"/>
  <c r="L13" i="1" s="1"/>
  <c r="L14" i="1" s="1"/>
  <c r="L25" i="1" s="1"/>
  <c r="L11" i="1"/>
  <c r="L10" i="1"/>
  <c r="N11" i="1" s="1"/>
  <c r="L6" i="1"/>
  <c r="L4" i="1"/>
  <c r="L23" i="1" s="1"/>
  <c r="A1" i="3"/>
  <c r="A1" i="2"/>
  <c r="A1" i="4" s="1"/>
  <c r="H23" i="1"/>
  <c r="I23" i="1"/>
  <c r="J23" i="1"/>
  <c r="L5" i="1"/>
  <c r="M11" i="1"/>
  <c r="E1" i="2" l="1"/>
  <c r="J14" i="1"/>
  <c r="F14" i="1"/>
  <c r="M5" i="11"/>
  <c r="L5" i="11"/>
  <c r="E17" i="8"/>
  <c r="E12" i="8"/>
  <c r="E11" i="11" s="1"/>
  <c r="G17" i="8"/>
  <c r="G12" i="8"/>
  <c r="G11" i="11" s="1"/>
  <c r="I17" i="8"/>
  <c r="I12" i="8"/>
  <c r="I11" i="11" s="1"/>
  <c r="H17" i="8"/>
  <c r="H12" i="8"/>
  <c r="H11" i="11" s="1"/>
  <c r="L17" i="11"/>
  <c r="M17" i="11"/>
  <c r="E37" i="11"/>
  <c r="G37" i="11"/>
  <c r="I37" i="11"/>
  <c r="D35" i="11"/>
  <c r="M28" i="11"/>
  <c r="L28" i="11"/>
  <c r="D34" i="11"/>
  <c r="L27" i="11"/>
  <c r="M27" i="11"/>
  <c r="L31" i="11"/>
  <c r="M31" i="11"/>
  <c r="H37" i="11"/>
  <c r="F17" i="8"/>
  <c r="F18" i="8" s="1"/>
  <c r="F12" i="11" s="1"/>
  <c r="F12" i="8"/>
  <c r="F11" i="11" s="1"/>
  <c r="J17" i="8"/>
  <c r="J18" i="8" s="1"/>
  <c r="J12" i="11" s="1"/>
  <c r="J12" i="8"/>
  <c r="J11" i="11" s="1"/>
  <c r="M18" i="11"/>
  <c r="L18" i="11"/>
  <c r="D17" i="8"/>
  <c r="D18" i="8" s="1"/>
  <c r="D12" i="11" s="1"/>
  <c r="D12" i="8"/>
  <c r="D11" i="11" s="1"/>
  <c r="F37" i="11"/>
  <c r="J37" i="11"/>
  <c r="M39" i="11"/>
  <c r="L39" i="11"/>
  <c r="M30" i="11"/>
  <c r="L30" i="11"/>
  <c r="D36" i="11"/>
  <c r="L29" i="11"/>
  <c r="M29" i="11"/>
  <c r="E26" i="8"/>
  <c r="E18" i="8"/>
  <c r="E12" i="11" s="1"/>
  <c r="G26" i="8"/>
  <c r="H35" i="14" s="1"/>
  <c r="G18" i="8"/>
  <c r="G12" i="11" s="1"/>
  <c r="I26" i="8"/>
  <c r="J35" i="14" s="1"/>
  <c r="I18" i="8"/>
  <c r="I12" i="11" s="1"/>
  <c r="H26" i="8"/>
  <c r="H18" i="8"/>
  <c r="H12" i="11" s="1"/>
  <c r="K32" i="8"/>
  <c r="K27" i="8"/>
  <c r="K30" i="8"/>
  <c r="F26" i="8"/>
  <c r="G35" i="14" s="1"/>
  <c r="J26" i="8"/>
  <c r="D26" i="8"/>
  <c r="D7" i="11" s="1"/>
  <c r="L19" i="1"/>
  <c r="L24" i="1" s="1"/>
  <c r="B16" i="2"/>
  <c r="B23" i="2"/>
  <c r="B14" i="1"/>
  <c r="H14" i="1"/>
  <c r="I16" i="2"/>
  <c r="G16" i="2"/>
  <c r="K24" i="2"/>
  <c r="I24" i="2"/>
  <c r="G24" i="2"/>
  <c r="E24" i="2"/>
  <c r="D13" i="1"/>
  <c r="E13" i="1" s="1"/>
  <c r="I14" i="1"/>
  <c r="K25" i="1" s="1"/>
  <c r="M25" i="1" s="1"/>
  <c r="M14" i="1" s="1"/>
  <c r="E14" i="1"/>
  <c r="K24" i="1"/>
  <c r="L9" i="1"/>
  <c r="L8" i="1"/>
  <c r="N8" i="1" s="1"/>
  <c r="C24" i="2"/>
  <c r="J23" i="2"/>
  <c r="J24" i="2"/>
  <c r="H24" i="2"/>
  <c r="F24" i="2"/>
  <c r="D24" i="2"/>
  <c r="J25" i="1"/>
  <c r="M24" i="1"/>
  <c r="M9" i="1"/>
  <c r="N9" i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J7" i="11" l="1"/>
  <c r="K35" i="14"/>
  <c r="F7" i="11"/>
  <c r="D6" i="11"/>
  <c r="I4" i="12" a="1"/>
  <c r="M8" i="1"/>
  <c r="H7" i="11"/>
  <c r="I35" i="14"/>
  <c r="J45" i="14"/>
  <c r="J47" i="14" s="1"/>
  <c r="J51" i="14" s="1"/>
  <c r="J58" i="14" s="1"/>
  <c r="J37" i="14"/>
  <c r="J59" i="14" s="1"/>
  <c r="H45" i="14"/>
  <c r="H47" i="14" s="1"/>
  <c r="H51" i="14" s="1"/>
  <c r="H37" i="14"/>
  <c r="H59" i="14" s="1"/>
  <c r="L12" i="11"/>
  <c r="M12" i="11"/>
  <c r="I7" i="11"/>
  <c r="G7" i="11"/>
  <c r="E7" i="11"/>
  <c r="M11" i="11"/>
  <c r="L11" i="11"/>
  <c r="L35" i="11"/>
  <c r="M35" i="11"/>
  <c r="M36" i="11"/>
  <c r="L36" i="11"/>
  <c r="D25" i="11"/>
  <c r="D21" i="11"/>
  <c r="D13" i="11"/>
  <c r="J21" i="11"/>
  <c r="J25" i="11"/>
  <c r="J6" i="11"/>
  <c r="J13" i="11"/>
  <c r="J19" i="11" s="1"/>
  <c r="F21" i="11"/>
  <c r="F25" i="11"/>
  <c r="F6" i="11"/>
  <c r="F13" i="11"/>
  <c r="F19" i="11" s="1"/>
  <c r="D37" i="11"/>
  <c r="M34" i="11"/>
  <c r="L34" i="11"/>
  <c r="H21" i="11"/>
  <c r="H25" i="11"/>
  <c r="H6" i="11"/>
  <c r="H13" i="11"/>
  <c r="H19" i="11" s="1"/>
  <c r="I25" i="11"/>
  <c r="I6" i="11"/>
  <c r="I21" i="11"/>
  <c r="I13" i="11"/>
  <c r="I19" i="11" s="1"/>
  <c r="G25" i="11"/>
  <c r="G6" i="11"/>
  <c r="G21" i="11"/>
  <c r="G13" i="11"/>
  <c r="G19" i="11" s="1"/>
  <c r="E25" i="11"/>
  <c r="E6" i="11"/>
  <c r="E21" i="11"/>
  <c r="E13" i="11"/>
  <c r="E19" i="11" s="1"/>
  <c r="K33" i="8"/>
  <c r="K38" i="8"/>
  <c r="H27" i="8"/>
  <c r="H14" i="11" s="1"/>
  <c r="H32" i="8"/>
  <c r="H30" i="8"/>
  <c r="I32" i="8"/>
  <c r="I27" i="8"/>
  <c r="I14" i="11" s="1"/>
  <c r="I30" i="8"/>
  <c r="G32" i="8"/>
  <c r="G30" i="8"/>
  <c r="G27" i="8"/>
  <c r="G14" i="11" s="1"/>
  <c r="E32" i="8"/>
  <c r="E27" i="8"/>
  <c r="E14" i="11" s="1"/>
  <c r="E30" i="8"/>
  <c r="D27" i="8"/>
  <c r="D14" i="11" s="1"/>
  <c r="D32" i="8"/>
  <c r="D30" i="8"/>
  <c r="J27" i="8"/>
  <c r="J14" i="11" s="1"/>
  <c r="J30" i="8"/>
  <c r="J32" i="8"/>
  <c r="F27" i="8"/>
  <c r="F14" i="11" s="1"/>
  <c r="F30" i="8"/>
  <c r="F32" i="8"/>
  <c r="H24" i="1"/>
  <c r="N23" i="1"/>
  <c r="N4" i="1" s="1"/>
  <c r="D14" i="1"/>
  <c r="H25" i="1" s="1"/>
  <c r="N25" i="1" s="1"/>
  <c r="N14" i="1" s="1"/>
  <c r="I24" i="1"/>
  <c r="N24" i="1" s="1"/>
  <c r="N6" i="1" s="1"/>
  <c r="M6" i="1"/>
  <c r="M10" i="1" s="1"/>
  <c r="M12" i="1" s="1"/>
  <c r="M13" i="1" s="1"/>
  <c r="M15" i="1" s="1"/>
  <c r="D23" i="11" l="1"/>
  <c r="D8" i="11"/>
  <c r="H58" i="14"/>
  <c r="H61" i="14" s="1"/>
  <c r="J61" i="14"/>
  <c r="I4" i="12"/>
  <c r="I10" i="12"/>
  <c r="I9" i="12"/>
  <c r="I5" i="12"/>
  <c r="J5" i="12" s="1"/>
  <c r="I8" i="12"/>
  <c r="I11" i="12"/>
  <c r="J11" i="12" s="1"/>
  <c r="I7" i="12"/>
  <c r="I6" i="12"/>
  <c r="J6" i="12" s="1"/>
  <c r="G45" i="14"/>
  <c r="G47" i="14" s="1"/>
  <c r="G37" i="14"/>
  <c r="K45" i="14"/>
  <c r="K47" i="14" s="1"/>
  <c r="K51" i="14" s="1"/>
  <c r="K58" i="14" s="1"/>
  <c r="K37" i="14"/>
  <c r="K59" i="14" s="1"/>
  <c r="I45" i="14"/>
  <c r="I47" i="14" s="1"/>
  <c r="I51" i="14" s="1"/>
  <c r="I58" i="14" s="1"/>
  <c r="I61" i="14" s="1"/>
  <c r="I37" i="14"/>
  <c r="I59" i="14" s="1"/>
  <c r="J23" i="11"/>
  <c r="J8" i="11"/>
  <c r="E8" i="11"/>
  <c r="E23" i="11"/>
  <c r="H23" i="11"/>
  <c r="H8" i="11"/>
  <c r="L6" i="11"/>
  <c r="M6" i="11"/>
  <c r="L37" i="11"/>
  <c r="M37" i="11"/>
  <c r="M21" i="11"/>
  <c r="L21" i="11"/>
  <c r="I8" i="11"/>
  <c r="I23" i="11"/>
  <c r="F23" i="11"/>
  <c r="F8" i="11"/>
  <c r="L14" i="11"/>
  <c r="M14" i="11"/>
  <c r="G8" i="11"/>
  <c r="G23" i="11"/>
  <c r="D19" i="11"/>
  <c r="M13" i="11"/>
  <c r="L13" i="11"/>
  <c r="M25" i="11"/>
  <c r="L25" i="11"/>
  <c r="M7" i="11"/>
  <c r="L7" i="11"/>
  <c r="K44" i="8"/>
  <c r="K42" i="8"/>
  <c r="F33" i="8"/>
  <c r="F15" i="11" s="1"/>
  <c r="F38" i="8"/>
  <c r="G33" i="8"/>
  <c r="G15" i="11" s="1"/>
  <c r="G38" i="8"/>
  <c r="J33" i="8"/>
  <c r="J15" i="11" s="1"/>
  <c r="J38" i="8"/>
  <c r="D33" i="8"/>
  <c r="D15" i="11" s="1"/>
  <c r="D38" i="8"/>
  <c r="E33" i="8"/>
  <c r="E15" i="11" s="1"/>
  <c r="E38" i="8"/>
  <c r="I33" i="8"/>
  <c r="I15" i="11" s="1"/>
  <c r="I38" i="8"/>
  <c r="H33" i="8"/>
  <c r="H15" i="11" s="1"/>
  <c r="H38" i="8"/>
  <c r="N10" i="1"/>
  <c r="N12" i="1" s="1"/>
  <c r="N13" i="1" s="1"/>
  <c r="N15" i="1" s="1"/>
  <c r="N5" i="1"/>
  <c r="M5" i="1"/>
  <c r="J7" i="12" l="1"/>
  <c r="K61" i="14"/>
  <c r="K63" i="14" s="1"/>
  <c r="J10" i="12"/>
  <c r="K54" i="14"/>
  <c r="F12" i="22" s="1"/>
  <c r="N4" i="12" a="1"/>
  <c r="J8" i="12"/>
  <c r="J9" i="12"/>
  <c r="I15" i="12"/>
  <c r="K53" i="14"/>
  <c r="K64" i="14"/>
  <c r="F20" i="22" s="1"/>
  <c r="G6" i="22" s="1"/>
  <c r="L23" i="11"/>
  <c r="L19" i="11"/>
  <c r="M19" i="11"/>
  <c r="M23" i="11"/>
  <c r="M15" i="11"/>
  <c r="L15" i="11"/>
  <c r="I14" i="12"/>
  <c r="I12" i="12"/>
  <c r="J12" i="12" s="1"/>
  <c r="I13" i="12"/>
  <c r="L8" i="11"/>
  <c r="M8" i="11"/>
  <c r="H44" i="8"/>
  <c r="H22" i="11" s="1"/>
  <c r="H24" i="11" s="1"/>
  <c r="H42" i="8"/>
  <c r="H39" i="8"/>
  <c r="I42" i="8"/>
  <c r="I44" i="8" s="1"/>
  <c r="I22" i="11" s="1"/>
  <c r="I24" i="11" s="1"/>
  <c r="I39" i="8"/>
  <c r="E42" i="8"/>
  <c r="E44" i="8" s="1"/>
  <c r="E22" i="11" s="1"/>
  <c r="E24" i="11" s="1"/>
  <c r="E39" i="8"/>
  <c r="D42" i="8"/>
  <c r="D44" i="8" s="1"/>
  <c r="D22" i="11" s="1"/>
  <c r="J42" i="8"/>
  <c r="J44" i="8" s="1"/>
  <c r="J22" i="11" s="1"/>
  <c r="J24" i="11" s="1"/>
  <c r="J39" i="8"/>
  <c r="G44" i="8"/>
  <c r="G22" i="11" s="1"/>
  <c r="G24" i="11" s="1"/>
  <c r="G42" i="8"/>
  <c r="G39" i="8"/>
  <c r="F42" i="8"/>
  <c r="F44" i="8" s="1"/>
  <c r="F22" i="11" s="1"/>
  <c r="F24" i="11" s="1"/>
  <c r="F39" i="8"/>
  <c r="K39" i="8"/>
  <c r="G12" i="22" l="1"/>
  <c r="H12" i="22" s="1"/>
  <c r="I12" i="22" s="1"/>
  <c r="J12" i="22" s="1"/>
  <c r="F14" i="22"/>
  <c r="G10" i="22"/>
  <c r="G14" i="22" s="1"/>
  <c r="G18" i="22" s="1"/>
  <c r="H6" i="22"/>
  <c r="J13" i="12"/>
  <c r="J14" i="12"/>
  <c r="J15" i="12"/>
  <c r="N4" i="12"/>
  <c r="N9" i="12"/>
  <c r="N5" i="12"/>
  <c r="O5" i="12" s="1"/>
  <c r="N8" i="12"/>
  <c r="N11" i="12"/>
  <c r="N7" i="12"/>
  <c r="N10" i="12"/>
  <c r="O10" i="12" s="1"/>
  <c r="N6" i="12"/>
  <c r="O6" i="12" s="1"/>
  <c r="D24" i="11"/>
  <c r="L22" i="11"/>
  <c r="M22" i="11"/>
  <c r="I6" i="22" l="1"/>
  <c r="H10" i="22"/>
  <c r="H14" i="22" s="1"/>
  <c r="H18" i="22" s="1"/>
  <c r="O11" i="12"/>
  <c r="N12" i="12"/>
  <c r="O12" i="12" s="1"/>
  <c r="N13" i="12"/>
  <c r="N14" i="12"/>
  <c r="N15" i="12"/>
  <c r="O7" i="12"/>
  <c r="O8" i="12"/>
  <c r="O9" i="12"/>
  <c r="L24" i="11"/>
  <c r="M24" i="11"/>
  <c r="O15" i="12" l="1"/>
  <c r="O13" i="12"/>
  <c r="J6" i="22"/>
  <c r="I10" i="22"/>
  <c r="I14" i="22" s="1"/>
  <c r="I18" i="22" s="1"/>
  <c r="O14" i="12"/>
  <c r="K6" i="22" l="1"/>
  <c r="K10" i="22" s="1"/>
  <c r="K14" i="22" s="1"/>
  <c r="J10" i="22"/>
  <c r="J14" i="22" s="1"/>
  <c r="J18" i="22" s="1"/>
  <c r="K18" i="22" l="1"/>
  <c r="F36" i="22" s="1"/>
  <c r="F27" i="22"/>
  <c r="F31" i="22" s="1"/>
  <c r="F37" i="22" s="1"/>
  <c r="F38" i="22" s="1"/>
  <c r="F42" i="22" s="1"/>
  <c r="F44" i="22" s="1"/>
  <c r="H26" i="22" s="1"/>
</calcChain>
</file>

<file path=xl/sharedStrings.xml><?xml version="1.0" encoding="utf-8"?>
<sst xmlns="http://schemas.openxmlformats.org/spreadsheetml/2006/main" count="657" uniqueCount="415">
  <si>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</si>
  <si>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</si>
  <si>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</si>
  <si>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</si>
  <si>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</si>
  <si>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</si>
  <si>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</si>
  <si>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</si>
  <si>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</si>
  <si>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</si>
  <si>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</si>
  <si>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</si>
  <si>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</si>
  <si>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</si>
  <si>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</si>
  <si>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</si>
  <si>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</si>
  <si>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</si>
  <si>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</si>
  <si>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</si>
  <si>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</si>
  <si>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</si>
  <si>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</si>
  <si>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</si>
  <si>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</si>
  <si>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</si>
  <si>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</si>
  <si>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</si>
  <si>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</si>
  <si>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</si>
  <si>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</si>
  <si>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</si>
  <si>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</si>
  <si>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</si>
  <si>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</si>
  <si>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</si>
  <si>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</si>
  <si>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</si>
  <si>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</si>
  <si>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</si>
  <si>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</si>
  <si>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</si>
  <si>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</si>
  <si>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</si>
  <si>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</si>
  <si>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</si>
  <si>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</si>
  <si>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</si>
  <si>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</si>
  <si>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</si>
  <si>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</si>
  <si>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</si>
  <si>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</si>
  <si>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</si>
  <si>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</si>
  <si>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</si>
  <si>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</si>
  <si>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</si>
  <si>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</si>
  <si>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</si>
  <si>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</si>
  <si>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</si>
  <si>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</si>
  <si>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HCL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</si>
  <si>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</si>
  <si>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</si>
  <si>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</si>
  <si>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</si>
  <si>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</si>
  <si>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</si>
  <si>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</si>
  <si>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</si>
  <si>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</si>
  <si>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</si>
  <si>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</si>
  <si>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</si>
  <si>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</si>
  <si>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</si>
  <si>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</si>
  <si>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</si>
  <si>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</si>
  <si>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</si>
  <si>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</si>
  <si>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</si>
  <si>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</si>
  <si>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</si>
  <si>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</si>
  <si>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</si>
  <si>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</si>
  <si>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</si>
  <si>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</si>
  <si>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</si>
  <si>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</si>
  <si>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</si>
  <si>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</si>
  <si>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#</t>
  </si>
  <si>
    <t>Sales growth</t>
  </si>
  <si>
    <t>COGS</t>
  </si>
  <si>
    <t>COGS% sales</t>
  </si>
  <si>
    <t>Gross profit</t>
  </si>
  <si>
    <t>SG&amp;A</t>
  </si>
  <si>
    <t>SG&amp;A exp % sales</t>
  </si>
  <si>
    <t>EBITDA</t>
  </si>
  <si>
    <t>EBITDA % margins</t>
  </si>
  <si>
    <t>Interest % sales</t>
  </si>
  <si>
    <t>Depreciation % sales</t>
  </si>
  <si>
    <t>EBT</t>
  </si>
  <si>
    <t>EBT % sales</t>
  </si>
  <si>
    <t>Effective tax rate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</si>
  <si>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</si>
  <si>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</si>
  <si>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</si>
  <si>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</si>
  <si>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</si>
  <si>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</si>
  <si>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</si>
  <si>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Total non-current assets</t>
  </si>
  <si>
    <t>Total current assets</t>
  </si>
  <si>
    <t>Total assets</t>
  </si>
  <si>
    <t>Total liabilities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</si>
  <si>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</si>
  <si>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</si>
  <si>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</si>
  <si>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</si>
  <si>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</si>
  <si>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</si>
  <si>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</si>
  <si>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</si>
  <si>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</si>
  <si>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</si>
  <si>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</si>
  <si>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</si>
  <si>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</si>
  <si>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</si>
  <si>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</si>
  <si>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</si>
  <si>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</si>
  <si>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</si>
  <si>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</si>
  <si>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</si>
  <si>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</si>
  <si>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</si>
  <si>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</si>
  <si>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</si>
  <si>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</si>
  <si>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</si>
  <si>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</si>
  <si>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</si>
  <si>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</si>
  <si>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</si>
  <si>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</si>
  <si>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</si>
  <si>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Investing activity</t>
  </si>
  <si>
    <t>Cash from investing activity</t>
  </si>
  <si>
    <t>Financing activity</t>
  </si>
  <si>
    <t>Cash from financing activity</t>
  </si>
  <si>
    <t>Net cash flow</t>
  </si>
  <si>
    <t>Gross margins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</si>
  <si>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</si>
  <si>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</si>
  <si>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</si>
  <si>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</si>
  <si>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</si>
  <si>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</si>
  <si>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</si>
  <si>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</si>
  <si>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</si>
  <si>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Operating income% sales</t>
  </si>
  <si>
    <t>Return on capital employed</t>
  </si>
  <si>
    <t>Retained earning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</si>
  <si>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</si>
  <si>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</si>
  <si>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</si>
  <si>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</si>
  <si>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</si>
  <si>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</si>
  <si>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</si>
  <si>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</si>
  <si>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Debtor days</t>
  </si>
  <si>
    <t>Payable days</t>
  </si>
  <si>
    <t>Inventory days</t>
  </si>
  <si>
    <t>Cash conversion cycle</t>
  </si>
  <si>
    <t>(in days)</t>
  </si>
  <si>
    <t>CFO/Sales</t>
  </si>
  <si>
    <t>CFO/total asset</t>
  </si>
  <si>
    <t>CFO/total debt</t>
  </si>
  <si>
    <t>Mean</t>
  </si>
  <si>
    <t>Median</t>
  </si>
  <si>
    <t>Trend</t>
  </si>
  <si>
    <t>Year weight</t>
  </si>
  <si>
    <t>Year</t>
  </si>
  <si>
    <t>EBITDA growth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</si>
  <si>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</si>
  <si>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</si>
  <si>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</si>
  <si>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</si>
  <si>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</si>
  <si>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</si>
  <si>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</si>
  <si>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</si>
  <si>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</si>
  <si>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</si>
  <si>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</si>
  <si>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</si>
  <si>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</si>
  <si>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</si>
  <si>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</si>
  <si>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</si>
  <si>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</si>
  <si>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</si>
  <si>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</si>
  <si>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</si>
  <si>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</si>
  <si>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</si>
  <si>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</t>
  </si>
  <si>
    <t>Cash Equivalents</t>
  </si>
  <si>
    <t>Short term loans</t>
  </si>
  <si>
    <t>Other asset items</t>
  </si>
  <si>
    <t>Total Assets</t>
  </si>
  <si>
    <t>Fixed Assets -</t>
  </si>
  <si>
    <t>Particulars</t>
  </si>
  <si>
    <t>Calculation of ROIC</t>
  </si>
  <si>
    <t>Current assets</t>
  </si>
  <si>
    <t>Current liabilities</t>
  </si>
  <si>
    <t>Total Current liabilities</t>
  </si>
  <si>
    <t>Net working capitals</t>
  </si>
  <si>
    <t>Non Current asset</t>
  </si>
  <si>
    <t>Net non current asset</t>
  </si>
  <si>
    <t>Invested Capital</t>
  </si>
  <si>
    <t>EBIT</t>
  </si>
  <si>
    <t>ROIC</t>
  </si>
  <si>
    <t>Calculation of Reinvestment rate</t>
  </si>
  <si>
    <t>Net Capex</t>
  </si>
  <si>
    <t>Cash from Operating Activity -</t>
  </si>
  <si>
    <t>Exceptional CF items</t>
  </si>
  <si>
    <t>Cash from Investing Activity -</t>
  </si>
  <si>
    <t>Cash from Financing Activity -</t>
  </si>
  <si>
    <t>Change in working capital</t>
  </si>
  <si>
    <t>Marginal tax rate</t>
  </si>
  <si>
    <t>Reinvestment rate</t>
  </si>
  <si>
    <t xml:space="preserve">Reinvestment </t>
  </si>
  <si>
    <t>EBIT(1-T)</t>
  </si>
  <si>
    <t>4 year average</t>
  </si>
  <si>
    <t>4 year median</t>
  </si>
  <si>
    <t>Intrinsic Growth</t>
  </si>
  <si>
    <t>Calculation of growth rate</t>
  </si>
  <si>
    <t>Capital WIP</t>
  </si>
  <si>
    <t>HCL Technologies</t>
  </si>
  <si>
    <t>Borrowings -</t>
  </si>
  <si>
    <t>Other Liabilities -</t>
  </si>
  <si>
    <t>Computers</t>
  </si>
  <si>
    <t>Other Assets -</t>
  </si>
  <si>
    <t>BalanceSheet</t>
  </si>
  <si>
    <t>Cash Flow Statement</t>
  </si>
  <si>
    <t xml:space="preserve">Net Cash Flow </t>
  </si>
  <si>
    <t>Comparatives</t>
  </si>
  <si>
    <t>TCS</t>
  </si>
  <si>
    <t>Infosys</t>
  </si>
  <si>
    <t>Wipro</t>
  </si>
  <si>
    <t>LTIMindtree</t>
  </si>
  <si>
    <t>S.No.</t>
  </si>
  <si>
    <t>Name</t>
  </si>
  <si>
    <t>CMP Rs.</t>
  </si>
  <si>
    <t xml:space="preserve">Mar Cap Rs.Cr. </t>
  </si>
  <si>
    <t>Debt Rs.Cr.</t>
  </si>
  <si>
    <t>Debt / Eq</t>
  </si>
  <si>
    <t>Return on markets</t>
  </si>
  <si>
    <t>Annual</t>
  </si>
  <si>
    <t>Average return</t>
  </si>
  <si>
    <t>Dividend yeild</t>
  </si>
  <si>
    <t>Total market return</t>
  </si>
  <si>
    <r>
      <t>1.38%</t>
    </r>
    <r>
      <rPr>
        <vertAlign val="superscript"/>
        <sz val="11"/>
        <color theme="1"/>
        <rFont val="Calibri"/>
        <family val="2"/>
        <scheme val="minor"/>
      </rPr>
      <t>1</t>
    </r>
  </si>
  <si>
    <t>Date</t>
  </si>
  <si>
    <t>Closing Price</t>
  </si>
  <si>
    <t>Returns</t>
  </si>
  <si>
    <t>NIFTY Returns</t>
  </si>
  <si>
    <t>Regression Beta - 2 Years Weekly</t>
  </si>
  <si>
    <t>Beta Drifting</t>
  </si>
  <si>
    <t>Levered Raw Beta</t>
  </si>
  <si>
    <t>Raw Beta Weight</t>
  </si>
  <si>
    <t xml:space="preserve">Market Beta </t>
  </si>
  <si>
    <t>Market Beta Weight</t>
  </si>
  <si>
    <t>Adjusted 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</si>
  <si>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</si>
  <si>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</si>
  <si>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</si>
  <si>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</si>
  <si>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</si>
  <si>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</si>
  <si>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</si>
  <si>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</si>
  <si>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</si>
  <si>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</si>
  <si>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</si>
  <si>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</si>
  <si>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</si>
  <si>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</si>
  <si>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</si>
  <si>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</si>
  <si>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</si>
  <si>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</si>
  <si>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</si>
  <si>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</si>
  <si>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</si>
  <si>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</si>
  <si>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</si>
  <si>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</si>
  <si>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1</t>
  </si>
  <si>
    <t>Beta 2</t>
  </si>
  <si>
    <t>Weighted Average Cost of Capital</t>
  </si>
  <si>
    <t>All figures are in INR unless stated otherwise.</t>
  </si>
  <si>
    <t>Peer Comps</t>
  </si>
  <si>
    <t>Debt/</t>
  </si>
  <si>
    <t>Levered</t>
  </si>
  <si>
    <t>Unlevered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</si>
  <si>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</si>
  <si>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</si>
  <si>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</si>
  <si>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</si>
  <si>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</si>
  <si>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</si>
  <si>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</si>
  <si>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</si>
  <si>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</si>
  <si>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Average</t>
  </si>
  <si>
    <t>Cost of Debt</t>
  </si>
  <si>
    <t>Cost of Equity</t>
  </si>
  <si>
    <t>Pre-tax Cost of Debt</t>
  </si>
  <si>
    <t>Risk Free Rate</t>
  </si>
  <si>
    <t>Tax Rate</t>
  </si>
  <si>
    <t>Equity Risk Premium</t>
  </si>
  <si>
    <t>After Tax Cost of Debt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</si>
  <si>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</si>
  <si>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</si>
  <si>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 xml:space="preserve">Levered Beta </t>
  </si>
  <si>
    <t>Current</t>
  </si>
  <si>
    <t>Target</t>
  </si>
  <si>
    <t>Comps Median Unlevered Beta</t>
  </si>
  <si>
    <t xml:space="preserve">Target Debt/ Equity  </t>
  </si>
  <si>
    <t>Total Capitalization</t>
  </si>
  <si>
    <t>Levered Beta</t>
  </si>
  <si>
    <t>Debt / Equity</t>
  </si>
  <si>
    <t>1. Tax Rate considered as Marginal Tax Rate for the country</t>
  </si>
  <si>
    <t>2. Levered Beta is based on 5 year monthly data</t>
  </si>
  <si>
    <t>Equity Weight</t>
  </si>
  <si>
    <t>3. Unlevered Beta = Levered Beta/(1+(1-Tax Rate) x Debt/Equity)</t>
  </si>
  <si>
    <t>3. Levered Beta = Unlevered Beta/(1+(1-Tax Rate) x Debt/Equity)</t>
  </si>
  <si>
    <t>Debt Weight</t>
  </si>
  <si>
    <t>WACC</t>
  </si>
  <si>
    <t>Total Asset</t>
  </si>
  <si>
    <t>No. Eq. Shares Cr.</t>
  </si>
  <si>
    <t>Cash End Rs.Cr.</t>
  </si>
  <si>
    <t>Sales Rs.Cr.</t>
  </si>
  <si>
    <t>NP 12M Rs.Cr.</t>
  </si>
  <si>
    <t>Tech Mahindra</t>
  </si>
  <si>
    <t>L&amp;T Technology</t>
  </si>
  <si>
    <t>Mphasis</t>
  </si>
  <si>
    <t>Median: 8 Co.</t>
  </si>
  <si>
    <t>Net Debt</t>
  </si>
  <si>
    <t>EV</t>
  </si>
  <si>
    <t>Comparable Company Valuation</t>
  </si>
  <si>
    <t>Market Data</t>
  </si>
  <si>
    <t>Valuation</t>
  </si>
  <si>
    <t>Company</t>
  </si>
  <si>
    <t>Ticker</t>
  </si>
  <si>
    <t>Share Price</t>
  </si>
  <si>
    <t>Shares Outstanding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</si>
  <si>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</si>
  <si>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</si>
  <si>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</si>
  <si>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</si>
  <si>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</si>
  <si>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</si>
  <si>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</si>
  <si>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Amount in Crores</t>
  </si>
  <si>
    <t>High</t>
  </si>
  <si>
    <r>
      <t>75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Percentile</t>
    </r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</si>
  <si>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</t>
    </r>
  </si>
  <si>
    <t>Low</t>
  </si>
  <si>
    <t>Sunpharma Comparable valuation</t>
  </si>
  <si>
    <t>Implied Enterprise value</t>
  </si>
  <si>
    <t>Implied Market value</t>
  </si>
  <si>
    <t>Shares outstanding</t>
  </si>
  <si>
    <t>Implied Value per share</t>
  </si>
  <si>
    <t>Source : The Valuation school, Screener.in</t>
  </si>
  <si>
    <t>Calculation of PV of FCFF</t>
  </si>
  <si>
    <t>EBIT (1-T)</t>
  </si>
  <si>
    <t>Less: Reinvestment Rate</t>
  </si>
  <si>
    <t>Free Cash Flow to Firm</t>
  </si>
  <si>
    <t>Discounting Factor</t>
  </si>
  <si>
    <t xml:space="preserve">PV of FCFF 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</si>
  <si>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</si>
  <si>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</si>
  <si>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</si>
  <si>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</si>
  <si>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</si>
  <si>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</si>
  <si>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Calculation of Enterprise Value</t>
  </si>
  <si>
    <t>PV of FCFF</t>
  </si>
  <si>
    <t>PV of Terminal Value</t>
  </si>
  <si>
    <t>Value of Operating Asset</t>
  </si>
  <si>
    <t>Add: Cash</t>
  </si>
  <si>
    <t>Less: Debt</t>
  </si>
  <si>
    <t>Value of Equity</t>
  </si>
  <si>
    <t>No. of Shares</t>
  </si>
  <si>
    <t>Value per Share</t>
  </si>
  <si>
    <t>Sensitivity Analysis</t>
  </si>
  <si>
    <t>Football Analysis</t>
  </si>
  <si>
    <t>Comps</t>
  </si>
  <si>
    <t>DCF Bear</t>
  </si>
  <si>
    <t>DCF Base</t>
  </si>
  <si>
    <t>DCF Bull</t>
  </si>
  <si>
    <t>52w h/l</t>
  </si>
  <si>
    <t>Open Low</t>
  </si>
  <si>
    <t xml:space="preserve">Open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</si>
</sst>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0_);\(#,##0.00_);\-"/>
    <numFmt numFmtId="167" formatCode="#,##0.0_);\(#,##0.0\);\-"/>
    <numFmt numFmtId="168" formatCode="0.00&quot;x&quot;"/>
    <numFmt numFmtId="169" formatCode="0&quot;A&quot;"/>
    <numFmt numFmtId="170" formatCode="0&quot;E&quot;"/>
    <numFmt numFmtId="171" formatCode="#,##0.0"/>
    <numFmt numFmtId="172" formatCode="#,##0.00;\(#,##0.00\);\-"/>
    <numFmt numFmtId="173" formatCode="#,##0.0;\(#,##0.0\);\-"/>
    <numFmt numFmtId="174" formatCode="0.0\x"/>
    <numFmt numFmtId="175" formatCode="mmm\-yy\ \A"/>
    <numFmt numFmtId="176" formatCode="mmm\-yy\ \F"/>
    <numFmt numFmtId="177" formatCode="0.000"/>
    <numFmt numFmtId="178" formatCode="0.0%"/>
    <numFmt numFmtId="179" formatCode="0.0"/>
  </numFmts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rgb="FF22222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0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3333FF"/>
      <name val="calibri"/>
      <family val="2"/>
    </font>
    <font>
      <i/>
      <sz val="9"/>
      <color theme="1"/>
      <name val="calibri"/>
      <family val="2"/>
    </font>
    <font>
      <sz val="11"/>
      <color rgb="FF3333F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sz val="11"/>
      <color theme="0"/>
      <name val="calibri"/>
      <family val="2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3" tint="0.3999755851924192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1C50A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46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6" applyNumberFormat="0" applyFill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4" fillId="0" borderId="0" applyNumberFormat="0" applyFill="0" applyBorder="0" applyAlignment="0" applyProtection="0"/>
    <xf numFmtId="0" fontId="35" fillId="17" borderId="0" applyNumberFormat="0" applyBorder="0" applyAlignment="0" applyProtection="0"/>
    <xf numFmtId="0" fontId="36" fillId="18" borderId="0" applyNumberFormat="0" applyBorder="0" applyAlignment="0" applyProtection="0"/>
    <xf numFmtId="0" fontId="37" fillId="19" borderId="0" applyNumberFormat="0" applyBorder="0" applyAlignment="0" applyProtection="0"/>
    <xf numFmtId="0" fontId="38" fillId="20" borderId="29" applyNumberFormat="0" applyAlignment="0" applyProtection="0"/>
    <xf numFmtId="0" fontId="39" fillId="21" borderId="30" applyNumberFormat="0" applyAlignment="0" applyProtection="0"/>
    <xf numFmtId="0" fontId="40" fillId="21" borderId="29" applyNumberFormat="0" applyAlignment="0" applyProtection="0"/>
    <xf numFmtId="0" fontId="41" fillId="0" borderId="31" applyNumberFormat="0" applyFill="0" applyAlignment="0" applyProtection="0"/>
    <xf numFmtId="0" fontId="2" fillId="22" borderId="32" applyNumberFormat="0" applyAlignment="0" applyProtection="0"/>
    <xf numFmtId="0" fontId="42" fillId="0" borderId="0" applyNumberFormat="0" applyFill="0" applyBorder="0" applyAlignment="0" applyProtection="0"/>
    <xf numFmtId="0" fontId="3" fillId="23" borderId="33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34" applyNumberFormat="0" applyFill="0" applyAlignment="0" applyProtection="0"/>
    <xf numFmtId="0" fontId="5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5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5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5" fillId="44" borderId="0" applyNumberFormat="0" applyBorder="0" applyAlignment="0" applyProtection="0"/>
    <xf numFmtId="164" fontId="3" fillId="0" borderId="0" applyFont="0" applyFill="0" applyBorder="0" applyAlignment="0" applyProtection="0"/>
  </cellStyleXfs>
  <cellXfs count="270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0" fontId="2" fillId="6" borderId="0" xfId="0" applyFont="1" applyFill="1"/>
    <xf numFmtId="165" fontId="2" fillId="6" borderId="0" xfId="0" applyNumberFormat="1" applyFont="1" applyFill="1"/>
    <xf numFmtId="2" fontId="0" fillId="0" borderId="0" xfId="0" applyNumberFormat="1"/>
    <xf numFmtId="10" fontId="0" fillId="0" borderId="0" xfId="6" applyNumberFormat="1" applyFont="1"/>
    <xf numFmtId="3" fontId="0" fillId="0" borderId="0" xfId="0" applyNumberFormat="1"/>
    <xf numFmtId="0" fontId="1" fillId="0" borderId="0" xfId="0" applyFont="1"/>
    <xf numFmtId="168" fontId="0" fillId="0" borderId="0" xfId="0" applyNumberFormat="1"/>
    <xf numFmtId="0" fontId="10" fillId="0" borderId="0" xfId="0" applyFont="1"/>
    <xf numFmtId="0" fontId="0" fillId="0" borderId="2" xfId="0" applyBorder="1"/>
    <xf numFmtId="10" fontId="0" fillId="0" borderId="2" xfId="6" applyNumberFormat="1" applyFont="1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0" fontId="0" fillId="0" borderId="0" xfId="0" applyNumberFormat="1"/>
    <xf numFmtId="0" fontId="0" fillId="0" borderId="0" xfId="0" applyAlignment="1">
      <alignment horizontal="left"/>
    </xf>
    <xf numFmtId="169" fontId="0" fillId="0" borderId="0" xfId="0" applyNumberFormat="1"/>
    <xf numFmtId="171" fontId="0" fillId="0" borderId="0" xfId="0" applyNumberFormat="1"/>
    <xf numFmtId="0" fontId="0" fillId="9" borderId="0" xfId="0" applyFill="1" applyAlignment="1">
      <alignment horizontal="left"/>
    </xf>
    <xf numFmtId="170" fontId="0" fillId="9" borderId="0" xfId="0" applyNumberFormat="1" applyFill="1"/>
    <xf numFmtId="171" fontId="0" fillId="9" borderId="0" xfId="0" applyNumberFormat="1" applyFill="1"/>
    <xf numFmtId="0" fontId="11" fillId="10" borderId="0" xfId="0" applyFont="1" applyFill="1" applyAlignment="1">
      <alignment horizontal="left" vertical="center"/>
    </xf>
    <xf numFmtId="0" fontId="11" fillId="10" borderId="0" xfId="0" applyFont="1" applyFill="1" applyAlignment="1">
      <alignment horizontal="right" vertical="center" wrapText="1"/>
    </xf>
    <xf numFmtId="0" fontId="12" fillId="10" borderId="0" xfId="0" applyFont="1" applyFill="1" applyAlignment="1">
      <alignment horizontal="right" vertical="center" wrapText="1"/>
    </xf>
    <xf numFmtId="3" fontId="11" fillId="10" borderId="0" xfId="0" applyNumberFormat="1" applyFont="1" applyFill="1" applyAlignment="1">
      <alignment horizontal="right" vertical="center" wrapText="1"/>
    </xf>
    <xf numFmtId="0" fontId="2" fillId="8" borderId="0" xfId="0" applyFont="1" applyFill="1"/>
    <xf numFmtId="17" fontId="14" fillId="8" borderId="0" xfId="0" applyNumberFormat="1" applyFont="1" applyFill="1" applyAlignment="1">
      <alignment horizontal="right" vertical="center" wrapText="1"/>
    </xf>
    <xf numFmtId="0" fontId="13" fillId="10" borderId="0" xfId="0" applyFont="1" applyFill="1" applyAlignment="1">
      <alignment horizontal="left" vertical="center"/>
    </xf>
    <xf numFmtId="172" fontId="13" fillId="10" borderId="0" xfId="0" applyNumberFormat="1" applyFont="1" applyFill="1" applyBorder="1" applyAlignment="1">
      <alignment horizontal="right" vertical="center" wrapText="1"/>
    </xf>
    <xf numFmtId="0" fontId="5" fillId="8" borderId="0" xfId="0" applyFont="1" applyFill="1"/>
    <xf numFmtId="17" fontId="15" fillId="8" borderId="0" xfId="0" applyNumberFormat="1" applyFont="1" applyFill="1" applyAlignment="1">
      <alignment horizontal="right" vertical="center" wrapText="1"/>
    </xf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10" fontId="1" fillId="0" borderId="5" xfId="6" applyNumberFormat="1" applyFont="1" applyBorder="1"/>
    <xf numFmtId="173" fontId="0" fillId="0" borderId="0" xfId="0" applyNumberFormat="1"/>
    <xf numFmtId="173" fontId="0" fillId="0" borderId="1" xfId="0" applyNumberFormat="1" applyBorder="1"/>
    <xf numFmtId="173" fontId="1" fillId="0" borderId="4" xfId="0" applyNumberFormat="1" applyFont="1" applyBorder="1"/>
    <xf numFmtId="173" fontId="1" fillId="0" borderId="0" xfId="0" applyNumberFormat="1" applyFont="1"/>
    <xf numFmtId="173" fontId="0" fillId="0" borderId="5" xfId="0" applyNumberFormat="1" applyBorder="1"/>
    <xf numFmtId="173" fontId="1" fillId="0" borderId="6" xfId="0" applyNumberFormat="1" applyFont="1" applyBorder="1"/>
    <xf numFmtId="10" fontId="0" fillId="0" borderId="1" xfId="0" applyNumberFormat="1" applyBorder="1"/>
    <xf numFmtId="0" fontId="1" fillId="0" borderId="7" xfId="0" applyFont="1" applyBorder="1"/>
    <xf numFmtId="10" fontId="1" fillId="0" borderId="7" xfId="6" applyNumberFormat="1" applyFont="1" applyBorder="1"/>
    <xf numFmtId="0" fontId="1" fillId="9" borderId="8" xfId="0" applyFont="1" applyFill="1" applyBorder="1"/>
    <xf numFmtId="10" fontId="1" fillId="9" borderId="9" xfId="0" applyNumberFormat="1" applyFont="1" applyFill="1" applyBorder="1"/>
    <xf numFmtId="0" fontId="1" fillId="9" borderId="10" xfId="0" applyFont="1" applyFill="1" applyBorder="1"/>
    <xf numFmtId="10" fontId="1" fillId="9" borderId="11" xfId="0" applyNumberFormat="1" applyFont="1" applyFill="1" applyBorder="1"/>
    <xf numFmtId="0" fontId="1" fillId="0" borderId="12" xfId="0" applyFont="1" applyBorder="1"/>
    <xf numFmtId="10" fontId="1" fillId="0" borderId="12" xfId="6" applyNumberFormat="1" applyFont="1" applyBorder="1"/>
    <xf numFmtId="0" fontId="0" fillId="0" borderId="12" xfId="0" applyBorder="1"/>
    <xf numFmtId="10" fontId="0" fillId="0" borderId="12" xfId="0" applyNumberFormat="1" applyBorder="1"/>
    <xf numFmtId="10" fontId="0" fillId="0" borderId="5" xfId="0" applyNumberFormat="1" applyBorder="1"/>
    <xf numFmtId="0" fontId="16" fillId="10" borderId="0" xfId="0" applyFont="1" applyFill="1" applyAlignment="1">
      <alignment horizontal="left" vertical="center"/>
    </xf>
    <xf numFmtId="3" fontId="16" fillId="10" borderId="0" xfId="0" applyNumberFormat="1" applyFont="1" applyFill="1" applyAlignment="1">
      <alignment horizontal="right" vertical="center" wrapText="1"/>
    </xf>
    <xf numFmtId="0" fontId="16" fillId="10" borderId="0" xfId="0" applyFont="1" applyFill="1" applyAlignment="1">
      <alignment horizontal="right" vertical="center" wrapText="1"/>
    </xf>
    <xf numFmtId="17" fontId="13" fillId="10" borderId="0" xfId="0" applyNumberFormat="1" applyFont="1" applyFill="1" applyAlignment="1">
      <alignment horizontal="right" vertical="center" wrapText="1"/>
    </xf>
    <xf numFmtId="0" fontId="13" fillId="10" borderId="0" xfId="0" applyFont="1" applyFill="1" applyBorder="1" applyAlignment="1">
      <alignment horizontal="left" vertical="center"/>
    </xf>
    <xf numFmtId="172" fontId="12" fillId="10" borderId="0" xfId="0" applyNumberFormat="1" applyFont="1" applyFill="1" applyBorder="1" applyAlignment="1">
      <alignment horizontal="right" vertical="center" wrapText="1"/>
    </xf>
    <xf numFmtId="0" fontId="11" fillId="10" borderId="0" xfId="0" applyFont="1" applyFill="1" applyBorder="1" applyAlignment="1">
      <alignment horizontal="left" vertical="center"/>
    </xf>
    <xf numFmtId="172" fontId="11" fillId="10" borderId="0" xfId="0" applyNumberFormat="1" applyFont="1" applyFill="1" applyBorder="1" applyAlignment="1">
      <alignment horizontal="right" vertical="center" wrapText="1"/>
    </xf>
    <xf numFmtId="0" fontId="12" fillId="10" borderId="0" xfId="0" applyFont="1" applyFill="1" applyBorder="1" applyAlignment="1">
      <alignment horizontal="left" vertical="center"/>
    </xf>
    <xf numFmtId="3" fontId="11" fillId="10" borderId="0" xfId="0" applyNumberFormat="1" applyFont="1" applyFill="1" applyBorder="1" applyAlignment="1">
      <alignment horizontal="right" vertical="center" wrapText="1"/>
    </xf>
    <xf numFmtId="3" fontId="12" fillId="10" borderId="0" xfId="0" applyNumberFormat="1" applyFont="1" applyFill="1" applyBorder="1" applyAlignment="1">
      <alignment horizontal="right" vertical="center" wrapText="1"/>
    </xf>
    <xf numFmtId="0" fontId="12" fillId="10" borderId="0" xfId="0" applyFont="1" applyFill="1" applyBorder="1" applyAlignment="1">
      <alignment horizontal="right" vertical="center" wrapText="1"/>
    </xf>
    <xf numFmtId="172" fontId="12" fillId="10" borderId="12" xfId="0" applyNumberFormat="1" applyFont="1" applyFill="1" applyBorder="1" applyAlignment="1">
      <alignment horizontal="right" vertical="center" wrapText="1"/>
    </xf>
    <xf numFmtId="172" fontId="11" fillId="10" borderId="12" xfId="0" applyNumberFormat="1" applyFont="1" applyFill="1" applyBorder="1" applyAlignment="1">
      <alignment horizontal="right" vertical="center" wrapText="1"/>
    </xf>
    <xf numFmtId="172" fontId="12" fillId="10" borderId="14" xfId="0" applyNumberFormat="1" applyFont="1" applyFill="1" applyBorder="1" applyAlignment="1">
      <alignment horizontal="right" vertical="center" wrapText="1"/>
    </xf>
    <xf numFmtId="172" fontId="11" fillId="10" borderId="13" xfId="0" applyNumberFormat="1" applyFont="1" applyFill="1" applyBorder="1" applyAlignment="1">
      <alignment horizontal="right" vertical="center" wrapText="1"/>
    </xf>
    <xf numFmtId="172" fontId="12" fillId="10" borderId="15" xfId="0" applyNumberFormat="1" applyFont="1" applyFill="1" applyBorder="1" applyAlignment="1">
      <alignment horizontal="right" vertical="center" wrapText="1"/>
    </xf>
    <xf numFmtId="0" fontId="12" fillId="10" borderId="16" xfId="0" applyFont="1" applyFill="1" applyBorder="1" applyAlignment="1">
      <alignment horizontal="left" vertical="center"/>
    </xf>
    <xf numFmtId="172" fontId="12" fillId="10" borderId="16" xfId="0" applyNumberFormat="1" applyFont="1" applyFill="1" applyBorder="1" applyAlignment="1">
      <alignment horizontal="right" vertical="center" wrapText="1"/>
    </xf>
    <xf numFmtId="0" fontId="11" fillId="10" borderId="16" xfId="0" applyFont="1" applyFill="1" applyBorder="1" applyAlignment="1">
      <alignment horizontal="left" vertical="center"/>
    </xf>
    <xf numFmtId="3" fontId="11" fillId="10" borderId="16" xfId="0" applyNumberFormat="1" applyFont="1" applyFill="1" applyBorder="1" applyAlignment="1">
      <alignment horizontal="right" vertical="center" wrapText="1"/>
    </xf>
    <xf numFmtId="3" fontId="0" fillId="0" borderId="0" xfId="0" applyNumberFormat="1" applyBorder="1"/>
    <xf numFmtId="0" fontId="11" fillId="12" borderId="0" xfId="0" applyFont="1" applyFill="1" applyBorder="1" applyAlignment="1">
      <alignment horizontal="left" vertical="center"/>
    </xf>
    <xf numFmtId="0" fontId="0" fillId="12" borderId="0" xfId="0" applyFill="1" applyBorder="1"/>
    <xf numFmtId="0" fontId="0" fillId="12" borderId="0" xfId="0" applyFill="1"/>
    <xf numFmtId="0" fontId="17" fillId="12" borderId="0" xfId="0" applyFont="1" applyFill="1" applyBorder="1" applyAlignment="1">
      <alignment horizontal="left" vertical="center"/>
    </xf>
    <xf numFmtId="172" fontId="12" fillId="12" borderId="0" xfId="0" applyNumberFormat="1" applyFont="1" applyFill="1" applyBorder="1" applyAlignment="1">
      <alignment horizontal="right" vertical="center" wrapText="1"/>
    </xf>
    <xf numFmtId="0" fontId="18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0" fillId="0" borderId="17" xfId="0" applyBorder="1"/>
    <xf numFmtId="172" fontId="12" fillId="10" borderId="17" xfId="0" applyNumberFormat="1" applyFont="1" applyFill="1" applyBorder="1" applyAlignment="1">
      <alignment horizontal="right" vertical="center" wrapText="1"/>
    </xf>
    <xf numFmtId="0" fontId="0" fillId="0" borderId="18" xfId="0" applyBorder="1"/>
    <xf numFmtId="39" fontId="0" fillId="0" borderId="18" xfId="0" applyNumberFormat="1" applyBorder="1"/>
    <xf numFmtId="0" fontId="0" fillId="8" borderId="0" xfId="0" applyFill="1"/>
    <xf numFmtId="0" fontId="1" fillId="12" borderId="19" xfId="0" applyFont="1" applyFill="1" applyBorder="1"/>
    <xf numFmtId="10" fontId="0" fillId="12" borderId="0" xfId="6" applyNumberFormat="1" applyFont="1" applyFill="1"/>
    <xf numFmtId="10" fontId="0" fillId="12" borderId="0" xfId="0" applyNumberFormat="1" applyFill="1" applyAlignment="1">
      <alignment horizontal="right"/>
    </xf>
    <xf numFmtId="4" fontId="0" fillId="12" borderId="0" xfId="0" applyNumberFormat="1" applyFill="1" applyAlignment="1">
      <alignment horizontal="right"/>
    </xf>
    <xf numFmtId="0" fontId="1" fillId="12" borderId="0" xfId="0" applyFont="1" applyFill="1"/>
    <xf numFmtId="10" fontId="1" fillId="12" borderId="0" xfId="0" applyNumberFormat="1" applyFont="1" applyFill="1"/>
    <xf numFmtId="14" fontId="0" fillId="0" borderId="0" xfId="0" applyNumberFormat="1"/>
    <xf numFmtId="0" fontId="21" fillId="0" borderId="0" xfId="0" applyFont="1"/>
    <xf numFmtId="0" fontId="0" fillId="0" borderId="0" xfId="0" applyFont="1" applyFill="1" applyBorder="1" applyAlignment="1">
      <alignment horizontal="left"/>
    </xf>
    <xf numFmtId="0" fontId="0" fillId="14" borderId="0" xfId="0" applyFill="1"/>
    <xf numFmtId="0" fontId="22" fillId="0" borderId="0" xfId="0" applyFont="1"/>
    <xf numFmtId="0" fontId="23" fillId="0" borderId="21" xfId="0" applyFont="1" applyFill="1" applyBorder="1" applyAlignment="1">
      <alignment horizontal="centerContinuous"/>
    </xf>
    <xf numFmtId="0" fontId="22" fillId="0" borderId="0" xfId="0" applyFont="1" applyFill="1" applyBorder="1" applyAlignment="1"/>
    <xf numFmtId="0" fontId="22" fillId="0" borderId="20" xfId="0" applyFont="1" applyFill="1" applyBorder="1" applyAlignment="1"/>
    <xf numFmtId="0" fontId="23" fillId="0" borderId="21" xfId="0" applyFont="1" applyFill="1" applyBorder="1" applyAlignment="1">
      <alignment horizontal="center"/>
    </xf>
    <xf numFmtId="0" fontId="23" fillId="0" borderId="0" xfId="0" applyFont="1"/>
    <xf numFmtId="0" fontId="24" fillId="15" borderId="0" xfId="0" applyFont="1" applyFill="1"/>
    <xf numFmtId="0" fontId="25" fillId="15" borderId="0" xfId="0" applyFont="1" applyFill="1"/>
    <xf numFmtId="0" fontId="0" fillId="15" borderId="0" xfId="0" applyFill="1"/>
    <xf numFmtId="0" fontId="26" fillId="0" borderId="0" xfId="0" applyFont="1"/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23" xfId="0" applyBorder="1" applyAlignment="1">
      <alignment vertical="top"/>
    </xf>
    <xf numFmtId="0" fontId="0" fillId="0" borderId="23" xfId="0" applyBorder="1" applyAlignment="1">
      <alignment horizontal="right" vertical="top"/>
    </xf>
    <xf numFmtId="0" fontId="0" fillId="0" borderId="0" xfId="0" applyAlignment="1">
      <alignment vertical="top"/>
    </xf>
    <xf numFmtId="0" fontId="28" fillId="0" borderId="0" xfId="0" applyFont="1"/>
    <xf numFmtId="171" fontId="28" fillId="0" borderId="0" xfId="0" applyNumberFormat="1" applyFont="1"/>
    <xf numFmtId="10" fontId="28" fillId="0" borderId="0" xfId="0" applyNumberFormat="1" applyFont="1" applyAlignment="1">
      <alignment vertical="top"/>
    </xf>
    <xf numFmtId="10" fontId="0" fillId="16" borderId="0" xfId="6" applyNumberFormat="1" applyFont="1" applyFill="1" applyAlignment="1"/>
    <xf numFmtId="2" fontId="28" fillId="0" borderId="0" xfId="0" applyNumberFormat="1" applyFont="1"/>
    <xf numFmtId="2" fontId="0" fillId="16" borderId="0" xfId="0" applyNumberFormat="1" applyFill="1"/>
    <xf numFmtId="0" fontId="21" fillId="0" borderId="24" xfId="0" applyFont="1" applyBorder="1"/>
    <xf numFmtId="10" fontId="0" fillId="0" borderId="24" xfId="6" applyNumberFormat="1" applyFont="1" applyBorder="1"/>
    <xf numFmtId="2" fontId="0" fillId="0" borderId="24" xfId="0" applyNumberFormat="1" applyBorder="1"/>
    <xf numFmtId="0" fontId="21" fillId="0" borderId="19" xfId="0" applyFont="1" applyBorder="1"/>
    <xf numFmtId="10" fontId="0" fillId="0" borderId="19" xfId="6" applyNumberFormat="1" applyFont="1" applyBorder="1"/>
    <xf numFmtId="2" fontId="0" fillId="0" borderId="19" xfId="0" applyNumberFormat="1" applyBorder="1"/>
    <xf numFmtId="0" fontId="0" fillId="0" borderId="19" xfId="0" applyBorder="1"/>
    <xf numFmtId="10" fontId="28" fillId="0" borderId="0" xfId="6" applyNumberFormat="1" applyFont="1"/>
    <xf numFmtId="10" fontId="28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5" xfId="0" applyBorder="1"/>
    <xf numFmtId="10" fontId="0" fillId="16" borderId="25" xfId="6" applyNumberFormat="1" applyFont="1" applyFill="1" applyBorder="1"/>
    <xf numFmtId="2" fontId="0" fillId="16" borderId="0" xfId="0" applyNumberFormat="1" applyFill="1" applyAlignment="1">
      <alignment horizontal="right"/>
    </xf>
    <xf numFmtId="10" fontId="0" fillId="16" borderId="25" xfId="0" applyNumberFormat="1" applyFill="1" applyBorder="1"/>
    <xf numFmtId="0" fontId="21" fillId="0" borderId="19" xfId="0" applyFont="1" applyBorder="1" applyAlignment="1">
      <alignment horizontal="right"/>
    </xf>
    <xf numFmtId="10" fontId="28" fillId="0" borderId="0" xfId="0" applyNumberFormat="1" applyFont="1"/>
    <xf numFmtId="10" fontId="0" fillId="0" borderId="25" xfId="6" applyNumberFormat="1" applyFont="1" applyBorder="1"/>
    <xf numFmtId="10" fontId="0" fillId="0" borderId="25" xfId="0" applyNumberFormat="1" applyBorder="1"/>
    <xf numFmtId="2" fontId="0" fillId="0" borderId="25" xfId="0" applyNumberFormat="1" applyBorder="1"/>
    <xf numFmtId="10" fontId="0" fillId="16" borderId="0" xfId="0" applyNumberFormat="1" applyFill="1"/>
    <xf numFmtId="0" fontId="29" fillId="0" borderId="0" xfId="0" applyFont="1"/>
    <xf numFmtId="10" fontId="0" fillId="0" borderId="0" xfId="6" applyNumberFormat="1" applyFont="1" applyFill="1" applyBorder="1"/>
    <xf numFmtId="10" fontId="0" fillId="0" borderId="0" xfId="0" applyNumberFormat="1" applyFill="1" applyBorder="1"/>
    <xf numFmtId="0" fontId="21" fillId="9" borderId="0" xfId="0" applyFont="1" applyFill="1"/>
    <xf numFmtId="10" fontId="21" fillId="9" borderId="0" xfId="0" applyNumberFormat="1" applyFont="1" applyFill="1"/>
    <xf numFmtId="0" fontId="30" fillId="0" borderId="0" xfId="0" applyFon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0" fontId="1" fillId="0" borderId="19" xfId="0" applyFont="1" applyBorder="1"/>
    <xf numFmtId="165" fontId="44" fillId="12" borderId="19" xfId="0" applyNumberFormat="1" applyFont="1" applyFill="1" applyBorder="1" applyAlignment="1">
      <alignment horizontal="center"/>
    </xf>
    <xf numFmtId="165" fontId="44" fillId="12" borderId="0" xfId="0" applyNumberFormat="1" applyFont="1" applyFill="1" applyBorder="1" applyAlignment="1">
      <alignment horizontal="center"/>
    </xf>
    <xf numFmtId="10" fontId="0" fillId="0" borderId="35" xfId="6" applyNumberFormat="1" applyFont="1" applyBorder="1"/>
    <xf numFmtId="10" fontId="0" fillId="0" borderId="36" xfId="6" applyNumberFormat="1" applyFont="1" applyBorder="1"/>
    <xf numFmtId="0" fontId="2" fillId="8" borderId="0" xfId="0" applyFont="1" applyFill="1" applyAlignment="1">
      <alignment horizontal="center"/>
    </xf>
    <xf numFmtId="17" fontId="2" fillId="8" borderId="0" xfId="0" applyNumberFormat="1" applyFont="1" applyFill="1" applyAlignment="1">
      <alignment horizontal="center" vertical="center" wrapText="1"/>
    </xf>
    <xf numFmtId="17" fontId="2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0" fontId="0" fillId="9" borderId="0" xfId="6" applyNumberFormat="1" applyFont="1" applyFill="1"/>
    <xf numFmtId="0" fontId="0" fillId="0" borderId="0" xfId="0" applyAlignment="1">
      <alignment horizontal="right"/>
    </xf>
    <xf numFmtId="0" fontId="45" fillId="12" borderId="0" xfId="0" applyFont="1" applyFill="1" applyBorder="1"/>
    <xf numFmtId="0" fontId="46" fillId="0" borderId="0" xfId="0" applyFont="1"/>
    <xf numFmtId="0" fontId="45" fillId="8" borderId="0" xfId="0" applyFont="1" applyFill="1" applyAlignment="1">
      <alignment horizontal="center"/>
    </xf>
    <xf numFmtId="0" fontId="45" fillId="8" borderId="0" xfId="0" applyFont="1" applyFill="1" applyAlignment="1">
      <alignment horizontal="center" wrapText="1"/>
    </xf>
    <xf numFmtId="0" fontId="45" fillId="12" borderId="0" xfId="0" applyFont="1" applyFill="1" applyBorder="1" applyAlignment="1">
      <alignment horizontal="center"/>
    </xf>
    <xf numFmtId="0" fontId="45" fillId="8" borderId="0" xfId="0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45" fillId="12" borderId="0" xfId="0" applyFont="1" applyFill="1"/>
    <xf numFmtId="0" fontId="45" fillId="12" borderId="0" xfId="0" applyFont="1" applyFill="1" applyAlignment="1">
      <alignment wrapText="1"/>
    </xf>
    <xf numFmtId="0" fontId="46" fillId="12" borderId="0" xfId="0" applyFont="1" applyFill="1"/>
    <xf numFmtId="0" fontId="47" fillId="12" borderId="0" xfId="0" applyFont="1" applyFill="1"/>
    <xf numFmtId="174" fontId="0" fillId="14" borderId="0" xfId="0" applyNumberFormat="1" applyFill="1" applyBorder="1"/>
    <xf numFmtId="0" fontId="0" fillId="0" borderId="38" xfId="0" applyBorder="1"/>
    <xf numFmtId="1" fontId="0" fillId="0" borderId="38" xfId="0" applyNumberFormat="1" applyBorder="1"/>
    <xf numFmtId="0" fontId="0" fillId="45" borderId="12" xfId="0" applyFill="1" applyBorder="1"/>
    <xf numFmtId="2" fontId="0" fillId="45" borderId="12" xfId="0" applyNumberFormat="1" applyFill="1" applyBorder="1"/>
    <xf numFmtId="0" fontId="48" fillId="0" borderId="0" xfId="0" applyFont="1"/>
    <xf numFmtId="0" fontId="2" fillId="46" borderId="0" xfId="0" applyFont="1" applyFill="1"/>
    <xf numFmtId="0" fontId="49" fillId="46" borderId="0" xfId="0" applyFont="1" applyFill="1"/>
    <xf numFmtId="1" fontId="2" fillId="46" borderId="0" xfId="0" applyNumberFormat="1" applyFont="1" applyFill="1"/>
    <xf numFmtId="2" fontId="2" fillId="46" borderId="0" xfId="0" applyNumberFormat="1" applyFont="1" applyFill="1"/>
    <xf numFmtId="0" fontId="5" fillId="46" borderId="0" xfId="0" applyFont="1" applyFill="1"/>
    <xf numFmtId="174" fontId="2" fillId="46" borderId="0" xfId="0" applyNumberFormat="1" applyFont="1" applyFill="1"/>
    <xf numFmtId="0" fontId="0" fillId="0" borderId="39" xfId="0" applyBorder="1"/>
    <xf numFmtId="1" fontId="0" fillId="0" borderId="39" xfId="0" applyNumberFormat="1" applyBorder="1"/>
    <xf numFmtId="2" fontId="0" fillId="0" borderId="39" xfId="0" applyNumberFormat="1" applyBorder="1"/>
    <xf numFmtId="174" fontId="0" fillId="0" borderId="39" xfId="0" applyNumberFormat="1" applyBorder="1"/>
    <xf numFmtId="0" fontId="20" fillId="8" borderId="0" xfId="0" applyFont="1" applyFill="1"/>
    <xf numFmtId="0" fontId="50" fillId="8" borderId="0" xfId="0" applyFont="1" applyFill="1"/>
    <xf numFmtId="9" fontId="0" fillId="0" borderId="0" xfId="0" applyNumberFormat="1"/>
    <xf numFmtId="175" fontId="51" fillId="8" borderId="0" xfId="0" applyNumberFormat="1" applyFont="1" applyFill="1" applyAlignment="1">
      <alignment horizontal="right" vertical="center" wrapText="1"/>
    </xf>
    <xf numFmtId="176" fontId="20" fillId="8" borderId="0" xfId="0" applyNumberFormat="1" applyFont="1" applyFill="1"/>
    <xf numFmtId="10" fontId="0" fillId="12" borderId="0" xfId="0" applyNumberFormat="1" applyFill="1"/>
    <xf numFmtId="0" fontId="0" fillId="16" borderId="0" xfId="0" applyFill="1"/>
    <xf numFmtId="9" fontId="0" fillId="16" borderId="0" xfId="0" applyNumberFormat="1" applyFill="1"/>
    <xf numFmtId="177" fontId="0" fillId="0" borderId="0" xfId="0" applyNumberFormat="1"/>
    <xf numFmtId="0" fontId="0" fillId="0" borderId="40" xfId="0" applyBorder="1"/>
    <xf numFmtId="0" fontId="0" fillId="16" borderId="40" xfId="0" applyFill="1" applyBorder="1"/>
    <xf numFmtId="0" fontId="0" fillId="12" borderId="40" xfId="0" applyFill="1" applyBorder="1"/>
    <xf numFmtId="0" fontId="5" fillId="12" borderId="0" xfId="0" applyFont="1" applyFill="1"/>
    <xf numFmtId="178" fontId="1" fillId="0" borderId="0" xfId="0" applyNumberFormat="1" applyFont="1"/>
    <xf numFmtId="178" fontId="1" fillId="0" borderId="0" xfId="0" applyNumberFormat="1" applyFont="1" applyAlignment="1">
      <alignment horizontal="left"/>
    </xf>
    <xf numFmtId="2" fontId="0" fillId="9" borderId="0" xfId="0" applyNumberFormat="1" applyFill="1"/>
    <xf numFmtId="179" fontId="0" fillId="0" borderId="0" xfId="0" applyNumberFormat="1"/>
    <xf numFmtId="0" fontId="2" fillId="6" borderId="0" xfId="0" applyFont="1" applyFill="1" applyAlignment="1">
      <alignment horizontal="center" vertical="top"/>
    </xf>
    <xf numFmtId="0" fontId="2" fillId="8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45" fillId="8" borderId="37" xfId="0" applyFont="1" applyFill="1" applyBorder="1" applyAlignment="1">
      <alignment horizontal="center"/>
    </xf>
    <xf numFmtId="0" fontId="52" fillId="0" borderId="1" xfId="0" applyFont="1" applyBorder="1"/>
    <xf numFmtId="0" fontId="53" fillId="0" borderId="0" xfId="0" applyFont="1"/>
    <xf numFmtId="0" fontId="54" fillId="6" borderId="0" xfId="0" applyFont="1" applyFill="1" applyAlignment="1">
      <alignment horizontal="center" vertical="top"/>
    </xf>
    <xf numFmtId="0" fontId="55" fillId="6" borderId="0" xfId="0" applyFont="1" applyFill="1"/>
    <xf numFmtId="0" fontId="54" fillId="6" borderId="0" xfId="0" applyFont="1" applyFill="1"/>
    <xf numFmtId="165" fontId="54" fillId="6" borderId="0" xfId="0" applyNumberFormat="1" applyFont="1" applyFill="1"/>
    <xf numFmtId="165" fontId="54" fillId="6" borderId="0" xfId="0" applyNumberFormat="1" applyFont="1" applyFill="1" applyAlignment="1">
      <alignment horizontal="right"/>
    </xf>
    <xf numFmtId="165" fontId="53" fillId="0" borderId="0" xfId="0" applyNumberFormat="1" applyFont="1"/>
    <xf numFmtId="0" fontId="52" fillId="7" borderId="0" xfId="0" applyFont="1" applyFill="1"/>
    <xf numFmtId="166" fontId="53" fillId="0" borderId="0" xfId="0" applyNumberFormat="1" applyFont="1"/>
    <xf numFmtId="0" fontId="56" fillId="0" borderId="0" xfId="0" applyFont="1"/>
    <xf numFmtId="10" fontId="56" fillId="0" borderId="0" xfId="6" applyNumberFormat="1" applyFont="1"/>
    <xf numFmtId="0" fontId="56" fillId="0" borderId="0" xfId="0" applyFont="1" applyAlignment="1">
      <alignment horizontal="center"/>
    </xf>
    <xf numFmtId="39" fontId="52" fillId="0" borderId="1" xfId="0" applyNumberFormat="1" applyFont="1" applyBorder="1"/>
    <xf numFmtId="39" fontId="53" fillId="0" borderId="0" xfId="0" applyNumberFormat="1" applyFont="1"/>
    <xf numFmtId="2" fontId="53" fillId="0" borderId="0" xfId="0" applyNumberFormat="1" applyFont="1"/>
    <xf numFmtId="164" fontId="53" fillId="0" borderId="0" xfId="1" applyFont="1" applyBorder="1"/>
    <xf numFmtId="164" fontId="52" fillId="0" borderId="0" xfId="1" applyFont="1" applyBorder="1"/>
    <xf numFmtId="0" fontId="52" fillId="0" borderId="0" xfId="0" applyFont="1"/>
    <xf numFmtId="167" fontId="53" fillId="0" borderId="0" xfId="0" applyNumberFormat="1" applyFont="1"/>
  </cellXfs>
  <cellStyles count="46">
    <cellStyle name="20% - Accent1" xfId="25" builtinId="30" customBuiltin="1"/>
    <cellStyle name="20% - Accent2" xfId="28" builtinId="34" customBuiltin="1"/>
    <cellStyle name="20% - Accent3" xfId="32" builtinId="38" customBuiltin="1"/>
    <cellStyle name="20% - Accent4" xfId="35" builtinId="42" customBuiltin="1"/>
    <cellStyle name="20% - Accent5" xfId="39" builtinId="46" customBuiltin="1"/>
    <cellStyle name="20% - Accent6" xfId="42" builtinId="50" customBuiltin="1"/>
    <cellStyle name="40% - Accent1" xfId="26" builtinId="31" customBuiltin="1"/>
    <cellStyle name="40% - Accent2" xfId="29" builtinId="35" customBuiltin="1"/>
    <cellStyle name="40% - Accent3" xfId="33" builtinId="39" customBuiltin="1"/>
    <cellStyle name="40% - Accent4" xfId="36" builtinId="43" customBuiltin="1"/>
    <cellStyle name="40% - Accent5" xfId="40" builtinId="47" customBuiltin="1"/>
    <cellStyle name="40% - Accent6" xfId="43" builtinId="51" customBuiltin="1"/>
    <cellStyle name="60% - Accent1" xfId="3" builtinId="32" customBuiltin="1"/>
    <cellStyle name="60% - Accent2" xfId="30" builtinId="36" customBuiltin="1"/>
    <cellStyle name="60% - Accent3" xfId="4" builtinId="40" customBuiltin="1"/>
    <cellStyle name="60% - Accent4" xfId="37" builtinId="44" customBuiltin="1"/>
    <cellStyle name="60% - Accent5" xfId="41" builtinId="48" customBuiltin="1"/>
    <cellStyle name="60% - Accent6" xfId="44" builtinId="52" customBuiltin="1"/>
    <cellStyle name="Accent1" xfId="24" builtinId="29" customBuiltin="1"/>
    <cellStyle name="Accent2" xfId="27" builtinId="33" customBuiltin="1"/>
    <cellStyle name="Accent3" xfId="31" builtinId="37" customBuiltin="1"/>
    <cellStyle name="Accent4" xfId="34" builtinId="41" customBuiltin="1"/>
    <cellStyle name="Accent5" xfId="38" builtinId="45" customBuiltin="1"/>
    <cellStyle name="Accent6" xfId="5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45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2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te" xfId="21" builtinId="10" customBuiltin="1"/>
    <cellStyle name="Output" xfId="16" builtinId="21" customBuiltin="1"/>
    <cellStyle name="Percent" xfId="6" builtinId="5"/>
    <cellStyle name="Title" xfId="7" builtinId="15" customBuiltin="1"/>
    <cellStyle name="Total" xfId="23" builtinId="25" customBuiltin="1"/>
    <cellStyle name="Warning Text" xfId="20" builtinId="11" customBuiltin="1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1C50A4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Football Feild Analysis - Valuation (Rs)</a:t>
            </a:r>
          </a:p>
        </c:rich>
      </c:tx>
      <c:layout>
        <c:manualLayout>
          <c:xMode val="edge"/>
          <c:yMode val="edge"/>
          <c:x val="0.13020822397200349"/>
          <c:y val="2.7272727272727271E-2"/>
        </c:manualLayout>
      </c:layout>
      <c:overlay val="0"/>
    </c:title>
    <c:autoTitleDeleted val="0"/>
    <c:plotArea>
      <c:layout/>
      <c:stockChart>
        <c:ser>
          <c:idx val="0"/>
          <c:order val="0"/>
          <c:spPr>
            <a:ln w="38100">
              <a:noFill/>
            </a:ln>
          </c:spPr>
          <c:marker>
            <c:symbol val="none"/>
          </c:marker>
          <c:cat>
            <c:strRef>
              <c:f>'Football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Analysis'!$N$6:$N$10</c:f>
              <c:numCache>
                <c:formatCode>0.0</c:formatCode>
                <c:ptCount val="5"/>
                <c:pt idx="0" formatCode="General">
                  <c:v>352</c:v>
                </c:pt>
                <c:pt idx="1">
                  <c:v>395.27962353291696</c:v>
                </c:pt>
                <c:pt idx="2">
                  <c:v>454.42064679779634</c:v>
                </c:pt>
                <c:pt idx="3" formatCode="0.00">
                  <c:v>499.35246317436048</c:v>
                </c:pt>
                <c:pt idx="4" formatCode="General">
                  <c:v>882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noFill/>
            </a:ln>
          </c:spPr>
          <c:marker>
            <c:symbol val="none"/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'Football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Analysis'!$O$6:$O$10</c:f>
              <c:numCache>
                <c:formatCode>0.0</c:formatCode>
                <c:ptCount val="5"/>
                <c:pt idx="0" formatCode="General">
                  <c:v>352</c:v>
                </c:pt>
                <c:pt idx="1">
                  <c:v>395.27962353291696</c:v>
                </c:pt>
                <c:pt idx="2">
                  <c:v>454.42064679779634</c:v>
                </c:pt>
                <c:pt idx="3" formatCode="0.00">
                  <c:v>499.35246317436048</c:v>
                </c:pt>
                <c:pt idx="4" formatCode="General">
                  <c:v>882</c:v>
                </c:pt>
              </c:numCache>
            </c:numRef>
          </c:val>
          <c:smooth val="0"/>
        </c:ser>
        <c:ser>
          <c:idx val="2"/>
          <c:order val="2"/>
          <c:spPr>
            <a:ln w="38100">
              <a:noFill/>
            </a:ln>
          </c:spPr>
          <c:marker>
            <c:symbol val="none"/>
          </c:marker>
          <c:cat>
            <c:strRef>
              <c:f>'Football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Analysis'!$P$6:$P$10</c:f>
              <c:numCache>
                <c:formatCode>0.0</c:formatCode>
                <c:ptCount val="5"/>
                <c:pt idx="0" formatCode="General">
                  <c:v>406</c:v>
                </c:pt>
                <c:pt idx="1">
                  <c:v>454.42064679779634</c:v>
                </c:pt>
                <c:pt idx="2">
                  <c:v>563.10388850445952</c:v>
                </c:pt>
                <c:pt idx="3" formatCode="0.00">
                  <c:v>660.63090341341888</c:v>
                </c:pt>
                <c:pt idx="4" formatCode="General">
                  <c:v>1311.3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noFill/>
            </a:ln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'Football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Analysis'!$Q$6:$Q$10</c:f>
              <c:numCache>
                <c:formatCode>0.0</c:formatCode>
                <c:ptCount val="5"/>
                <c:pt idx="0" formatCode="General">
                  <c:v>406</c:v>
                </c:pt>
                <c:pt idx="1">
                  <c:v>454.42064679779634</c:v>
                </c:pt>
                <c:pt idx="2">
                  <c:v>563.10388850445952</c:v>
                </c:pt>
                <c:pt idx="3" formatCode="0.00">
                  <c:v>660.63090341341888</c:v>
                </c:pt>
                <c:pt idx="4" formatCode="General">
                  <c:v>1311.3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4">
                  <a:lumMod val="50000"/>
                </a:schemeClr>
              </a:solidFill>
            </c:spPr>
          </c:upBars>
          <c:downBars/>
        </c:upDownBars>
        <c:axId val="105212544"/>
        <c:axId val="105218432"/>
      </c:stockChart>
      <c:catAx>
        <c:axId val="10521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218432"/>
        <c:crosses val="autoZero"/>
        <c:auto val="1"/>
        <c:lblAlgn val="ctr"/>
        <c:lblOffset val="100"/>
        <c:noMultiLvlLbl val="0"/>
      </c:catAx>
      <c:valAx>
        <c:axId val="105218432"/>
        <c:scaling>
          <c:orientation val="minMax"/>
          <c:max val="160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052125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502074</xdr:colOff>
      <xdr:row>1</xdr:row>
      <xdr:rowOff>101177</xdr:rowOff>
    </xdr:from>
    <xdr:to>
      <xdr:col>9</xdr:col>
      <xdr:colOff>197274</xdr:colOff>
      <xdr:row>16</xdr:row>
      <xdr:rowOff>101177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355600</xdr:colOff>
      <xdr:row>6</xdr:row>
      <xdr:rowOff>25400</xdr:rowOff>
    </xdr:from>
    <xdr:to>
      <xdr:col>9</xdr:col>
      <xdr:colOff>0</xdr:colOff>
      <xdr:row>6</xdr:row>
      <xdr:rowOff>25401</xdr:rowOff>
    </xdr:to>
    <xdr:cxnSp macro="">
      <xdr:nvCxnSpPr>
        <xdr:cNvPr id="4" name="Straight Connector 3"/>
        <xdr:cNvCxnSpPr/>
      </xdr:nvCxnSpPr>
      <xdr:spPr>
        <a:xfrm flipV="1">
          <a:off x="1092200" y="1143000"/>
          <a:ext cx="3911600" cy="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5"/>
  <sheetViews>
    <sheetView zoomScale="90" zoomScaleNormal="90" zoomScaleSheetLayoutView="100" zoomScalePageLayoutView="120" workbookViewId="0">
      <pane xSplit="1" ySplit="4" topLeftCell="C11" activePane="bottomRight" state="frozen"/>
      <selection activeCell="M15" sqref="M15"/>
      <selection pane="topRight" activeCell="M15" sqref="M15"/>
      <selection pane="bottomLeft" activeCell="M15" sqref="M15"/>
      <selection pane="bottomRight" activeCell="M15" sqref="M15"/>
    </sheetView>
  </sheetViews>
  <sheetFormatPr defaultColWidth="8.77734375" defaultRowHeight="14.4" x14ac:dyDescent="0.3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 x14ac:dyDescent="0.2">
      <c r="A1" s="8" t="str">
        <f>'Data Sheet'!B1</f>
        <v>HCL TECHNOLOGIES LTD</v>
      </c>
      <c r="H1" t="str">
        <f>UPDATE</f>
        <v/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  <v>41820</v>
      </c>
      <c r="C3" s="16">
        <f>'Data Sheet'!C16</f>
        <v>42185</v>
      </c>
      <c r="D3" s="16">
        <f>'Data Sheet'!D16</f>
        <v>42460</v>
      </c>
      <c r="E3" s="16">
        <f>'Data Sheet'!E16</f>
        <v>42825</v>
      </c>
      <c r="F3" s="16">
        <f>'Data Sheet'!F16</f>
        <v>43190</v>
      </c>
      <c r="G3" s="16">
        <f>'Data Sheet'!G16</f>
        <v>43555</v>
      </c>
      <c r="H3" s="16">
        <f>'Data Sheet'!H16</f>
        <v>43921</v>
      </c>
      <c r="I3" s="16">
        <f>'Data Sheet'!I16</f>
        <v>44286</v>
      </c>
      <c r="J3" s="16">
        <f>'Data Sheet'!J16</f>
        <v>44651</v>
      </c>
      <c r="K3" s="16">
        <f>'Data Sheet'!K16</f>
        <v>45016</v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  <v>32143.66</v>
      </c>
      <c r="C4" s="1">
        <f>'Data Sheet'!C17</f>
        <v>36701.22</v>
      </c>
      <c r="D4" s="1">
        <f>'Data Sheet'!D17</f>
        <v>31135.94</v>
      </c>
      <c r="E4" s="1">
        <f>'Data Sheet'!E17</f>
        <v>47568</v>
      </c>
      <c r="F4" s="1">
        <f>'Data Sheet'!F17</f>
        <v>50569</v>
      </c>
      <c r="G4" s="1">
        <f>'Data Sheet'!G17</f>
        <v>60427</v>
      </c>
      <c r="H4" s="1">
        <f>'Data Sheet'!H17</f>
        <v>70676</v>
      </c>
      <c r="I4" s="1">
        <f>'Data Sheet'!I17</f>
        <v>75379</v>
      </c>
      <c r="J4" s="1">
        <f>'Data Sheet'!J17</f>
        <v>85651</v>
      </c>
      <c r="K4" s="1">
        <f>'Data Sheet'!K17</f>
        <v>101456</v>
      </c>
      <c r="L4" s="1">
        <f>SUM(Quarters!H4:K4)</f>
        <v>104288</v>
      </c>
      <c r="M4" s="1">
        <f>$K4+M23*K4</f>
        <v>120177.46361396831</v>
      </c>
      <c r="N4" s="1">
        <f>$K4+N23*L4</f>
        <v>114811.94967681504</v>
      </c>
    </row>
    <row r="5" spans="1:14" x14ac:dyDescent="0.2">
      <c r="A5" s="6" t="s">
        <v>7</v>
      </c>
      <c r="B5" s="9">
        <f>SUM('Data Sheet'!B18,'Data Sheet'!B20:B24, -1*'Data Sheet'!B19)</f>
        <v>24108.370000000003</v>
      </c>
      <c r="C5" s="9">
        <f>SUM('Data Sheet'!C18,'Data Sheet'!C20:C24, -1*'Data Sheet'!C19)</f>
        <v>28215.15</v>
      </c>
      <c r="D5" s="9">
        <f>SUM('Data Sheet'!D18,'Data Sheet'!D20:D24, -1*'Data Sheet'!D19)</f>
        <v>24482.390000000003</v>
      </c>
      <c r="E5" s="9">
        <f>SUM('Data Sheet'!E18,'Data Sheet'!E20:E24, -1*'Data Sheet'!E19)</f>
        <v>37178</v>
      </c>
      <c r="F5" s="9">
        <f>SUM('Data Sheet'!F18,'Data Sheet'!F20:F24, -1*'Data Sheet'!F19)</f>
        <v>39323</v>
      </c>
      <c r="G5" s="9">
        <f>SUM('Data Sheet'!G18,'Data Sheet'!G20:G24, -1*'Data Sheet'!G19)</f>
        <v>46501</v>
      </c>
      <c r="H5" s="9">
        <f>SUM('Data Sheet'!H18,'Data Sheet'!H20:H24, -1*'Data Sheet'!H19)</f>
        <v>53360</v>
      </c>
      <c r="I5" s="9">
        <f>SUM('Data Sheet'!I18,'Data Sheet'!I20:I24, -1*'Data Sheet'!I19)</f>
        <v>55331</v>
      </c>
      <c r="J5" s="9">
        <f>SUM('Data Sheet'!J18,'Data Sheet'!J20:J24, -1*'Data Sheet'!J19)</f>
        <v>65122</v>
      </c>
      <c r="K5" s="9">
        <f>SUM('Data Sheet'!K18,'Data Sheet'!K20:K24, -1*'Data Sheet'!K19)</f>
        <v>78828</v>
      </c>
      <c r="L5" s="9">
        <f>SUM(Quarters!H5:K5)</f>
        <v>81270</v>
      </c>
      <c r="M5" s="9">
        <f t="shared" ref="M5:N5" si="0">M4-M6</f>
        <v>91239.476110936273</v>
      </c>
      <c r="N5" s="9">
        <f t="shared" si="0"/>
        <v>89471.148648308124</v>
      </c>
    </row>
    <row r="6" spans="1:14" s="8" customFormat="1" x14ac:dyDescent="0.2">
      <c r="A6" s="8" t="s">
        <v>8</v>
      </c>
      <c r="B6" s="1">
        <f>B4-B5</f>
        <v>8035.2899999999972</v>
      </c>
      <c r="C6" s="1">
        <f t="shared" ref="C6:K6" si="1">C4-C5</f>
        <v>8486.07</v>
      </c>
      <c r="D6" s="1">
        <f t="shared" si="1"/>
        <v>6653.5499999999956</v>
      </c>
      <c r="E6" s="1">
        <f t="shared" si="1"/>
        <v>10390</v>
      </c>
      <c r="F6" s="1">
        <f t="shared" si="1"/>
        <v>11246</v>
      </c>
      <c r="G6" s="1">
        <f t="shared" si="1"/>
        <v>13926</v>
      </c>
      <c r="H6" s="1">
        <f t="shared" si="1"/>
        <v>17316</v>
      </c>
      <c r="I6" s="1">
        <f t="shared" si="1"/>
        <v>20048</v>
      </c>
      <c r="J6" s="1">
        <f t="shared" si="1"/>
        <v>20529</v>
      </c>
      <c r="K6" s="1">
        <f t="shared" si="1"/>
        <v>22628</v>
      </c>
      <c r="L6" s="1">
        <f>SUM(Quarters!H6:K6)</f>
        <v>23018</v>
      </c>
      <c r="M6" s="1">
        <f>M4*M24</f>
        <v>28937.98750303204</v>
      </c>
      <c r="N6" s="1">
        <f>N4*N24</f>
        <v>25340.80102850691</v>
      </c>
    </row>
    <row r="7" spans="1:14" x14ac:dyDescent="0.2">
      <c r="A7" s="6" t="s">
        <v>9</v>
      </c>
      <c r="B7" s="9">
        <f>'Data Sheet'!B25</f>
        <v>677.4</v>
      </c>
      <c r="C7" s="9">
        <f>'Data Sheet'!C25</f>
        <v>1125.97</v>
      </c>
      <c r="D7" s="9">
        <f>'Data Sheet'!D25</f>
        <v>870.89</v>
      </c>
      <c r="E7" s="9">
        <f>'Data Sheet'!E25</f>
        <v>1069</v>
      </c>
      <c r="F7" s="9">
        <f>'Data Sheet'!F25</f>
        <v>1230</v>
      </c>
      <c r="G7" s="9">
        <f>'Data Sheet'!G25</f>
        <v>943</v>
      </c>
      <c r="H7" s="9">
        <f>'Data Sheet'!H25</f>
        <v>589</v>
      </c>
      <c r="I7" s="9">
        <f>'Data Sheet'!I25</f>
        <v>927</v>
      </c>
      <c r="J7" s="9">
        <f>'Data Sheet'!J25</f>
        <v>1067</v>
      </c>
      <c r="K7" s="9">
        <f>'Data Sheet'!K25</f>
        <v>1358</v>
      </c>
      <c r="L7" s="9">
        <f>SUM(Quarters!H7:K7)</f>
        <v>1293</v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  <v>680.86</v>
      </c>
      <c r="C8" s="9">
        <f>'Data Sheet'!C26</f>
        <v>403.75</v>
      </c>
      <c r="D8" s="9">
        <f>'Data Sheet'!D26</f>
        <v>409.86</v>
      </c>
      <c r="E8" s="9">
        <f>'Data Sheet'!E26</f>
        <v>828</v>
      </c>
      <c r="F8" s="9">
        <f>'Data Sheet'!F26</f>
        <v>1383</v>
      </c>
      <c r="G8" s="9">
        <f>'Data Sheet'!G26</f>
        <v>2073</v>
      </c>
      <c r="H8" s="9">
        <f>'Data Sheet'!H26</f>
        <v>3420</v>
      </c>
      <c r="I8" s="9">
        <f>'Data Sheet'!I26</f>
        <v>4611</v>
      </c>
      <c r="J8" s="9">
        <f>'Data Sheet'!J26</f>
        <v>4326</v>
      </c>
      <c r="K8" s="9">
        <f>'Data Sheet'!K26</f>
        <v>4145</v>
      </c>
      <c r="L8" s="9">
        <f>SUM(Quarters!H8:K8)</f>
        <v>4089</v>
      </c>
      <c r="M8" s="9">
        <f>+$L8</f>
        <v>4089</v>
      </c>
      <c r="N8" s="9">
        <f>+$L8</f>
        <v>4089</v>
      </c>
    </row>
    <row r="9" spans="1:14" x14ac:dyDescent="0.2">
      <c r="A9" s="6" t="s">
        <v>11</v>
      </c>
      <c r="B9" s="9">
        <f>'Data Sheet'!B27</f>
        <v>114.5</v>
      </c>
      <c r="C9" s="9">
        <f>'Data Sheet'!C27</f>
        <v>91.23</v>
      </c>
      <c r="D9" s="9">
        <f>'Data Sheet'!D27</f>
        <v>73.900000000000006</v>
      </c>
      <c r="E9" s="9">
        <f>'Data Sheet'!E27</f>
        <v>89</v>
      </c>
      <c r="F9" s="9">
        <f>'Data Sheet'!F27</f>
        <v>69</v>
      </c>
      <c r="G9" s="9">
        <f>'Data Sheet'!G27</f>
        <v>174</v>
      </c>
      <c r="H9" s="9">
        <f>'Data Sheet'!H27</f>
        <v>505</v>
      </c>
      <c r="I9" s="9">
        <f>'Data Sheet'!I27</f>
        <v>511</v>
      </c>
      <c r="J9" s="9">
        <f>'Data Sheet'!J27</f>
        <v>319</v>
      </c>
      <c r="K9" s="9">
        <f>'Data Sheet'!K27</f>
        <v>353</v>
      </c>
      <c r="L9" s="9">
        <f>SUM(Quarters!H9:K9)</f>
        <v>375</v>
      </c>
      <c r="M9" s="9">
        <f>+$L9</f>
        <v>375</v>
      </c>
      <c r="N9" s="9">
        <f>+$L9</f>
        <v>375</v>
      </c>
    </row>
    <row r="10" spans="1:14" x14ac:dyDescent="0.2">
      <c r="A10" s="6" t="s">
        <v>12</v>
      </c>
      <c r="B10" s="9">
        <f>'Data Sheet'!B28</f>
        <v>7917.33</v>
      </c>
      <c r="C10" s="9">
        <f>'Data Sheet'!C28</f>
        <v>9117.06</v>
      </c>
      <c r="D10" s="9">
        <f>'Data Sheet'!D28</f>
        <v>7040.68</v>
      </c>
      <c r="E10" s="9">
        <f>'Data Sheet'!E28</f>
        <v>10542</v>
      </c>
      <c r="F10" s="9">
        <f>'Data Sheet'!F28</f>
        <v>11024</v>
      </c>
      <c r="G10" s="9">
        <f>'Data Sheet'!G28</f>
        <v>12622</v>
      </c>
      <c r="H10" s="9">
        <f>'Data Sheet'!H28</f>
        <v>13980</v>
      </c>
      <c r="I10" s="9">
        <f>'Data Sheet'!I28</f>
        <v>15853</v>
      </c>
      <c r="J10" s="9">
        <f>'Data Sheet'!J28</f>
        <v>16951</v>
      </c>
      <c r="K10" s="9">
        <f>'Data Sheet'!K28</f>
        <v>19488</v>
      </c>
      <c r="L10" s="9">
        <f>SUM(Quarters!H10:K10)</f>
        <v>19847</v>
      </c>
      <c r="M10" s="9">
        <f>M6+M7-SUM(M8:M9)</f>
        <v>24473.98750303204</v>
      </c>
      <c r="N10" s="9">
        <f>N6+N7-SUM(N8:N9)</f>
        <v>20876.80102850691</v>
      </c>
    </row>
    <row r="11" spans="1:14" x14ac:dyDescent="0.2">
      <c r="A11" s="6" t="s">
        <v>13</v>
      </c>
      <c r="B11" s="9">
        <f>'Data Sheet'!B29</f>
        <v>1409.57</v>
      </c>
      <c r="C11" s="9">
        <f>'Data Sheet'!C29</f>
        <v>1815.11</v>
      </c>
      <c r="D11" s="9">
        <f>'Data Sheet'!D29</f>
        <v>1439</v>
      </c>
      <c r="E11" s="9">
        <f>'Data Sheet'!E29</f>
        <v>1936</v>
      </c>
      <c r="F11" s="9">
        <f>'Data Sheet'!F29</f>
        <v>2302</v>
      </c>
      <c r="G11" s="9">
        <f>'Data Sheet'!G29</f>
        <v>2502</v>
      </c>
      <c r="H11" s="9">
        <f>'Data Sheet'!H29</f>
        <v>2923</v>
      </c>
      <c r="I11" s="9">
        <f>'Data Sheet'!I29</f>
        <v>4684</v>
      </c>
      <c r="J11" s="9">
        <f>'Data Sheet'!J29</f>
        <v>3428</v>
      </c>
      <c r="K11" s="9">
        <f>'Data Sheet'!K29</f>
        <v>4643</v>
      </c>
      <c r="L11" s="9">
        <f>SUM(Quarters!H11:K11)</f>
        <v>4752</v>
      </c>
      <c r="M11" s="10">
        <f>IF($L10&gt;0,$L11/$L10,0)</f>
        <v>0.23943165213886231</v>
      </c>
      <c r="N11" s="10">
        <f>IF($L10&gt;0,$L11/$L10,0)</f>
        <v>0.23943165213886231</v>
      </c>
    </row>
    <row r="12" spans="1:14" s="8" customFormat="1" x14ac:dyDescent="0.2">
      <c r="A12" s="8" t="s">
        <v>14</v>
      </c>
      <c r="B12" s="1">
        <f>'Data Sheet'!B30</f>
        <v>6509.51</v>
      </c>
      <c r="C12" s="1">
        <f>'Data Sheet'!C30</f>
        <v>7317.07</v>
      </c>
      <c r="D12" s="1">
        <f>'Data Sheet'!D30</f>
        <v>5602.43</v>
      </c>
      <c r="E12" s="1">
        <f>'Data Sheet'!E30</f>
        <v>8606</v>
      </c>
      <c r="F12" s="1">
        <f>'Data Sheet'!F30</f>
        <v>8721</v>
      </c>
      <c r="G12" s="1">
        <f>'Data Sheet'!G30</f>
        <v>10120</v>
      </c>
      <c r="H12" s="1">
        <f>'Data Sheet'!H30</f>
        <v>11057</v>
      </c>
      <c r="I12" s="1">
        <f>'Data Sheet'!I30</f>
        <v>11145</v>
      </c>
      <c r="J12" s="1">
        <f>'Data Sheet'!J30</f>
        <v>13499</v>
      </c>
      <c r="K12" s="1">
        <f>'Data Sheet'!K30</f>
        <v>14851</v>
      </c>
      <c r="L12" s="1">
        <f>SUM(Quarters!H12:K12)</f>
        <v>15102</v>
      </c>
      <c r="M12" s="1">
        <f>M10-M11*M10</f>
        <v>18614.140240755209</v>
      </c>
      <c r="N12" s="1">
        <f>N10-N11*N10</f>
        <v>15878.234066877201</v>
      </c>
    </row>
    <row r="13" spans="1:14" x14ac:dyDescent="0.2">
      <c r="A13" s="11" t="s">
        <v>57</v>
      </c>
      <c r="B13" s="9">
        <f>IF('Data Sheet'!B93&gt;0,B12/'Data Sheet'!B93,0)</f>
        <v>23.248250000000002</v>
      </c>
      <c r="C13" s="9">
        <f>IF('Data Sheet'!C93&gt;0,C12/'Data Sheet'!C93,0)</f>
        <v>26.020874822190613</v>
      </c>
      <c r="D13" s="9">
        <f>IF('Data Sheet'!D93&gt;0,D12/'Data Sheet'!D93,0)</f>
        <v>19.86113868406126</v>
      </c>
      <c r="E13" s="9">
        <f>IF('Data Sheet'!E93&gt;0,E12/'Data Sheet'!E93,0)</f>
        <v>30.158396411550321</v>
      </c>
      <c r="F13" s="9">
        <f>IF('Data Sheet'!F93&gt;0,F12/'Data Sheet'!F93,0)</f>
        <v>31.319806069312264</v>
      </c>
      <c r="G13" s="9">
        <f>IF('Data Sheet'!G93&gt;0,G12/'Data Sheet'!G93,0)</f>
        <v>37.307380373073805</v>
      </c>
      <c r="H13" s="9">
        <f>IF('Data Sheet'!H93&gt;0,H12/'Data Sheet'!H93,0)</f>
        <v>40.745108154917638</v>
      </c>
      <c r="I13" s="9">
        <f>IF('Data Sheet'!I93&gt;0,I12/'Data Sheet'!I93,0)</f>
        <v>41.069388657552416</v>
      </c>
      <c r="J13" s="9">
        <f>IF('Data Sheet'!J93&gt;0,J12/'Data Sheet'!J93,0)</f>
        <v>49.743892103032756</v>
      </c>
      <c r="K13" s="9">
        <f>IF('Data Sheet'!K93&gt;0,K12/'Data Sheet'!K93,0)</f>
        <v>54.726019825330731</v>
      </c>
      <c r="L13" s="9">
        <f>IF('Data Sheet'!$B6&gt;0,'Profit &amp; Loss'!L12/'Data Sheet'!$B6,0)</f>
        <v>55.651671811080995</v>
      </c>
      <c r="M13" s="9">
        <f>IF('Data Sheet'!$B6&gt;0,'Profit &amp; Loss'!M12/'Data Sheet'!$B6,0)</f>
        <v>68.594095068464114</v>
      </c>
      <c r="N13" s="9">
        <f>IF('Data Sheet'!$B6&gt;0,'Profit &amp; Loss'!N12/'Data Sheet'!$B6,0)</f>
        <v>58.512135560149375</v>
      </c>
    </row>
    <row r="14" spans="1:14" x14ac:dyDescent="0.2">
      <c r="A14" s="6" t="s">
        <v>16</v>
      </c>
      <c r="B14" s="9">
        <f>IF(B15&gt;0,B15/B13,"")</f>
        <v>16.131966922241457</v>
      </c>
      <c r="C14" s="9">
        <f t="shared" ref="C14:K14" si="2">IF(C15&gt;0,C15/C13,"")</f>
        <v>17.673502645184477</v>
      </c>
      <c r="D14" s="9">
        <f t="shared" si="2"/>
        <v>20.494796722136645</v>
      </c>
      <c r="E14" s="9">
        <f t="shared" si="2"/>
        <v>14.502760492679526</v>
      </c>
      <c r="F14" s="9">
        <f t="shared" si="2"/>
        <v>15.463058708863663</v>
      </c>
      <c r="G14" s="9">
        <f t="shared" si="2"/>
        <v>14.57432804347826</v>
      </c>
      <c r="H14" s="9">
        <f t="shared" si="2"/>
        <v>10.710488197521931</v>
      </c>
      <c r="I14" s="9">
        <f t="shared" si="2"/>
        <v>23.926579676985195</v>
      </c>
      <c r="J14" s="9">
        <f t="shared" si="2"/>
        <v>23.394832024594415</v>
      </c>
      <c r="K14" s="9">
        <f t="shared" si="2"/>
        <v>19.830603494714161</v>
      </c>
      <c r="L14" s="9">
        <f t="shared" ref="L14" si="3">IF(L13&gt;0,L15/L13,0)</f>
        <v>23.442242749304732</v>
      </c>
      <c r="M14" s="9">
        <f>M25</f>
        <v>23.442242749304732</v>
      </c>
      <c r="N14" s="9">
        <f>N25</f>
        <v>18.195014516154952</v>
      </c>
    </row>
    <row r="15" spans="1:14" s="8" customFormat="1" x14ac:dyDescent="0.2">
      <c r="A15" s="8" t="s">
        <v>58</v>
      </c>
      <c r="B15" s="1">
        <f>'Data Sheet'!B90</f>
        <v>375.04</v>
      </c>
      <c r="C15" s="1">
        <f>'Data Sheet'!C90</f>
        <v>459.88</v>
      </c>
      <c r="D15" s="1">
        <f>'Data Sheet'!D90</f>
        <v>407.05</v>
      </c>
      <c r="E15" s="1">
        <f>'Data Sheet'!E90</f>
        <v>437.38</v>
      </c>
      <c r="F15" s="1">
        <f>'Data Sheet'!F90</f>
        <v>484.3</v>
      </c>
      <c r="G15" s="1">
        <f>'Data Sheet'!G90</f>
        <v>543.73</v>
      </c>
      <c r="H15" s="1">
        <f>'Data Sheet'!H90</f>
        <v>436.4</v>
      </c>
      <c r="I15" s="1">
        <f>'Data Sheet'!I90</f>
        <v>982.65</v>
      </c>
      <c r="J15" s="1">
        <f>'Data Sheet'!J90</f>
        <v>1163.75</v>
      </c>
      <c r="K15" s="1">
        <f>'Data Sheet'!K90</f>
        <v>1085.25</v>
      </c>
      <c r="L15" s="1">
        <f>'Data Sheet'!B8</f>
        <v>1304.5999999999999</v>
      </c>
      <c r="M15" s="12">
        <f>M13*M14</f>
        <v>1607.9994277638223</v>
      </c>
      <c r="N15" s="13">
        <f>N13*N14</f>
        <v>1064.6291558881442</v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  <v>0.10753497575086296</v>
      </c>
      <c r="C18" s="7">
        <f>IF('Data Sheet'!C30&gt;0, 'Data Sheet'!C31/'Data Sheet'!C30, 0)</f>
        <v>0.57646024979944155</v>
      </c>
      <c r="D18" s="7">
        <f>IF('Data Sheet'!D30&gt;0, 'Data Sheet'!D31/'Data Sheet'!D30, 0)</f>
        <v>0.40279664359929529</v>
      </c>
      <c r="E18" s="7">
        <f>IF('Data Sheet'!E30&gt;0, 'Data Sheet'!E31/'Data Sheet'!E30, 0)</f>
        <v>0.39739716476876596</v>
      </c>
      <c r="F18" s="7">
        <f>IF('Data Sheet'!F30&gt;0, 'Data Sheet'!F31/'Data Sheet'!F30, 0)</f>
        <v>0.19126246990024079</v>
      </c>
      <c r="G18" s="7">
        <f>IF('Data Sheet'!G30&gt;0, 'Data Sheet'!G31/'Data Sheet'!G30, 0)</f>
        <v>0.10711462450592886</v>
      </c>
      <c r="H18" s="7">
        <f>IF('Data Sheet'!H30&gt;0, 'Data Sheet'!H31/'Data Sheet'!H30, 0)</f>
        <v>0.24554580808537577</v>
      </c>
      <c r="I18" s="7">
        <f>IF('Data Sheet'!I30&gt;0, 'Data Sheet'!I31/'Data Sheet'!I30, 0)</f>
        <v>0.24360699865410498</v>
      </c>
      <c r="J18" s="7">
        <f>IF('Data Sheet'!J30&gt;0, 'Data Sheet'!J31/'Data Sheet'!J30, 0)</f>
        <v>0.84472923920290388</v>
      </c>
      <c r="K18" s="7">
        <f>IF('Data Sheet'!K30&gt;0, 'Data Sheet'!K31/'Data Sheet'!K30, 0)</f>
        <v>0.87751666554440777</v>
      </c>
    </row>
    <row r="19" spans="1:14" x14ac:dyDescent="0.2">
      <c r="A19" s="6" t="s">
        <v>18</v>
      </c>
      <c r="B19" s="7">
        <f t="shared" ref="B19:L19" si="4">IF(B6&gt;0,B6/B4,0)</f>
        <v>0.24998055604122235</v>
      </c>
      <c r="C19" s="7">
        <f t="shared" ref="C19:K19" si="5">IF(C6&gt;0,C6/C4,0)</f>
        <v>0.2312203790500697</v>
      </c>
      <c r="D19" s="7">
        <f t="shared" si="5"/>
        <v>0.21369356441462811</v>
      </c>
      <c r="E19" s="7">
        <f t="shared" si="5"/>
        <v>0.21842415068953919</v>
      </c>
      <c r="F19" s="7">
        <f t="shared" si="5"/>
        <v>0.22238921078130872</v>
      </c>
      <c r="G19" s="7">
        <f t="shared" si="5"/>
        <v>0.2304598937561024</v>
      </c>
      <c r="H19" s="7">
        <f t="shared" si="5"/>
        <v>0.24500537664836719</v>
      </c>
      <c r="I19" s="7">
        <f t="shared" si="5"/>
        <v>0.26596266864776663</v>
      </c>
      <c r="J19" s="7">
        <f t="shared" si="5"/>
        <v>0.23968196518429441</v>
      </c>
      <c r="K19" s="7">
        <f t="shared" si="5"/>
        <v>0.22303264469326606</v>
      </c>
      <c r="L19" s="7">
        <f t="shared" si="4"/>
        <v>0.22071571034059528</v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3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3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0.13622597207085096</v>
      </c>
      <c r="I23" s="7">
        <f>IF(D4=0,"",POWER($K4/D4,1/7)-1)</f>
        <v>0.18382624768457601</v>
      </c>
      <c r="J23" s="7">
        <f>IF(F4=0,"",POWER($K4/F4,1/5)-1)</f>
        <v>0.14941980000474619</v>
      </c>
      <c r="K23" s="7">
        <f>IF(H4=0,"",POWER($K4/H4, 1/3)-1)</f>
        <v>0.12806794335700222</v>
      </c>
      <c r="L23" s="7">
        <f>IF(ISERROR(MAX(IF(J4=0,"",(K4-J4)/J4),IF(K4=0,"",(L4-K4)/K4))),"",MAX(IF(J4=0,"",(K4-J4)/J4),IF(K4=0,"",(L4-K4)/K4)))</f>
        <v>0.18452790977338268</v>
      </c>
      <c r="M23" s="22">
        <f>MAX(K23:L23)</f>
        <v>0.18452790977338268</v>
      </c>
      <c r="N23" s="22">
        <f>MIN(H23:L23)</f>
        <v>0.12806794335700222</v>
      </c>
    </row>
    <row r="24" spans="1:14" x14ac:dyDescent="0.3">
      <c r="G24" s="6" t="s">
        <v>18</v>
      </c>
      <c r="H24" s="7">
        <f>IF(SUM(B4:$K$4)=0,"",SUMPRODUCT(B19:$K$19,B4:$K$4)/SUM(B4:$K$4))</f>
        <v>0.23534950974538363</v>
      </c>
      <c r="I24" s="7">
        <f>IF(SUM(E4:$K$4)=0,"",SUMPRODUCT(E19:$K$19,E4:$K$4)/SUM(E4:$K$4))</f>
        <v>0.2360725281965973</v>
      </c>
      <c r="J24" s="7">
        <f>IF(SUM(G4:$K$4)=0,"",SUMPRODUCT(G19:$K$19,G4:$K$4)/SUM(G4:$K$4))</f>
        <v>0.2399635152405174</v>
      </c>
      <c r="K24" s="7">
        <f>IF(SUM(I4:$K$4)=0, "", SUMPRODUCT(I19:$K$19,I4:$K$4)/SUM(I4:$K$4))</f>
        <v>0.24079379471667062</v>
      </c>
      <c r="L24" s="7">
        <f>L19</f>
        <v>0.22071571034059528</v>
      </c>
      <c r="M24" s="22">
        <f>MAX(K24:L24)</f>
        <v>0.24079379471667062</v>
      </c>
      <c r="N24" s="22">
        <f>MIN(H24:L24)</f>
        <v>0.22071571034059528</v>
      </c>
    </row>
    <row r="25" spans="1:14" x14ac:dyDescent="0.3">
      <c r="G25" s="6" t="s">
        <v>23</v>
      </c>
      <c r="H25" s="9">
        <f>IF(ISERROR(AVERAGEIF(B14:$L14,"&gt;0")),"",AVERAGEIF(B14:$L14,"&gt;0"))</f>
        <v>18.195014516154952</v>
      </c>
      <c r="I25" s="9">
        <f>IF(ISERROR(AVERAGEIF(E14:$L14,"&gt;0")),"",AVERAGEIF(E14:$L14,"&gt;0"))</f>
        <v>18.230611673517735</v>
      </c>
      <c r="J25" s="9">
        <f>IF(ISERROR(AVERAGEIF(G14:$L14,"&gt;0")),"",AVERAGEIF(G14:$L14,"&gt;0"))</f>
        <v>19.313179031099782</v>
      </c>
      <c r="K25" s="9">
        <f>IF(ISERROR(AVERAGEIF(I14:$L14,"&gt;0")),"",AVERAGEIF(I14:$L14,"&gt;0"))</f>
        <v>22.648564486399628</v>
      </c>
      <c r="L25" s="9">
        <f>L14</f>
        <v>23.442242749304732</v>
      </c>
      <c r="M25" s="1">
        <f>MAX(K25:L25)</f>
        <v>23.442242749304732</v>
      </c>
      <c r="N25" s="1">
        <f>MIN(H25:L25)</f>
        <v>18.195014516154952</v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activeCell="M15" sqref="M15"/>
      <selection pane="topRight" activeCell="M15" sqref="M15"/>
      <selection pane="bottomLeft" activeCell="M15" sqref="M15"/>
      <selection pane="bottomRight" activeCell="M15" sqref="M15"/>
    </sheetView>
  </sheetViews>
  <sheetFormatPr defaultColWidth="8.77734375" defaultRowHeight="14.4" x14ac:dyDescent="0.3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 x14ac:dyDescent="0.2">
      <c r="A1" s="8" t="str">
        <f>'Profit &amp; Loss'!A1</f>
        <v>HCL TECHNOLOGIES LTD</v>
      </c>
      <c r="E1" t="str">
        <f>UPDATE</f>
        <v/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  <v>44286</v>
      </c>
      <c r="C3" s="16">
        <f>'Data Sheet'!C41</f>
        <v>44377</v>
      </c>
      <c r="D3" s="16">
        <f>'Data Sheet'!D41</f>
        <v>44469</v>
      </c>
      <c r="E3" s="16">
        <f>'Data Sheet'!E41</f>
        <v>44561</v>
      </c>
      <c r="F3" s="16">
        <f>'Data Sheet'!F41</f>
        <v>44651</v>
      </c>
      <c r="G3" s="16">
        <f>'Data Sheet'!G41</f>
        <v>44742</v>
      </c>
      <c r="H3" s="16">
        <f>'Data Sheet'!H41</f>
        <v>44834</v>
      </c>
      <c r="I3" s="16">
        <f>'Data Sheet'!I41</f>
        <v>44926</v>
      </c>
      <c r="J3" s="16">
        <f>'Data Sheet'!J41</f>
        <v>45016</v>
      </c>
      <c r="K3" s="16">
        <f>'Data Sheet'!K41</f>
        <v>45107</v>
      </c>
    </row>
    <row r="4" spans="1:11" s="8" customFormat="1" x14ac:dyDescent="0.2">
      <c r="A4" s="8" t="s">
        <v>6</v>
      </c>
      <c r="B4" s="1">
        <f>'Data Sheet'!B42</f>
        <v>19641</v>
      </c>
      <c r="C4" s="1">
        <f>'Data Sheet'!C42</f>
        <v>20068</v>
      </c>
      <c r="D4" s="1">
        <f>'Data Sheet'!D42</f>
        <v>20655</v>
      </c>
      <c r="E4" s="1">
        <f>'Data Sheet'!E42</f>
        <v>22331</v>
      </c>
      <c r="F4" s="1">
        <f>'Data Sheet'!F42</f>
        <v>22597</v>
      </c>
      <c r="G4" s="1">
        <f>'Data Sheet'!G42</f>
        <v>23464</v>
      </c>
      <c r="H4" s="1">
        <f>'Data Sheet'!H42</f>
        <v>24686</v>
      </c>
      <c r="I4" s="1">
        <f>'Data Sheet'!I42</f>
        <v>26700</v>
      </c>
      <c r="J4" s="1">
        <f>'Data Sheet'!J42</f>
        <v>26606</v>
      </c>
      <c r="K4" s="1">
        <f>'Data Sheet'!K42</f>
        <v>26296</v>
      </c>
    </row>
    <row r="5" spans="1:11" x14ac:dyDescent="0.2">
      <c r="A5" s="6" t="s">
        <v>7</v>
      </c>
      <c r="B5" s="9">
        <f>'Data Sheet'!B43</f>
        <v>15092</v>
      </c>
      <c r="C5" s="9">
        <f>'Data Sheet'!C43</f>
        <v>15006</v>
      </c>
      <c r="D5" s="9">
        <f>'Data Sheet'!D43</f>
        <v>15633</v>
      </c>
      <c r="E5" s="9">
        <f>'Data Sheet'!E43</f>
        <v>16938</v>
      </c>
      <c r="F5" s="9">
        <f>'Data Sheet'!F43</f>
        <v>17545</v>
      </c>
      <c r="G5" s="9">
        <f>'Data Sheet'!G43</f>
        <v>18489</v>
      </c>
      <c r="H5" s="9">
        <f>'Data Sheet'!H43</f>
        <v>19261</v>
      </c>
      <c r="I5" s="9">
        <f>'Data Sheet'!I43</f>
        <v>20335</v>
      </c>
      <c r="J5" s="9">
        <f>'Data Sheet'!J43</f>
        <v>20743</v>
      </c>
      <c r="K5" s="9">
        <f>'Data Sheet'!K43</f>
        <v>20931</v>
      </c>
    </row>
    <row r="6" spans="1:11" s="8" customFormat="1" x14ac:dyDescent="0.2">
      <c r="A6" s="8" t="s">
        <v>8</v>
      </c>
      <c r="B6" s="1">
        <f>'Data Sheet'!B50</f>
        <v>4549</v>
      </c>
      <c r="C6" s="1">
        <f>'Data Sheet'!C50</f>
        <v>5062</v>
      </c>
      <c r="D6" s="1">
        <f>'Data Sheet'!D50</f>
        <v>5022</v>
      </c>
      <c r="E6" s="1">
        <f>'Data Sheet'!E50</f>
        <v>5393</v>
      </c>
      <c r="F6" s="1">
        <f>'Data Sheet'!F50</f>
        <v>5052</v>
      </c>
      <c r="G6" s="1">
        <f>'Data Sheet'!G50</f>
        <v>4975</v>
      </c>
      <c r="H6" s="1">
        <f>'Data Sheet'!H50</f>
        <v>5425</v>
      </c>
      <c r="I6" s="1">
        <f>'Data Sheet'!I50</f>
        <v>6365</v>
      </c>
      <c r="J6" s="1">
        <f>'Data Sheet'!J50</f>
        <v>5863</v>
      </c>
      <c r="K6" s="1">
        <f>'Data Sheet'!K50</f>
        <v>5365</v>
      </c>
    </row>
    <row r="7" spans="1:11" x14ac:dyDescent="0.2">
      <c r="A7" s="6" t="s">
        <v>9</v>
      </c>
      <c r="B7" s="9">
        <f>'Data Sheet'!B44</f>
        <v>244</v>
      </c>
      <c r="C7" s="9">
        <f>'Data Sheet'!C44</f>
        <v>255</v>
      </c>
      <c r="D7" s="9">
        <f>'Data Sheet'!D44</f>
        <v>240</v>
      </c>
      <c r="E7" s="9">
        <f>'Data Sheet'!E44</f>
        <v>255</v>
      </c>
      <c r="F7" s="9">
        <f>'Data Sheet'!F44</f>
        <v>317</v>
      </c>
      <c r="G7" s="9">
        <f>'Data Sheet'!G44</f>
        <v>409</v>
      </c>
      <c r="H7" s="9">
        <f>'Data Sheet'!H44</f>
        <v>236</v>
      </c>
      <c r="I7" s="9">
        <f>'Data Sheet'!I44</f>
        <v>260</v>
      </c>
      <c r="J7" s="9">
        <f>'Data Sheet'!J44</f>
        <v>453</v>
      </c>
      <c r="K7" s="9">
        <f>'Data Sheet'!K44</f>
        <v>344</v>
      </c>
    </row>
    <row r="8" spans="1:11" x14ac:dyDescent="0.2">
      <c r="A8" s="6" t="s">
        <v>10</v>
      </c>
      <c r="B8" s="9">
        <f>'Data Sheet'!B45</f>
        <v>1267</v>
      </c>
      <c r="C8" s="9">
        <f>'Data Sheet'!C45</f>
        <v>1128</v>
      </c>
      <c r="D8" s="9">
        <f>'Data Sheet'!D45</f>
        <v>1078</v>
      </c>
      <c r="E8" s="9">
        <f>'Data Sheet'!E45</f>
        <v>1136</v>
      </c>
      <c r="F8" s="9">
        <f>'Data Sheet'!F45</f>
        <v>984</v>
      </c>
      <c r="G8" s="9">
        <f>'Data Sheet'!G45</f>
        <v>983</v>
      </c>
      <c r="H8" s="9">
        <f>'Data Sheet'!H45</f>
        <v>998</v>
      </c>
      <c r="I8" s="9">
        <f>'Data Sheet'!I45</f>
        <v>1137</v>
      </c>
      <c r="J8" s="9">
        <f>'Data Sheet'!J45</f>
        <v>1027</v>
      </c>
      <c r="K8" s="9">
        <f>'Data Sheet'!K45</f>
        <v>927</v>
      </c>
    </row>
    <row r="9" spans="1:11" x14ac:dyDescent="0.2">
      <c r="A9" s="6" t="s">
        <v>11</v>
      </c>
      <c r="B9" s="9">
        <f>'Data Sheet'!B46</f>
        <v>159</v>
      </c>
      <c r="C9" s="9">
        <f>'Data Sheet'!C46</f>
        <v>89</v>
      </c>
      <c r="D9" s="9">
        <f>'Data Sheet'!D46</f>
        <v>83</v>
      </c>
      <c r="E9" s="9">
        <f>'Data Sheet'!E46</f>
        <v>82</v>
      </c>
      <c r="F9" s="9">
        <f>'Data Sheet'!F46</f>
        <v>65</v>
      </c>
      <c r="G9" s="9">
        <f>'Data Sheet'!G46</f>
        <v>64</v>
      </c>
      <c r="H9" s="9">
        <f>'Data Sheet'!H46</f>
        <v>79</v>
      </c>
      <c r="I9" s="9">
        <f>'Data Sheet'!I46</f>
        <v>116</v>
      </c>
      <c r="J9" s="9">
        <f>'Data Sheet'!J46</f>
        <v>94</v>
      </c>
      <c r="K9" s="9">
        <f>'Data Sheet'!K46</f>
        <v>86</v>
      </c>
    </row>
    <row r="10" spans="1:11" x14ac:dyDescent="0.2">
      <c r="A10" s="6" t="s">
        <v>12</v>
      </c>
      <c r="B10" s="9">
        <f>'Data Sheet'!B47</f>
        <v>3367</v>
      </c>
      <c r="C10" s="9">
        <f>'Data Sheet'!C47</f>
        <v>4100</v>
      </c>
      <c r="D10" s="9">
        <f>'Data Sheet'!D47</f>
        <v>4101</v>
      </c>
      <c r="E10" s="9">
        <f>'Data Sheet'!E47</f>
        <v>4430</v>
      </c>
      <c r="F10" s="9">
        <f>'Data Sheet'!F47</f>
        <v>4320</v>
      </c>
      <c r="G10" s="9">
        <f>'Data Sheet'!G47</f>
        <v>4337</v>
      </c>
      <c r="H10" s="9">
        <f>'Data Sheet'!H47</f>
        <v>4584</v>
      </c>
      <c r="I10" s="9">
        <f>'Data Sheet'!I47</f>
        <v>5372</v>
      </c>
      <c r="J10" s="9">
        <f>'Data Sheet'!J47</f>
        <v>5195</v>
      </c>
      <c r="K10" s="9">
        <f>'Data Sheet'!K47</f>
        <v>4696</v>
      </c>
    </row>
    <row r="11" spans="1:11" x14ac:dyDescent="0.3">
      <c r="A11" s="6" t="s">
        <v>13</v>
      </c>
      <c r="B11" s="9">
        <f>'Data Sheet'!B48</f>
        <v>2256</v>
      </c>
      <c r="C11" s="9">
        <f>'Data Sheet'!C48</f>
        <v>887</v>
      </c>
      <c r="D11" s="9">
        <f>'Data Sheet'!D48</f>
        <v>838</v>
      </c>
      <c r="E11" s="9">
        <f>'Data Sheet'!E48</f>
        <v>982</v>
      </c>
      <c r="F11" s="9">
        <f>'Data Sheet'!F48</f>
        <v>721</v>
      </c>
      <c r="G11" s="9">
        <f>'Data Sheet'!G48</f>
        <v>1056</v>
      </c>
      <c r="H11" s="9">
        <f>'Data Sheet'!H48</f>
        <v>1097</v>
      </c>
      <c r="I11" s="9">
        <f>'Data Sheet'!I48</f>
        <v>1276</v>
      </c>
      <c r="J11" s="9">
        <f>'Data Sheet'!J48</f>
        <v>1214</v>
      </c>
      <c r="K11" s="9">
        <f>'Data Sheet'!K48</f>
        <v>1165</v>
      </c>
    </row>
    <row r="12" spans="1:11" s="8" customFormat="1" x14ac:dyDescent="0.3">
      <c r="A12" s="8" t="s">
        <v>14</v>
      </c>
      <c r="B12" s="1">
        <f>'Data Sheet'!B49</f>
        <v>1102</v>
      </c>
      <c r="C12" s="1">
        <f>'Data Sheet'!C49</f>
        <v>3205</v>
      </c>
      <c r="D12" s="1">
        <f>'Data Sheet'!D49</f>
        <v>3259</v>
      </c>
      <c r="E12" s="1">
        <f>'Data Sheet'!E49</f>
        <v>3442</v>
      </c>
      <c r="F12" s="1">
        <f>'Data Sheet'!F49</f>
        <v>3593</v>
      </c>
      <c r="G12" s="1">
        <f>'Data Sheet'!G49</f>
        <v>3283</v>
      </c>
      <c r="H12" s="1">
        <f>'Data Sheet'!H49</f>
        <v>3489</v>
      </c>
      <c r="I12" s="1">
        <f>'Data Sheet'!I49</f>
        <v>4096</v>
      </c>
      <c r="J12" s="1">
        <f>'Data Sheet'!J49</f>
        <v>3983</v>
      </c>
      <c r="K12" s="1">
        <f>'Data Sheet'!K49</f>
        <v>3534</v>
      </c>
    </row>
    <row r="14" spans="1:11" s="8" customFormat="1" x14ac:dyDescent="0.3">
      <c r="A14" s="2" t="s">
        <v>18</v>
      </c>
      <c r="B14" s="14">
        <f>IF(B4&gt;0,B6/B4,"")</f>
        <v>0.23160735196782242</v>
      </c>
      <c r="C14" s="14">
        <f t="shared" ref="C14:K14" si="0">IF(C4&gt;0,C6/C4,"")</f>
        <v>0.25224237592186566</v>
      </c>
      <c r="D14" s="14">
        <f t="shared" si="0"/>
        <v>0.24313725490196078</v>
      </c>
      <c r="E14" s="14">
        <f t="shared" si="0"/>
        <v>0.24150284358067262</v>
      </c>
      <c r="F14" s="14">
        <f t="shared" si="0"/>
        <v>0.22356950037615614</v>
      </c>
      <c r="G14" s="14">
        <f t="shared" si="0"/>
        <v>0.21202693487896351</v>
      </c>
      <c r="H14" s="14">
        <f t="shared" si="0"/>
        <v>0.2197601879607875</v>
      </c>
      <c r="I14" s="14">
        <f t="shared" si="0"/>
        <v>0.23838951310861423</v>
      </c>
      <c r="J14" s="14">
        <f t="shared" si="0"/>
        <v>0.22036382770803578</v>
      </c>
      <c r="K14" s="14">
        <f t="shared" si="0"/>
        <v>0.20402342561606329</v>
      </c>
    </row>
    <row r="22" s="30" customFormat="1" x14ac:dyDescent="0.3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M15" sqref="M15"/>
      <selection pane="topRight" activeCell="M15" sqref="M15"/>
      <selection pane="bottomLeft" activeCell="M15" sqref="M15"/>
      <selection pane="bottomRight" activeCell="M15" sqref="M15"/>
    </sheetView>
  </sheetViews>
  <sheetFormatPr defaultColWidth="8.77734375" defaultRowHeight="14.4" x14ac:dyDescent="0.3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 x14ac:dyDescent="0.2">
      <c r="A1" s="8" t="str">
        <f>'Profit &amp; Loss'!A1</f>
        <v>HCL TECHNOLOGIES LTD</v>
      </c>
      <c r="E1" t="str">
        <f>UPDATE</f>
        <v/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  <v>41820</v>
      </c>
      <c r="C3" s="16">
        <f>'Data Sheet'!C56</f>
        <v>42185</v>
      </c>
      <c r="D3" s="16">
        <f>'Data Sheet'!D56</f>
        <v>42460</v>
      </c>
      <c r="E3" s="16">
        <f>'Data Sheet'!E56</f>
        <v>42825</v>
      </c>
      <c r="F3" s="16">
        <f>'Data Sheet'!F56</f>
        <v>43190</v>
      </c>
      <c r="G3" s="16">
        <f>'Data Sheet'!G56</f>
        <v>43555</v>
      </c>
      <c r="H3" s="16">
        <f>'Data Sheet'!H56</f>
        <v>43921</v>
      </c>
      <c r="I3" s="16">
        <f>'Data Sheet'!I56</f>
        <v>44286</v>
      </c>
      <c r="J3" s="16">
        <f>'Data Sheet'!J56</f>
        <v>44651</v>
      </c>
      <c r="K3" s="16">
        <f>'Data Sheet'!K56</f>
        <v>45016</v>
      </c>
    </row>
    <row r="4" spans="1:11" x14ac:dyDescent="0.2">
      <c r="A4" s="6" t="s">
        <v>24</v>
      </c>
      <c r="B4" s="19">
        <f>'Data Sheet'!B57</f>
        <v>140</v>
      </c>
      <c r="C4" s="19">
        <f>'Data Sheet'!C57</f>
        <v>281.2</v>
      </c>
      <c r="D4" s="19">
        <f>'Data Sheet'!D57</f>
        <v>282.08</v>
      </c>
      <c r="E4" s="19">
        <f>'Data Sheet'!E57</f>
        <v>285</v>
      </c>
      <c r="F4" s="19">
        <f>'Data Sheet'!F57</f>
        <v>278</v>
      </c>
      <c r="G4" s="19">
        <f>'Data Sheet'!G57</f>
        <v>271</v>
      </c>
      <c r="H4" s="19">
        <f>'Data Sheet'!H57</f>
        <v>543</v>
      </c>
      <c r="I4" s="19">
        <f>'Data Sheet'!I57</f>
        <v>543</v>
      </c>
      <c r="J4" s="19">
        <f>'Data Sheet'!J57</f>
        <v>543</v>
      </c>
      <c r="K4" s="19">
        <f>'Data Sheet'!K57</f>
        <v>543</v>
      </c>
    </row>
    <row r="5" spans="1:11" s="6" customFormat="1" x14ac:dyDescent="0.2">
      <c r="A5" s="6" t="s">
        <v>25</v>
      </c>
      <c r="B5" s="19">
        <f>'Data Sheet'!B58</f>
        <v>19409.830000000002</v>
      </c>
      <c r="C5" s="19">
        <f>'Data Sheet'!C58</f>
        <v>23943.21</v>
      </c>
      <c r="D5" s="19">
        <f>'Data Sheet'!D58</f>
        <v>27108.69</v>
      </c>
      <c r="E5" s="19">
        <f>'Data Sheet'!E58</f>
        <v>32664</v>
      </c>
      <c r="F5" s="19">
        <f>'Data Sheet'!F58</f>
        <v>36108</v>
      </c>
      <c r="G5" s="19">
        <f>'Data Sheet'!G58</f>
        <v>41095</v>
      </c>
      <c r="H5" s="19">
        <f>'Data Sheet'!H58</f>
        <v>50724</v>
      </c>
      <c r="I5" s="19">
        <f>'Data Sheet'!I58</f>
        <v>59370</v>
      </c>
      <c r="J5" s="19">
        <f>'Data Sheet'!J58</f>
        <v>61371</v>
      </c>
      <c r="K5" s="19">
        <f>'Data Sheet'!K58</f>
        <v>64862</v>
      </c>
    </row>
    <row r="6" spans="1:11" x14ac:dyDescent="0.2">
      <c r="A6" s="11" t="s">
        <v>71</v>
      </c>
      <c r="B6" s="19">
        <f>'Data Sheet'!B59</f>
        <v>1018.05</v>
      </c>
      <c r="C6" s="19">
        <f>'Data Sheet'!C59</f>
        <v>647.76</v>
      </c>
      <c r="D6" s="19">
        <f>'Data Sheet'!D59</f>
        <v>1090.3599999999999</v>
      </c>
      <c r="E6" s="19">
        <f>'Data Sheet'!E59</f>
        <v>582</v>
      </c>
      <c r="F6" s="19">
        <f>'Data Sheet'!F59</f>
        <v>557</v>
      </c>
      <c r="G6" s="19">
        <f>'Data Sheet'!G59</f>
        <v>4195</v>
      </c>
      <c r="H6" s="19">
        <f>'Data Sheet'!H59</f>
        <v>7986</v>
      </c>
      <c r="I6" s="19">
        <f>'Data Sheet'!I59</f>
        <v>6864</v>
      </c>
      <c r="J6" s="19">
        <f>'Data Sheet'!J59</f>
        <v>6343</v>
      </c>
      <c r="K6" s="19">
        <f>'Data Sheet'!K59</f>
        <v>4794</v>
      </c>
    </row>
    <row r="7" spans="1:11" s="6" customFormat="1" x14ac:dyDescent="0.2">
      <c r="A7" s="11" t="s">
        <v>72</v>
      </c>
      <c r="B7" s="19">
        <f>'Data Sheet'!B60</f>
        <v>9411.81</v>
      </c>
      <c r="C7" s="19">
        <f>'Data Sheet'!C60</f>
        <v>10372.5</v>
      </c>
      <c r="D7" s="19">
        <f>'Data Sheet'!D60</f>
        <v>10859.47</v>
      </c>
      <c r="E7" s="19">
        <f>'Data Sheet'!E60</f>
        <v>12231</v>
      </c>
      <c r="F7" s="19">
        <f>'Data Sheet'!F60</f>
        <v>11046</v>
      </c>
      <c r="G7" s="19">
        <f>'Data Sheet'!G60</f>
        <v>12788</v>
      </c>
      <c r="H7" s="19">
        <f>'Data Sheet'!H60</f>
        <v>23566</v>
      </c>
      <c r="I7" s="19">
        <f>'Data Sheet'!I60</f>
        <v>19270</v>
      </c>
      <c r="J7" s="19">
        <f>'Data Sheet'!J60</f>
        <v>20664</v>
      </c>
      <c r="K7" s="19">
        <f>'Data Sheet'!K60</f>
        <v>23051</v>
      </c>
    </row>
    <row r="8" spans="1:11" s="8" customFormat="1" x14ac:dyDescent="0.2">
      <c r="A8" s="8" t="s">
        <v>26</v>
      </c>
      <c r="B8" s="20">
        <f>'Data Sheet'!B61</f>
        <v>29979.69</v>
      </c>
      <c r="C8" s="20">
        <f>'Data Sheet'!C61</f>
        <v>35244.67</v>
      </c>
      <c r="D8" s="20">
        <f>'Data Sheet'!D61</f>
        <v>39340.6</v>
      </c>
      <c r="E8" s="20">
        <f>'Data Sheet'!E61</f>
        <v>45762</v>
      </c>
      <c r="F8" s="20">
        <f>'Data Sheet'!F61</f>
        <v>47989</v>
      </c>
      <c r="G8" s="20">
        <f>'Data Sheet'!G61</f>
        <v>58349</v>
      </c>
      <c r="H8" s="20">
        <f>'Data Sheet'!H61</f>
        <v>82819</v>
      </c>
      <c r="I8" s="20">
        <f>'Data Sheet'!I61</f>
        <v>86047</v>
      </c>
      <c r="J8" s="20">
        <f>'Data Sheet'!J61</f>
        <v>88921</v>
      </c>
      <c r="K8" s="20">
        <f>'Data Sheet'!K61</f>
        <v>93250</v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  <v>7443.94</v>
      </c>
      <c r="C10" s="19">
        <f>'Data Sheet'!C62</f>
        <v>8275.27</v>
      </c>
      <c r="D10" s="19">
        <f>'Data Sheet'!D62</f>
        <v>9716.09</v>
      </c>
      <c r="E10" s="19">
        <f>'Data Sheet'!E62</f>
        <v>15235</v>
      </c>
      <c r="F10" s="19">
        <f>'Data Sheet'!F62</f>
        <v>18753</v>
      </c>
      <c r="G10" s="19">
        <f>'Data Sheet'!G62</f>
        <v>22888</v>
      </c>
      <c r="H10" s="19">
        <f>'Data Sheet'!H62</f>
        <v>37490</v>
      </c>
      <c r="I10" s="19">
        <f>'Data Sheet'!I62</f>
        <v>37145</v>
      </c>
      <c r="J10" s="19">
        <f>'Data Sheet'!J62</f>
        <v>35077</v>
      </c>
      <c r="K10" s="19">
        <f>'Data Sheet'!K62</f>
        <v>34619</v>
      </c>
    </row>
    <row r="11" spans="1:11" x14ac:dyDescent="0.2">
      <c r="A11" s="6" t="s">
        <v>28</v>
      </c>
      <c r="B11" s="19">
        <f>'Data Sheet'!B63</f>
        <v>530.95000000000005</v>
      </c>
      <c r="C11" s="19">
        <f>'Data Sheet'!C63</f>
        <v>551.52</v>
      </c>
      <c r="D11" s="19">
        <f>'Data Sheet'!D63</f>
        <v>610.9</v>
      </c>
      <c r="E11" s="19">
        <f>'Data Sheet'!E63</f>
        <v>448</v>
      </c>
      <c r="F11" s="19">
        <f>'Data Sheet'!F63</f>
        <v>320</v>
      </c>
      <c r="G11" s="19">
        <f>'Data Sheet'!G63</f>
        <v>235</v>
      </c>
      <c r="H11" s="19">
        <f>'Data Sheet'!H63</f>
        <v>400</v>
      </c>
      <c r="I11" s="19">
        <f>'Data Sheet'!I63</f>
        <v>312</v>
      </c>
      <c r="J11" s="19">
        <f>'Data Sheet'!J63</f>
        <v>129</v>
      </c>
      <c r="K11" s="19">
        <f>'Data Sheet'!K63</f>
        <v>40</v>
      </c>
    </row>
    <row r="12" spans="1:11" x14ac:dyDescent="0.3">
      <c r="A12" s="6" t="s">
        <v>29</v>
      </c>
      <c r="B12" s="19">
        <f>'Data Sheet'!B64</f>
        <v>661.69</v>
      </c>
      <c r="C12" s="19">
        <f>'Data Sheet'!C64</f>
        <v>869.39</v>
      </c>
      <c r="D12" s="19">
        <f>'Data Sheet'!D64</f>
        <v>698.38</v>
      </c>
      <c r="E12" s="19">
        <f>'Data Sheet'!E64</f>
        <v>1306</v>
      </c>
      <c r="F12" s="19">
        <f>'Data Sheet'!F64</f>
        <v>2660</v>
      </c>
      <c r="G12" s="19">
        <f>'Data Sheet'!G64</f>
        <v>2305</v>
      </c>
      <c r="H12" s="19">
        <f>'Data Sheet'!H64</f>
        <v>7066</v>
      </c>
      <c r="I12" s="19">
        <f>'Data Sheet'!I64</f>
        <v>6862</v>
      </c>
      <c r="J12" s="19">
        <f>'Data Sheet'!J64</f>
        <v>6351</v>
      </c>
      <c r="K12" s="19">
        <f>'Data Sheet'!K64</f>
        <v>5495</v>
      </c>
    </row>
    <row r="13" spans="1:11" x14ac:dyDescent="0.3">
      <c r="A13" s="11" t="s">
        <v>73</v>
      </c>
      <c r="B13" s="19">
        <f>'Data Sheet'!B65</f>
        <v>21343.11</v>
      </c>
      <c r="C13" s="19">
        <f>'Data Sheet'!C65</f>
        <v>25548.49</v>
      </c>
      <c r="D13" s="19">
        <f>'Data Sheet'!D65</f>
        <v>28315.23</v>
      </c>
      <c r="E13" s="19">
        <f>'Data Sheet'!E65</f>
        <v>28773</v>
      </c>
      <c r="F13" s="19">
        <f>'Data Sheet'!F65</f>
        <v>26256</v>
      </c>
      <c r="G13" s="19">
        <f>'Data Sheet'!G65</f>
        <v>32921</v>
      </c>
      <c r="H13" s="19">
        <f>'Data Sheet'!H65</f>
        <v>37863</v>
      </c>
      <c r="I13" s="19">
        <f>'Data Sheet'!I65</f>
        <v>41728</v>
      </c>
      <c r="J13" s="19">
        <f>'Data Sheet'!J65</f>
        <v>47364</v>
      </c>
      <c r="K13" s="19">
        <f>'Data Sheet'!K65</f>
        <v>53096</v>
      </c>
    </row>
    <row r="14" spans="1:11" s="8" customFormat="1" x14ac:dyDescent="0.3">
      <c r="A14" s="8" t="s">
        <v>26</v>
      </c>
      <c r="B14" s="19">
        <f>'Data Sheet'!B66</f>
        <v>29979.69</v>
      </c>
      <c r="C14" s="19">
        <f>'Data Sheet'!C66</f>
        <v>35244.67</v>
      </c>
      <c r="D14" s="19">
        <f>'Data Sheet'!D66</f>
        <v>39340.6</v>
      </c>
      <c r="E14" s="19">
        <f>'Data Sheet'!E66</f>
        <v>45762</v>
      </c>
      <c r="F14" s="19">
        <f>'Data Sheet'!F66</f>
        <v>47989</v>
      </c>
      <c r="G14" s="19">
        <f>'Data Sheet'!G66</f>
        <v>58349</v>
      </c>
      <c r="H14" s="19">
        <f>'Data Sheet'!H66</f>
        <v>82819</v>
      </c>
      <c r="I14" s="19">
        <f>'Data Sheet'!I66</f>
        <v>86047</v>
      </c>
      <c r="J14" s="19">
        <f>'Data Sheet'!J66</f>
        <v>88921</v>
      </c>
      <c r="K14" s="19">
        <f>'Data Sheet'!K66</f>
        <v>93250</v>
      </c>
    </row>
    <row r="15" spans="1:11" x14ac:dyDescent="0.3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9" t="s">
        <v>30</v>
      </c>
      <c r="B16" s="21">
        <f>B13-B7</f>
        <v>11931.300000000001</v>
      </c>
      <c r="C16" s="21">
        <f t="shared" ref="C16:K16" si="0">C13-C7</f>
        <v>15175.990000000002</v>
      </c>
      <c r="D16" s="21">
        <f t="shared" si="0"/>
        <v>17455.760000000002</v>
      </c>
      <c r="E16" s="21">
        <f t="shared" si="0"/>
        <v>16542</v>
      </c>
      <c r="F16" s="21">
        <f t="shared" si="0"/>
        <v>15210</v>
      </c>
      <c r="G16" s="21">
        <f t="shared" si="0"/>
        <v>20133</v>
      </c>
      <c r="H16" s="21">
        <f t="shared" si="0"/>
        <v>14297</v>
      </c>
      <c r="I16" s="21">
        <f t="shared" si="0"/>
        <v>22458</v>
      </c>
      <c r="J16" s="21">
        <f t="shared" si="0"/>
        <v>26700</v>
      </c>
      <c r="K16" s="21">
        <f t="shared" si="0"/>
        <v>30045</v>
      </c>
    </row>
    <row r="17" spans="1:11" x14ac:dyDescent="0.3">
      <c r="A17" s="11" t="s">
        <v>44</v>
      </c>
      <c r="B17" s="21">
        <f>'Data Sheet'!B67</f>
        <v>5682.84</v>
      </c>
      <c r="C17" s="21">
        <f>'Data Sheet'!C67</f>
        <v>6538.69</v>
      </c>
      <c r="D17" s="21">
        <f>'Data Sheet'!D67</f>
        <v>7721.14</v>
      </c>
      <c r="E17" s="21">
        <f>'Data Sheet'!E67</f>
        <v>8301</v>
      </c>
      <c r="F17" s="21">
        <f>'Data Sheet'!F67</f>
        <v>9639</v>
      </c>
      <c r="G17" s="21">
        <f>'Data Sheet'!G67</f>
        <v>11706</v>
      </c>
      <c r="H17" s="21">
        <f>'Data Sheet'!H67</f>
        <v>14131</v>
      </c>
      <c r="I17" s="21">
        <f>'Data Sheet'!I67</f>
        <v>17525</v>
      </c>
      <c r="J17" s="21">
        <f>'Data Sheet'!J67</f>
        <v>20671</v>
      </c>
      <c r="K17" s="21">
        <f>'Data Sheet'!K67</f>
        <v>25506</v>
      </c>
    </row>
    <row r="18" spans="1:11" x14ac:dyDescent="0.3">
      <c r="A18" s="11" t="s">
        <v>45</v>
      </c>
      <c r="B18" s="21">
        <f>'Data Sheet'!B68</f>
        <v>122.3</v>
      </c>
      <c r="C18" s="21">
        <f>'Data Sheet'!C68</f>
        <v>157.61000000000001</v>
      </c>
      <c r="D18" s="21">
        <f>'Data Sheet'!D68</f>
        <v>264.48</v>
      </c>
      <c r="E18" s="21">
        <f>'Data Sheet'!E68</f>
        <v>276</v>
      </c>
      <c r="F18" s="21">
        <f>'Data Sheet'!F68</f>
        <v>172</v>
      </c>
      <c r="G18" s="21">
        <f>'Data Sheet'!G68</f>
        <v>91</v>
      </c>
      <c r="H18" s="21">
        <f>'Data Sheet'!H68</f>
        <v>91</v>
      </c>
      <c r="I18" s="21">
        <f>'Data Sheet'!I68</f>
        <v>94</v>
      </c>
      <c r="J18" s="21">
        <f>'Data Sheet'!J68</f>
        <v>161</v>
      </c>
      <c r="K18" s="21">
        <f>'Data Sheet'!K68</f>
        <v>228</v>
      </c>
    </row>
    <row r="20" spans="1:11" x14ac:dyDescent="0.3">
      <c r="A20" s="11" t="s">
        <v>46</v>
      </c>
      <c r="B20" s="5">
        <f>IF('Profit &amp; Loss'!B4&gt;0,'Balance Sheet'!B17/('Profit &amp; Loss'!B4/365),0)</f>
        <v>64.530193512499821</v>
      </c>
      <c r="C20" s="5">
        <f>IF('Profit &amp; Loss'!C4&gt;0,'Balance Sheet'!C17/('Profit &amp; Loss'!C4/365),0)</f>
        <v>65.028406412647854</v>
      </c>
      <c r="D20" s="5">
        <f>IF('Profit &amp; Loss'!D4&gt;0,'Balance Sheet'!D17/('Profit &amp; Loss'!D4/365),0)</f>
        <v>90.51328143617954</v>
      </c>
      <c r="E20" s="5">
        <f>IF('Profit &amp; Loss'!E4&gt;0,'Balance Sheet'!E17/('Profit &amp; Loss'!E4/365),0)</f>
        <v>63.695446518668007</v>
      </c>
      <c r="F20" s="5">
        <f>IF('Profit &amp; Loss'!F4&gt;0,'Balance Sheet'!F17/('Profit &amp; Loss'!F4/365),0)</f>
        <v>69.572959718404562</v>
      </c>
      <c r="G20" s="5">
        <f>IF('Profit &amp; Loss'!G4&gt;0,'Balance Sheet'!G17/('Profit &amp; Loss'!G4/365),0)</f>
        <v>70.708292650636309</v>
      </c>
      <c r="H20" s="5">
        <f>IF('Profit &amp; Loss'!H4&gt;0,'Balance Sheet'!H17/('Profit &amp; Loss'!H4/365),0)</f>
        <v>72.978309468560752</v>
      </c>
      <c r="I20" s="5">
        <f>IF('Profit &amp; Loss'!I4&gt;0,'Balance Sheet'!I17/('Profit &amp; Loss'!I4/365),0)</f>
        <v>84.859509943087602</v>
      </c>
      <c r="J20" s="5">
        <f>IF('Profit &amp; Loss'!J4&gt;0,'Balance Sheet'!J17/('Profit &amp; Loss'!J4/365),0)</f>
        <v>88.089047413340182</v>
      </c>
      <c r="K20" s="5">
        <f>IF('Profit &amp; Loss'!K4&gt;0,'Balance Sheet'!K17/('Profit &amp; Loss'!K4/365),0)</f>
        <v>91.760861851442996</v>
      </c>
    </row>
    <row r="21" spans="1:11" x14ac:dyDescent="0.3">
      <c r="A21" s="11" t="s">
        <v>47</v>
      </c>
      <c r="B21" s="5">
        <f>IF('Balance Sheet'!B18&gt;0,'Profit &amp; Loss'!B4/'Balance Sheet'!B18,0)</f>
        <v>262.82632869991824</v>
      </c>
      <c r="C21" s="5">
        <f>IF('Balance Sheet'!C18&gt;0,'Profit &amp; Loss'!C4/'Balance Sheet'!C18,0)</f>
        <v>232.86098597804707</v>
      </c>
      <c r="D21" s="5">
        <f>IF('Balance Sheet'!D18&gt;0,'Profit &amp; Loss'!D4/'Balance Sheet'!D18,0)</f>
        <v>117.7251209921355</v>
      </c>
      <c r="E21" s="5">
        <f>IF('Balance Sheet'!E18&gt;0,'Profit &amp; Loss'!E4/'Balance Sheet'!E18,0)</f>
        <v>172.34782608695653</v>
      </c>
      <c r="F21" s="5">
        <f>IF('Balance Sheet'!F18&gt;0,'Profit &amp; Loss'!F4/'Balance Sheet'!F18,0)</f>
        <v>294.00581395348837</v>
      </c>
      <c r="G21" s="5">
        <f>IF('Balance Sheet'!G18&gt;0,'Profit &amp; Loss'!G4/'Balance Sheet'!G18,0)</f>
        <v>664.03296703296701</v>
      </c>
      <c r="H21" s="5">
        <f>IF('Balance Sheet'!H18&gt;0,'Profit &amp; Loss'!H4/'Balance Sheet'!H18,0)</f>
        <v>776.65934065934061</v>
      </c>
      <c r="I21" s="5">
        <f>IF('Balance Sheet'!I18&gt;0,'Profit &amp; Loss'!I4/'Balance Sheet'!I18,0)</f>
        <v>801.90425531914889</v>
      </c>
      <c r="J21" s="5">
        <f>IF('Balance Sheet'!J18&gt;0,'Profit &amp; Loss'!J4/'Balance Sheet'!J18,0)</f>
        <v>531.99378881987582</v>
      </c>
      <c r="K21" s="5">
        <f>IF('Balance Sheet'!K18&gt;0,'Profit &amp; Loss'!K4/'Balance Sheet'!K18,0)</f>
        <v>444.98245614035091</v>
      </c>
    </row>
    <row r="23" spans="1:11" s="8" customFormat="1" x14ac:dyDescent="0.3">
      <c r="A23" s="8" t="s">
        <v>59</v>
      </c>
      <c r="B23" s="14">
        <f>IF(SUM('Balance Sheet'!B4:B5)&gt;0,'Profit &amp; Loss'!B12/SUM('Balance Sheet'!B4:B5),"")</f>
        <v>0.33297015881979536</v>
      </c>
      <c r="C23" s="14">
        <f>IF(SUM('Balance Sheet'!C4:C5)&gt;0,'Profit &amp; Loss'!C12/SUM('Balance Sheet'!C4:C5),"")</f>
        <v>0.30205358974687102</v>
      </c>
      <c r="D23" s="14">
        <f>IF(SUM('Balance Sheet'!D4:D5)&gt;0,'Profit &amp; Loss'!D12/SUM('Balance Sheet'!D4:D5),"")</f>
        <v>0.20453714882787158</v>
      </c>
      <c r="E23" s="14">
        <f>IF(SUM('Balance Sheet'!E4:E5)&gt;0,'Profit &amp; Loss'!E12/SUM('Balance Sheet'!E4:E5),"")</f>
        <v>0.26119153843819237</v>
      </c>
      <c r="F23" s="14">
        <f>IF(SUM('Balance Sheet'!F4:F5)&gt;0,'Profit &amp; Loss'!F12/SUM('Balance Sheet'!F4:F5),"")</f>
        <v>0.23968009674050458</v>
      </c>
      <c r="G23" s="14">
        <f>IF(SUM('Balance Sheet'!G4:G5)&gt;0,'Profit &amp; Loss'!G12/SUM('Balance Sheet'!G4:G5),"")</f>
        <v>0.2446453609244307</v>
      </c>
      <c r="H23" s="14">
        <f>IF(SUM('Balance Sheet'!H4:H5)&gt;0,'Profit &amp; Loss'!H12/SUM('Balance Sheet'!H4:H5),"")</f>
        <v>0.2156748005539626</v>
      </c>
      <c r="I23" s="14">
        <f>IF(SUM('Balance Sheet'!I4:I5)&gt;0,'Profit &amp; Loss'!I12/SUM('Balance Sheet'!I4:I5),"")</f>
        <v>0.18601972860647939</v>
      </c>
      <c r="J23" s="14">
        <f>IF(SUM('Balance Sheet'!J4:J5)&gt;0,'Profit &amp; Loss'!J12/SUM('Balance Sheet'!J4:J5),"")</f>
        <v>0.21802823270988791</v>
      </c>
      <c r="K23" s="14">
        <f>IF(SUM('Balance Sheet'!K4:K5)&gt;0,'Profit &amp; Loss'!K12/SUM('Balance Sheet'!K4:K5),"")</f>
        <v>0.22706215121168105</v>
      </c>
    </row>
    <row r="24" spans="1:11" s="8" customFormat="1" x14ac:dyDescent="0.3">
      <c r="A24" s="8" t="s">
        <v>60</v>
      </c>
      <c r="B24" s="14"/>
      <c r="C24" s="14">
        <f>IF((B4+B5+B6+C4+C5+C6)&gt;0,('Profit &amp; Loss'!C10+'Profit &amp; Loss'!C9)*2/(B4+B5+B6+C4+C5+C6),"")</f>
        <v>0.40529400825923378</v>
      </c>
      <c r="D24" s="14">
        <f>IF((C4+C5+C6+D4+D5+D6)&gt;0,('Profit &amp; Loss'!D10+'Profit &amp; Loss'!D9)*2/(C4+C5+C6+D4+D5+D6),"")</f>
        <v>0.26669690534606105</v>
      </c>
      <c r="E24" s="14">
        <f>IF((D4+D5+D6+E4+E5+E6)&gt;0,('Profit &amp; Loss'!E10+'Profit &amp; Loss'!E9)*2/(D4+D5+D6+E4+E5+E6),"")</f>
        <v>0.3428684033268975</v>
      </c>
      <c r="F24" s="14">
        <f>IF((E4+E5+E6+F4+F5+F6)&gt;0,('Profit &amp; Loss'!F10+'Profit &amp; Loss'!F9)*2/(E4+E5+E6+F4+F5+F6),"")</f>
        <v>0.31481113602179528</v>
      </c>
      <c r="G24" s="14">
        <f>IF((F4+F5+F6+G4+G5+G6)&gt;0,('Profit &amp; Loss'!G10+'Profit &amp; Loss'!G9)*2/(F4+F5+F6+G4+G5+G6),"")</f>
        <v>0.31019102104140406</v>
      </c>
      <c r="H24" s="14">
        <f>IF((G4+G5+G6+H4+H5+H6)&gt;0,('Profit &amp; Loss'!H10+'Profit &amp; Loss'!H9)*2/(G4+G5+G6+H4+H5+H6),"")</f>
        <v>0.27639437479725992</v>
      </c>
      <c r="I24" s="14">
        <f>IF((H4+H5+H6+I4+I5+I6)&gt;0,('Profit &amp; Loss'!I10+'Profit &amp; Loss'!I9)*2/(H4+H5+H6+I4+I5+I6),"")</f>
        <v>0.25968420217408555</v>
      </c>
      <c r="J24" s="14">
        <f>IF((I4+I5+I6+J4+J5+J6)&gt;0,('Profit &amp; Loss'!J10+'Profit &amp; Loss'!J9)*2/(I4+I5+I6+J4+J5+J6),"")</f>
        <v>0.2557874313135951</v>
      </c>
      <c r="K24" s="14">
        <f>IF((J4+J5+J6+K4+K5+K6)&gt;0,('Profit &amp; Loss'!K10+'Profit &amp; Loss'!K9)*2/(J4+J5+J6+K4+K5+K6),"")</f>
        <v>0.28660368636967704</v>
      </c>
    </row>
    <row r="25" spans="1:11" s="18" customFormat="1" x14ac:dyDescent="0.3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activeCell="M15" sqref="M15"/>
      <selection pane="topRight" activeCell="M15" sqref="M15"/>
      <selection pane="bottomLeft" activeCell="M15" sqref="M15"/>
      <selection pane="bottomRight" activeCell="M15" sqref="M15"/>
    </sheetView>
  </sheetViews>
  <sheetFormatPr defaultColWidth="8.77734375" defaultRowHeight="14.4" x14ac:dyDescent="0.3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 ht="15" x14ac:dyDescent="0.2">
      <c r="A1" s="8" t="str">
        <f>'Balance Sheet'!A1</f>
        <v>HCL TECHNOLOGIES LTD</v>
      </c>
      <c r="E1" t="str">
        <f>UPDATE</f>
        <v/>
      </c>
      <c r="F1"/>
      <c r="J1" s="4" t="s">
        <v>1</v>
      </c>
      <c r="K1" s="4"/>
    </row>
    <row r="3" spans="1:11" s="2" customFormat="1" ht="15" x14ac:dyDescent="0.2">
      <c r="A3" s="15" t="s">
        <v>2</v>
      </c>
      <c r="B3" s="16">
        <f>'Data Sheet'!B81</f>
        <v>41820</v>
      </c>
      <c r="C3" s="16">
        <f>'Data Sheet'!C81</f>
        <v>42185</v>
      </c>
      <c r="D3" s="16">
        <f>'Data Sheet'!D81</f>
        <v>42460</v>
      </c>
      <c r="E3" s="16">
        <f>'Data Sheet'!E81</f>
        <v>42825</v>
      </c>
      <c r="F3" s="16">
        <f>'Data Sheet'!F81</f>
        <v>43190</v>
      </c>
      <c r="G3" s="16">
        <f>'Data Sheet'!G81</f>
        <v>43555</v>
      </c>
      <c r="H3" s="16">
        <f>'Data Sheet'!H81</f>
        <v>43921</v>
      </c>
      <c r="I3" s="16">
        <f>'Data Sheet'!I81</f>
        <v>44286</v>
      </c>
      <c r="J3" s="16">
        <f>'Data Sheet'!J81</f>
        <v>44651</v>
      </c>
      <c r="K3" s="16">
        <f>'Data Sheet'!K81</f>
        <v>45016</v>
      </c>
    </row>
    <row r="4" spans="1:11" s="8" customFormat="1" ht="15" x14ac:dyDescent="0.2">
      <c r="A4" s="8" t="s">
        <v>32</v>
      </c>
      <c r="B4" s="1">
        <f>'Data Sheet'!B82</f>
        <v>6456.78</v>
      </c>
      <c r="C4" s="1">
        <f>'Data Sheet'!C82</f>
        <v>5539.2</v>
      </c>
      <c r="D4" s="1">
        <f>'Data Sheet'!D82</f>
        <v>3822.62</v>
      </c>
      <c r="E4" s="1">
        <f>'Data Sheet'!E82</f>
        <v>8995</v>
      </c>
      <c r="F4" s="1">
        <f>'Data Sheet'!F82</f>
        <v>8328</v>
      </c>
      <c r="G4" s="1">
        <f>'Data Sheet'!G82</f>
        <v>8971</v>
      </c>
      <c r="H4" s="1">
        <f>'Data Sheet'!H82</f>
        <v>13359</v>
      </c>
      <c r="I4" s="1">
        <f>'Data Sheet'!I82</f>
        <v>19618</v>
      </c>
      <c r="J4" s="1">
        <f>'Data Sheet'!J82</f>
        <v>16900</v>
      </c>
      <c r="K4" s="1">
        <f>'Data Sheet'!K82</f>
        <v>18009</v>
      </c>
    </row>
    <row r="5" spans="1:11" ht="15" x14ac:dyDescent="0.2">
      <c r="A5" s="6" t="s">
        <v>33</v>
      </c>
      <c r="B5" s="9">
        <f>'Data Sheet'!B83</f>
        <v>-4842.28</v>
      </c>
      <c r="C5" s="9">
        <f>'Data Sheet'!C83</f>
        <v>-2087.5700000000002</v>
      </c>
      <c r="D5" s="9">
        <f>'Data Sheet'!D83</f>
        <v>-2208.4299999999998</v>
      </c>
      <c r="E5" s="9">
        <f>'Data Sheet'!E83</f>
        <v>-3890</v>
      </c>
      <c r="F5" s="9">
        <f>'Data Sheet'!F83</f>
        <v>-2236</v>
      </c>
      <c r="G5" s="9">
        <f>'Data Sheet'!G83</f>
        <v>-3256</v>
      </c>
      <c r="H5" s="9">
        <f>'Data Sheet'!H83</f>
        <v>-12332</v>
      </c>
      <c r="I5" s="9">
        <f>'Data Sheet'!I83</f>
        <v>-5665</v>
      </c>
      <c r="J5" s="9">
        <f>'Data Sheet'!J83</f>
        <v>1597</v>
      </c>
      <c r="K5" s="9">
        <f>'Data Sheet'!K83</f>
        <v>-3573</v>
      </c>
    </row>
    <row r="6" spans="1:11" ht="15" x14ac:dyDescent="0.2">
      <c r="A6" s="6" t="s">
        <v>34</v>
      </c>
      <c r="B6" s="9">
        <f>'Data Sheet'!B84</f>
        <v>-1307.97</v>
      </c>
      <c r="C6" s="9">
        <f>'Data Sheet'!C84</f>
        <v>-3140.34</v>
      </c>
      <c r="D6" s="9">
        <f>'Data Sheet'!D84</f>
        <v>-2237.09</v>
      </c>
      <c r="E6" s="9">
        <f>'Data Sheet'!E84</f>
        <v>-4517</v>
      </c>
      <c r="F6" s="9">
        <f>'Data Sheet'!F84</f>
        <v>-5714</v>
      </c>
      <c r="G6" s="9">
        <f>'Data Sheet'!G84</f>
        <v>-1471</v>
      </c>
      <c r="H6" s="9">
        <f>'Data Sheet'!H84</f>
        <v>-3168</v>
      </c>
      <c r="I6" s="9">
        <f>'Data Sheet'!I84</f>
        <v>-11192</v>
      </c>
      <c r="J6" s="9">
        <f>'Data Sheet'!J84</f>
        <v>-14508</v>
      </c>
      <c r="K6" s="9">
        <f>'Data Sheet'!K84</f>
        <v>-15881</v>
      </c>
    </row>
    <row r="7" spans="1:11" s="8" customFormat="1" ht="15" x14ac:dyDescent="0.2">
      <c r="A7" s="8" t="s">
        <v>35</v>
      </c>
      <c r="B7" s="1">
        <f>'Data Sheet'!B85</f>
        <v>306.52999999999997</v>
      </c>
      <c r="C7" s="1">
        <f>'Data Sheet'!C85</f>
        <v>311.29000000000002</v>
      </c>
      <c r="D7" s="1">
        <f>'Data Sheet'!D85</f>
        <v>-622.9</v>
      </c>
      <c r="E7" s="1">
        <f>'Data Sheet'!E85</f>
        <v>588</v>
      </c>
      <c r="F7" s="1">
        <f>'Data Sheet'!F85</f>
        <v>378</v>
      </c>
      <c r="G7" s="1">
        <f>'Data Sheet'!G85</f>
        <v>4244</v>
      </c>
      <c r="H7" s="1">
        <f>'Data Sheet'!H85</f>
        <v>-2141</v>
      </c>
      <c r="I7" s="1">
        <f>'Data Sheet'!I85</f>
        <v>2761</v>
      </c>
      <c r="J7" s="1">
        <f>'Data Sheet'!J85</f>
        <v>3989</v>
      </c>
      <c r="K7" s="1">
        <f>'Data Sheet'!K85</f>
        <v>-1445</v>
      </c>
    </row>
    <row r="8" spans="1:11" ht="15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3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zoomScale="150" zoomScaleNormal="150" zoomScalePageLayoutView="150" workbookViewId="0">
      <selection activeCell="M15" sqref="M15"/>
    </sheetView>
  </sheetViews>
  <sheetFormatPr defaultColWidth="8.77734375" defaultRowHeight="14.4" x14ac:dyDescent="0.3"/>
  <cols>
    <col min="1" max="1" width="8.77734375" style="8"/>
    <col min="2" max="2" width="10.44140625" style="11" customWidth="1"/>
    <col min="3" max="3" width="13.33203125" style="26" customWidth="1"/>
    <col min="4" max="5" width="8.77734375" style="11"/>
    <col min="6" max="6" width="6.77734375" style="11" customWidth="1"/>
    <col min="7" max="16384" width="8.77734375" style="11"/>
  </cols>
  <sheetData>
    <row r="1" spans="1:7" ht="21" x14ac:dyDescent="0.25">
      <c r="A1" s="25" t="s">
        <v>56</v>
      </c>
    </row>
    <row r="3" spans="1:7" ht="15" x14ac:dyDescent="0.2">
      <c r="A3" s="8" t="s">
        <v>48</v>
      </c>
    </row>
    <row r="4" spans="1:7" x14ac:dyDescent="0.3">
      <c r="B4" s="11" t="s">
        <v>90</v>
      </c>
    </row>
    <row r="5" spans="1:7" ht="15" x14ac:dyDescent="0.2">
      <c r="B5" s="11" t="s">
        <v>49</v>
      </c>
    </row>
    <row r="7" spans="1:7" x14ac:dyDescent="0.3">
      <c r="A7" s="8" t="s">
        <v>50</v>
      </c>
    </row>
    <row r="8" spans="1:7" x14ac:dyDescent="0.3">
      <c r="B8" s="11" t="s">
        <v>51</v>
      </c>
      <c r="C8" s="27" t="s">
        <v>91</v>
      </c>
    </row>
    <row r="10" spans="1:7" x14ac:dyDescent="0.3">
      <c r="A10" s="8" t="s">
        <v>52</v>
      </c>
    </row>
    <row r="11" spans="1:7" x14ac:dyDescent="0.3">
      <c r="B11" s="11" t="s">
        <v>53</v>
      </c>
    </row>
    <row r="14" spans="1:7" x14ac:dyDescent="0.3">
      <c r="A14" s="8" t="s">
        <v>54</v>
      </c>
    </row>
    <row r="15" spans="1:7" x14ac:dyDescent="0.3">
      <c r="B15" s="11" t="s">
        <v>55</v>
      </c>
    </row>
    <row r="16" spans="1:7" x14ac:dyDescent="0.3">
      <c r="B16" s="11" t="s">
        <v>92</v>
      </c>
      <c r="G16" s="28"/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07"/>
  <sheetViews>
    <sheetView showGridLines="0" tabSelected="1" view="pageBreakPreview" zoomScale="60" zoomScaleNormal="80"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F44" sqref="F44"/>
    </sheetView>
  </sheetViews>
  <sheetFormatPr defaultRowHeight="18" x14ac:dyDescent="0.35"/>
  <cols>
    <col min="1" max="1" width="2.77734375" style="251" customWidth="1"/>
    <col min="2" max="3" width="25.77734375" style="251" customWidth="1"/>
    <col min="4" max="11" width="15.77734375" style="251" customWidth="1"/>
    <col min="12" max="16384" width="8.88671875" style="251"/>
  </cols>
  <sheetData>
    <row r="2" spans="1:12" x14ac:dyDescent="0.35">
      <c r="B2" s="252" t="str">
        <f>"Historical Financial Statements - " &amp; 'Data Sheet'!D1</f>
        <v>Historical Financial Statements - HCL Technologies</v>
      </c>
      <c r="C2" s="252"/>
      <c r="D2" s="252"/>
      <c r="E2" s="252"/>
      <c r="F2" s="252"/>
      <c r="G2" s="252"/>
      <c r="H2" s="252"/>
      <c r="I2" s="252"/>
      <c r="J2" s="252"/>
      <c r="K2" s="253"/>
    </row>
    <row r="3" spans="1:12" x14ac:dyDescent="0.35">
      <c r="B3" s="254" t="s">
        <v>93</v>
      </c>
      <c r="C3" s="255">
        <f>'Data Sheet'!D16</f>
        <v>42460</v>
      </c>
      <c r="D3" s="255">
        <f>'Data Sheet'!E16</f>
        <v>42825</v>
      </c>
      <c r="E3" s="255">
        <f>'Data Sheet'!F16</f>
        <v>43190</v>
      </c>
      <c r="F3" s="255">
        <f>'Data Sheet'!G16</f>
        <v>43555</v>
      </c>
      <c r="G3" s="255">
        <f>'Data Sheet'!H16</f>
        <v>43921</v>
      </c>
      <c r="H3" s="255">
        <f>'Data Sheet'!I16</f>
        <v>44286</v>
      </c>
      <c r="I3" s="255">
        <f>'Data Sheet'!J16</f>
        <v>44651</v>
      </c>
      <c r="J3" s="255">
        <f>'Data Sheet'!K16</f>
        <v>45016</v>
      </c>
      <c r="K3" s="256" t="s">
        <v>94</v>
      </c>
      <c r="L3" s="257"/>
    </row>
    <row r="4" spans="1:12" x14ac:dyDescent="0.35">
      <c r="A4" s="251" t="s">
        <v>95</v>
      </c>
      <c r="B4" s="258" t="str">
        <f>"Income Statement - " &amp;'Data Sheet'!D1</f>
        <v>Income Statement - HCL Technologies</v>
      </c>
      <c r="C4" s="258"/>
      <c r="D4" s="258"/>
      <c r="E4" s="258"/>
      <c r="F4" s="258"/>
      <c r="G4" s="258"/>
      <c r="H4" s="258"/>
      <c r="I4" s="258"/>
      <c r="J4" s="258"/>
      <c r="K4" s="258"/>
    </row>
    <row r="5" spans="1:12" x14ac:dyDescent="0.35">
      <c r="B5" s="251" t="s">
        <v>6</v>
      </c>
      <c r="C5" s="259">
        <f>IFERROR('Data Sheet'!D17,0)</f>
        <v>31135.94</v>
      </c>
      <c r="D5" s="259">
        <f>IFERROR('Data Sheet'!E17,0)</f>
        <v>47568</v>
      </c>
      <c r="E5" s="259">
        <f>IFERROR('Data Sheet'!F17,0)</f>
        <v>50569</v>
      </c>
      <c r="F5" s="259">
        <f>IFERROR('Data Sheet'!G17,0)</f>
        <v>60427</v>
      </c>
      <c r="G5" s="259">
        <f>IFERROR('Data Sheet'!H17,0)</f>
        <v>70676</v>
      </c>
      <c r="H5" s="259">
        <f>IFERROR('Data Sheet'!I17,0)</f>
        <v>75379</v>
      </c>
      <c r="I5" s="259">
        <f>IFERROR('Data Sheet'!J17,0)</f>
        <v>85651</v>
      </c>
      <c r="J5" s="259">
        <f>IFERROR('Data Sheet'!K17,0)</f>
        <v>101456</v>
      </c>
      <c r="K5" s="259">
        <f>IFERROR(SUM('Data Sheet'!H42:K42),0)</f>
        <v>104288</v>
      </c>
    </row>
    <row r="6" spans="1:12" x14ac:dyDescent="0.35">
      <c r="B6" s="260" t="s">
        <v>96</v>
      </c>
      <c r="C6" s="260"/>
      <c r="D6" s="261">
        <f>D5/C5-1</f>
        <v>0.52775217321205026</v>
      </c>
      <c r="E6" s="261">
        <f>E5/D5-1</f>
        <v>6.308863101244544E-2</v>
      </c>
      <c r="F6" s="261">
        <f t="shared" ref="F6:K6" si="0">F5/E5-1</f>
        <v>0.19494156499040916</v>
      </c>
      <c r="G6" s="261">
        <f t="shared" si="0"/>
        <v>0.16960961159746479</v>
      </c>
      <c r="H6" s="261">
        <f t="shared" si="0"/>
        <v>6.6543098081385477E-2</v>
      </c>
      <c r="I6" s="261">
        <f t="shared" si="0"/>
        <v>0.13627137531673283</v>
      </c>
      <c r="J6" s="261">
        <f t="shared" si="0"/>
        <v>0.18452790977338274</v>
      </c>
      <c r="K6" s="261">
        <f t="shared" si="0"/>
        <v>2.7913578299952668E-2</v>
      </c>
    </row>
    <row r="7" spans="1:12" x14ac:dyDescent="0.35">
      <c r="B7" s="260"/>
      <c r="C7" s="260"/>
      <c r="D7" s="262"/>
      <c r="E7" s="261"/>
      <c r="F7" s="261"/>
      <c r="G7" s="261"/>
      <c r="H7" s="261"/>
      <c r="I7" s="261"/>
      <c r="J7" s="261"/>
      <c r="K7" s="261"/>
    </row>
    <row r="8" spans="1:12" x14ac:dyDescent="0.35">
      <c r="B8" s="251" t="s">
        <v>97</v>
      </c>
      <c r="C8" s="259">
        <f>IFERROR(SUM('Data Sheet'!D18,'Data Sheet'!D20,'Data Sheet'!D21,'Data Sheet'!D22)-1*'Data Sheet'!D19,0)</f>
        <v>21750.720000000001</v>
      </c>
      <c r="D8" s="259">
        <f>IFERROR(SUM('Data Sheet'!E18,'Data Sheet'!E20,'Data Sheet'!E21,'Data Sheet'!E22)-1*'Data Sheet'!E19,0)</f>
        <v>33274</v>
      </c>
      <c r="E8" s="259">
        <f>IFERROR(SUM('Data Sheet'!F18,'Data Sheet'!F20,'Data Sheet'!F21,'Data Sheet'!F22)-1*'Data Sheet'!F19,0)</f>
        <v>35785</v>
      </c>
      <c r="F8" s="259">
        <f>IFERROR(SUM('Data Sheet'!G18,'Data Sheet'!G20,'Data Sheet'!G21,'Data Sheet'!G22)-1*'Data Sheet'!G19,0)</f>
        <v>42177</v>
      </c>
      <c r="G8" s="259">
        <f>IFERROR(SUM('Data Sheet'!H18,'Data Sheet'!H20,'Data Sheet'!H21,'Data Sheet'!H22)-1*'Data Sheet'!H19,0)</f>
        <v>49095</v>
      </c>
      <c r="H8" s="259">
        <f>IFERROR(SUM('Data Sheet'!I18,'Data Sheet'!I20,'Data Sheet'!I21,'Data Sheet'!I22)-1*'Data Sheet'!I19,0)</f>
        <v>52907</v>
      </c>
      <c r="I8" s="259">
        <f>IFERROR(SUM('Data Sheet'!J18,'Data Sheet'!J20,'Data Sheet'!J21,'Data Sheet'!J22)-1*'Data Sheet'!J19,0)</f>
        <v>62401</v>
      </c>
      <c r="J8" s="259">
        <f>IFERROR(SUM('Data Sheet'!K18,'Data Sheet'!K20,'Data Sheet'!K21,'Data Sheet'!K22)-1*'Data Sheet'!K19,0)</f>
        <v>74916</v>
      </c>
      <c r="K8" s="259">
        <f>IFERROR(SUM('Data Sheet'!H43:K43),0)</f>
        <v>81270</v>
      </c>
    </row>
    <row r="9" spans="1:12" x14ac:dyDescent="0.35">
      <c r="B9" s="260" t="s">
        <v>98</v>
      </c>
      <c r="C9" s="261">
        <f>C8/C5</f>
        <v>0.69857277474198631</v>
      </c>
      <c r="D9" s="261">
        <f>D8/D5</f>
        <v>0.69950386814665322</v>
      </c>
      <c r="E9" s="261">
        <f t="shared" ref="E9:K9" si="1">E8/E5</f>
        <v>0.7076469773972196</v>
      </c>
      <c r="F9" s="261">
        <f t="shared" si="1"/>
        <v>0.69798268985718304</v>
      </c>
      <c r="G9" s="261">
        <f t="shared" si="1"/>
        <v>0.69464881996717409</v>
      </c>
      <c r="H9" s="261">
        <f t="shared" si="1"/>
        <v>0.70187983390599507</v>
      </c>
      <c r="I9" s="261">
        <f t="shared" si="1"/>
        <v>0.72854957910590656</v>
      </c>
      <c r="J9" s="261">
        <f t="shared" si="1"/>
        <v>0.73840876833307045</v>
      </c>
      <c r="K9" s="261">
        <f t="shared" si="1"/>
        <v>0.77928428965940477</v>
      </c>
    </row>
    <row r="11" spans="1:12" x14ac:dyDescent="0.35">
      <c r="B11" s="250" t="s">
        <v>99</v>
      </c>
      <c r="C11" s="263">
        <f>C5-C8</f>
        <v>9385.2199999999975</v>
      </c>
      <c r="D11" s="263">
        <f>D5-D8</f>
        <v>14294</v>
      </c>
      <c r="E11" s="263">
        <f t="shared" ref="E11:K11" si="2">E5-E8</f>
        <v>14784</v>
      </c>
      <c r="F11" s="263">
        <f t="shared" si="2"/>
        <v>18250</v>
      </c>
      <c r="G11" s="263">
        <f t="shared" si="2"/>
        <v>21581</v>
      </c>
      <c r="H11" s="263">
        <f t="shared" si="2"/>
        <v>22472</v>
      </c>
      <c r="I11" s="263">
        <f t="shared" si="2"/>
        <v>23250</v>
      </c>
      <c r="J11" s="263">
        <f t="shared" si="2"/>
        <v>26540</v>
      </c>
      <c r="K11" s="263">
        <f t="shared" si="2"/>
        <v>23018</v>
      </c>
    </row>
    <row r="12" spans="1:12" x14ac:dyDescent="0.35">
      <c r="B12" s="261" t="s">
        <v>157</v>
      </c>
      <c r="C12" s="261">
        <f>C11/C5</f>
        <v>0.30142722525801369</v>
      </c>
      <c r="D12" s="261">
        <f>D11/D5</f>
        <v>0.30049613185334678</v>
      </c>
      <c r="E12" s="261">
        <f t="shared" ref="E12:K12" si="3">E11/E5</f>
        <v>0.29235302260278034</v>
      </c>
      <c r="F12" s="261">
        <f t="shared" si="3"/>
        <v>0.30201731014281696</v>
      </c>
      <c r="G12" s="261">
        <f t="shared" si="3"/>
        <v>0.30535118003282585</v>
      </c>
      <c r="H12" s="261">
        <f t="shared" si="3"/>
        <v>0.29812016609400493</v>
      </c>
      <c r="I12" s="261">
        <f t="shared" si="3"/>
        <v>0.27145042089409349</v>
      </c>
      <c r="J12" s="261">
        <f t="shared" si="3"/>
        <v>0.26159123166692949</v>
      </c>
      <c r="K12" s="261">
        <f t="shared" si="3"/>
        <v>0.22071571034059528</v>
      </c>
    </row>
    <row r="14" spans="1:12" x14ac:dyDescent="0.35">
      <c r="B14" s="251" t="s">
        <v>100</v>
      </c>
      <c r="C14" s="259">
        <f>IFERROR(SUM('Data Sheet'!D23:D24),0)</f>
        <v>2731.67</v>
      </c>
      <c r="D14" s="259">
        <f>IFERROR(SUM('Data Sheet'!E23:E24),0)</f>
        <v>3904</v>
      </c>
      <c r="E14" s="259">
        <f>IFERROR(SUM('Data Sheet'!F23:F24),0)</f>
        <v>3538</v>
      </c>
      <c r="F14" s="259">
        <f>IFERROR(SUM('Data Sheet'!G23:G24),0)</f>
        <v>4324</v>
      </c>
      <c r="G14" s="259">
        <f>IFERROR(SUM('Data Sheet'!H23:H24),0)</f>
        <v>4265</v>
      </c>
      <c r="H14" s="259">
        <f>IFERROR(SUM('Data Sheet'!I23:I24),0)</f>
        <v>2424</v>
      </c>
      <c r="I14" s="259">
        <f>IFERROR(SUM('Data Sheet'!J23:J24),0)</f>
        <v>2721</v>
      </c>
      <c r="J14" s="259">
        <f>IFERROR(SUM('Data Sheet'!K23:K24),0)</f>
        <v>3912</v>
      </c>
      <c r="K14" s="259">
        <f>IFERROR(SUM('Data Sheet'!L23:L24),0)</f>
        <v>0</v>
      </c>
    </row>
    <row r="15" spans="1:12" x14ac:dyDescent="0.35">
      <c r="B15" s="261" t="s">
        <v>101</v>
      </c>
      <c r="C15" s="261">
        <f>C14/C5</f>
        <v>8.7733660843385491E-2</v>
      </c>
      <c r="D15" s="261">
        <f>D14/D5</f>
        <v>8.2071981163807609E-2</v>
      </c>
      <c r="E15" s="261">
        <f t="shared" ref="E15:K15" si="4">E14/E5</f>
        <v>6.9963811821471655E-2</v>
      </c>
      <c r="F15" s="261">
        <f t="shared" si="4"/>
        <v>7.1557416386714548E-2</v>
      </c>
      <c r="G15" s="261">
        <f t="shared" si="4"/>
        <v>6.0345803384458656E-2</v>
      </c>
      <c r="H15" s="261">
        <f t="shared" si="4"/>
        <v>3.2157497446238345E-2</v>
      </c>
      <c r="I15" s="261">
        <f t="shared" si="4"/>
        <v>3.1768455709799068E-2</v>
      </c>
      <c r="J15" s="261">
        <f t="shared" si="4"/>
        <v>3.8558586973663461E-2</v>
      </c>
      <c r="K15" s="261">
        <f t="shared" si="4"/>
        <v>0</v>
      </c>
    </row>
    <row r="17" spans="2:11" x14ac:dyDescent="0.35">
      <c r="B17" s="250" t="s">
        <v>102</v>
      </c>
      <c r="C17" s="263">
        <f>C11-C14</f>
        <v>6653.5499999999975</v>
      </c>
      <c r="D17" s="263">
        <f>D11-D14</f>
        <v>10390</v>
      </c>
      <c r="E17" s="263">
        <f t="shared" ref="E17:K17" si="5">E11-E14</f>
        <v>11246</v>
      </c>
      <c r="F17" s="263">
        <f t="shared" si="5"/>
        <v>13926</v>
      </c>
      <c r="G17" s="263">
        <f t="shared" si="5"/>
        <v>17316</v>
      </c>
      <c r="H17" s="263">
        <f t="shared" si="5"/>
        <v>20048</v>
      </c>
      <c r="I17" s="263">
        <f t="shared" si="5"/>
        <v>20529</v>
      </c>
      <c r="J17" s="263">
        <f t="shared" si="5"/>
        <v>22628</v>
      </c>
      <c r="K17" s="263">
        <f t="shared" si="5"/>
        <v>23018</v>
      </c>
    </row>
    <row r="18" spans="2:11" x14ac:dyDescent="0.35">
      <c r="B18" s="261" t="s">
        <v>103</v>
      </c>
      <c r="C18" s="261">
        <f>C17/C5</f>
        <v>0.21369356441462817</v>
      </c>
      <c r="D18" s="261">
        <f>D17/D5</f>
        <v>0.21842415068953919</v>
      </c>
      <c r="E18" s="261">
        <f t="shared" ref="E18:K18" si="6">E17/E5</f>
        <v>0.22238921078130872</v>
      </c>
      <c r="F18" s="261">
        <f t="shared" si="6"/>
        <v>0.2304598937561024</v>
      </c>
      <c r="G18" s="261">
        <f t="shared" si="6"/>
        <v>0.24500537664836719</v>
      </c>
      <c r="H18" s="261">
        <f t="shared" si="6"/>
        <v>0.26596266864776663</v>
      </c>
      <c r="I18" s="261">
        <f t="shared" si="6"/>
        <v>0.23968196518429441</v>
      </c>
      <c r="J18" s="261">
        <f t="shared" si="6"/>
        <v>0.22303264469326606</v>
      </c>
      <c r="K18" s="261">
        <f t="shared" si="6"/>
        <v>0.22071571034059528</v>
      </c>
    </row>
    <row r="20" spans="2:11" x14ac:dyDescent="0.35">
      <c r="B20" s="251" t="s">
        <v>11</v>
      </c>
      <c r="C20" s="259">
        <f>IFERROR('Data Sheet'!D27,0)</f>
        <v>73.900000000000006</v>
      </c>
      <c r="D20" s="259">
        <f>IFERROR('Data Sheet'!E27,0)</f>
        <v>89</v>
      </c>
      <c r="E20" s="259">
        <f>IFERROR('Data Sheet'!F27,0)</f>
        <v>69</v>
      </c>
      <c r="F20" s="259">
        <f>IFERROR('Data Sheet'!G27,0)</f>
        <v>174</v>
      </c>
      <c r="G20" s="259">
        <f>IFERROR('Data Sheet'!H27,0)</f>
        <v>505</v>
      </c>
      <c r="H20" s="259">
        <f>IFERROR('Data Sheet'!I27,0)</f>
        <v>511</v>
      </c>
      <c r="I20" s="259">
        <f>IFERROR('Data Sheet'!J27,0)</f>
        <v>319</v>
      </c>
      <c r="J20" s="259">
        <f>IFERROR('Data Sheet'!K27,0)</f>
        <v>353</v>
      </c>
      <c r="K20" s="259">
        <f>IFERROR(SUM('Data Sheet'!H46:K46),0)</f>
        <v>375</v>
      </c>
    </row>
    <row r="21" spans="2:11" x14ac:dyDescent="0.35">
      <c r="B21" s="261" t="s">
        <v>104</v>
      </c>
      <c r="C21" s="261">
        <f>C20/C5</f>
        <v>2.3734629498900631E-3</v>
      </c>
      <c r="D21" s="261">
        <f>D20/D5</f>
        <v>1.8710057181298351E-3</v>
      </c>
      <c r="E21" s="261">
        <f t="shared" ref="E21:K21" si="7">E20/E5</f>
        <v>1.3644723051671973E-3</v>
      </c>
      <c r="F21" s="261">
        <f t="shared" si="7"/>
        <v>2.8795075049232958E-3</v>
      </c>
      <c r="G21" s="261">
        <f t="shared" si="7"/>
        <v>7.1452826985115171E-3</v>
      </c>
      <c r="H21" s="261">
        <f t="shared" si="7"/>
        <v>6.7790764005890231E-3</v>
      </c>
      <c r="I21" s="261">
        <f t="shared" si="7"/>
        <v>3.7244165275361644E-3</v>
      </c>
      <c r="J21" s="261">
        <f t="shared" si="7"/>
        <v>3.4793407979813911E-3</v>
      </c>
      <c r="K21" s="261">
        <f t="shared" si="7"/>
        <v>3.5958115986498927E-3</v>
      </c>
    </row>
    <row r="23" spans="2:11" x14ac:dyDescent="0.35">
      <c r="B23" s="251" t="s">
        <v>10</v>
      </c>
      <c r="C23" s="259">
        <f>IFERROR('Data Sheet'!D26,0)</f>
        <v>409.86</v>
      </c>
      <c r="D23" s="259">
        <f>IFERROR('Data Sheet'!E26,0)</f>
        <v>828</v>
      </c>
      <c r="E23" s="259">
        <f>IFERROR('Data Sheet'!F26,0)</f>
        <v>1383</v>
      </c>
      <c r="F23" s="259">
        <f>IFERROR('Data Sheet'!G26,0)</f>
        <v>2073</v>
      </c>
      <c r="G23" s="259">
        <f>IFERROR('Data Sheet'!H26,0)</f>
        <v>3420</v>
      </c>
      <c r="H23" s="259">
        <f>IFERROR('Data Sheet'!I26,0)</f>
        <v>4611</v>
      </c>
      <c r="I23" s="259">
        <f>IFERROR('Data Sheet'!J26,0)</f>
        <v>4326</v>
      </c>
      <c r="J23" s="259">
        <f>IFERROR('Data Sheet'!K26,0)</f>
        <v>4145</v>
      </c>
      <c r="K23" s="259">
        <f>IFERROR(SUM('Data Sheet'!H45:K45),0)</f>
        <v>4089</v>
      </c>
    </row>
    <row r="24" spans="2:11" x14ac:dyDescent="0.35">
      <c r="B24" s="261" t="s">
        <v>105</v>
      </c>
      <c r="C24" s="261">
        <f>C23/C5</f>
        <v>1.31635659626785E-2</v>
      </c>
      <c r="D24" s="261">
        <f>D23/D5</f>
        <v>1.7406659939455095E-2</v>
      </c>
      <c r="E24" s="261">
        <f t="shared" ref="E24:K24" si="8">E23/E5</f>
        <v>2.7348770986177301E-2</v>
      </c>
      <c r="F24" s="261">
        <f t="shared" si="8"/>
        <v>3.4305856653482715E-2</v>
      </c>
      <c r="G24" s="261">
        <f t="shared" si="8"/>
        <v>4.8389835304771069E-2</v>
      </c>
      <c r="H24" s="261">
        <f t="shared" si="8"/>
        <v>6.1170883137213285E-2</v>
      </c>
      <c r="I24" s="261">
        <f t="shared" si="8"/>
        <v>5.0507291216681648E-2</v>
      </c>
      <c r="J24" s="261">
        <f t="shared" si="8"/>
        <v>4.0855149030121433E-2</v>
      </c>
      <c r="K24" s="261">
        <f t="shared" si="8"/>
        <v>3.9208729671678426E-2</v>
      </c>
    </row>
    <row r="26" spans="2:11" x14ac:dyDescent="0.35">
      <c r="B26" s="250" t="s">
        <v>106</v>
      </c>
      <c r="C26" s="250">
        <f>C17-C20-C23</f>
        <v>6169.7899999999981</v>
      </c>
      <c r="D26" s="250">
        <f>D17-D20-D23</f>
        <v>9473</v>
      </c>
      <c r="E26" s="250">
        <f t="shared" ref="E26:K26" si="9">E17-E20-E23</f>
        <v>9794</v>
      </c>
      <c r="F26" s="250">
        <f t="shared" si="9"/>
        <v>11679</v>
      </c>
      <c r="G26" s="250">
        <f t="shared" si="9"/>
        <v>13391</v>
      </c>
      <c r="H26" s="250">
        <f t="shared" si="9"/>
        <v>14926</v>
      </c>
      <c r="I26" s="250">
        <f t="shared" si="9"/>
        <v>15884</v>
      </c>
      <c r="J26" s="250">
        <f t="shared" si="9"/>
        <v>18130</v>
      </c>
      <c r="K26" s="250">
        <f t="shared" si="9"/>
        <v>18554</v>
      </c>
    </row>
    <row r="27" spans="2:11" x14ac:dyDescent="0.35">
      <c r="B27" s="261" t="s">
        <v>107</v>
      </c>
      <c r="C27" s="261">
        <f>C26/C5</f>
        <v>0.19815653550205964</v>
      </c>
      <c r="D27" s="261">
        <f>D26/D5</f>
        <v>0.19914648503195426</v>
      </c>
      <c r="E27" s="261">
        <f t="shared" ref="E27:K27" si="10">E26/E5</f>
        <v>0.19367596748996421</v>
      </c>
      <c r="F27" s="261">
        <f t="shared" si="10"/>
        <v>0.19327452959769639</v>
      </c>
      <c r="G27" s="261">
        <f t="shared" si="10"/>
        <v>0.1894702586450846</v>
      </c>
      <c r="H27" s="261">
        <f t="shared" si="10"/>
        <v>0.19801270910996432</v>
      </c>
      <c r="I27" s="261">
        <f t="shared" si="10"/>
        <v>0.18545025744007659</v>
      </c>
      <c r="J27" s="261">
        <f t="shared" si="10"/>
        <v>0.17869815486516322</v>
      </c>
      <c r="K27" s="261">
        <f t="shared" si="10"/>
        <v>0.17791116907026697</v>
      </c>
    </row>
    <row r="29" spans="2:11" x14ac:dyDescent="0.35">
      <c r="B29" s="251" t="s">
        <v>13</v>
      </c>
      <c r="C29" s="264">
        <f>IFERROR('Data Sheet'!D29,0)</f>
        <v>1439</v>
      </c>
      <c r="D29" s="264">
        <f>IFERROR('Data Sheet'!E29,0)</f>
        <v>1936</v>
      </c>
      <c r="E29" s="264">
        <f>IFERROR('Data Sheet'!F29,0)</f>
        <v>2302</v>
      </c>
      <c r="F29" s="264">
        <f>IFERROR('Data Sheet'!G29,0)</f>
        <v>2502</v>
      </c>
      <c r="G29" s="264">
        <f>IFERROR('Data Sheet'!H29,0)</f>
        <v>2923</v>
      </c>
      <c r="H29" s="264">
        <f>IFERROR('Data Sheet'!I29,0)</f>
        <v>4684</v>
      </c>
      <c r="I29" s="264">
        <f>IFERROR('Data Sheet'!J29,0)</f>
        <v>3428</v>
      </c>
      <c r="J29" s="264">
        <f>IFERROR('Data Sheet'!K29,0)</f>
        <v>4643</v>
      </c>
      <c r="K29" s="264">
        <f>IFERROR(SUM('Data Sheet'!H48:K48),0)</f>
        <v>4752</v>
      </c>
    </row>
    <row r="30" spans="2:11" x14ac:dyDescent="0.35">
      <c r="B30" s="261" t="s">
        <v>108</v>
      </c>
      <c r="C30" s="261">
        <f>C29/C26</f>
        <v>0.23323322187627138</v>
      </c>
      <c r="D30" s="261">
        <f>D29/D26</f>
        <v>0.2043703156339069</v>
      </c>
      <c r="E30" s="261">
        <f t="shared" ref="E30:K30" si="11">E29/E26</f>
        <v>0.23504186236471308</v>
      </c>
      <c r="F30" s="261">
        <f t="shared" si="11"/>
        <v>0.21423067043411251</v>
      </c>
      <c r="G30" s="261">
        <f t="shared" si="11"/>
        <v>0.21828093495631395</v>
      </c>
      <c r="H30" s="261">
        <f t="shared" si="11"/>
        <v>0.31381481977756936</v>
      </c>
      <c r="I30" s="261">
        <f t="shared" si="11"/>
        <v>0.21581465625786955</v>
      </c>
      <c r="J30" s="261">
        <f t="shared" si="11"/>
        <v>0.25609487038058465</v>
      </c>
      <c r="K30" s="261">
        <f t="shared" si="11"/>
        <v>0.25611727929287487</v>
      </c>
    </row>
    <row r="32" spans="2:11" x14ac:dyDescent="0.35">
      <c r="B32" s="250" t="s">
        <v>14</v>
      </c>
      <c r="C32" s="250">
        <f>IFERROR(C26-C29,0)</f>
        <v>4730.7899999999981</v>
      </c>
      <c r="D32" s="250">
        <f>IFERROR(D26-D29,0)</f>
        <v>7537</v>
      </c>
      <c r="E32" s="250">
        <f t="shared" ref="E32:K32" si="12">IFERROR(E26-E29,0)</f>
        <v>7492</v>
      </c>
      <c r="F32" s="250">
        <f t="shared" si="12"/>
        <v>9177</v>
      </c>
      <c r="G32" s="250">
        <f t="shared" si="12"/>
        <v>10468</v>
      </c>
      <c r="H32" s="250">
        <f t="shared" si="12"/>
        <v>10242</v>
      </c>
      <c r="I32" s="250">
        <f t="shared" si="12"/>
        <v>12456</v>
      </c>
      <c r="J32" s="250">
        <f t="shared" si="12"/>
        <v>13487</v>
      </c>
      <c r="K32" s="250">
        <f t="shared" si="12"/>
        <v>13802</v>
      </c>
    </row>
    <row r="33" spans="1:11" x14ac:dyDescent="0.35">
      <c r="B33" s="261" t="s">
        <v>109</v>
      </c>
      <c r="C33" s="261">
        <f>C32/C5</f>
        <v>0.15193984829107451</v>
      </c>
      <c r="D33" s="261">
        <f>D32/D5</f>
        <v>0.15844685502859066</v>
      </c>
      <c r="E33" s="261">
        <f t="shared" ref="E33:K33" si="13">E32/E5</f>
        <v>0.1481540073958354</v>
      </c>
      <c r="F33" s="261">
        <f t="shared" si="13"/>
        <v>0.15186919754414419</v>
      </c>
      <c r="G33" s="261">
        <f t="shared" si="13"/>
        <v>0.14811251344162091</v>
      </c>
      <c r="H33" s="261">
        <f t="shared" si="13"/>
        <v>0.1358733864869526</v>
      </c>
      <c r="I33" s="261">
        <f t="shared" si="13"/>
        <v>0.14542737387771304</v>
      </c>
      <c r="J33" s="261">
        <f t="shared" si="13"/>
        <v>0.1329344740577196</v>
      </c>
      <c r="K33" s="261">
        <f t="shared" si="13"/>
        <v>0.13234504449217552</v>
      </c>
    </row>
    <row r="36" spans="1:11" x14ac:dyDescent="0.35">
      <c r="B36" s="251" t="s">
        <v>110</v>
      </c>
      <c r="C36" s="251">
        <f>IFERROR('Data Sheet'!D93,0)</f>
        <v>282.08</v>
      </c>
      <c r="D36" s="251">
        <f>IFERROR('Data Sheet'!E93,0)</f>
        <v>285.36</v>
      </c>
      <c r="E36" s="251">
        <f>IFERROR('Data Sheet'!F93,0)</f>
        <v>278.45</v>
      </c>
      <c r="F36" s="251">
        <f>IFERROR('Data Sheet'!G93,0)</f>
        <v>271.26</v>
      </c>
      <c r="G36" s="251">
        <f>IFERROR('Data Sheet'!H93,0)</f>
        <v>271.37</v>
      </c>
      <c r="H36" s="251">
        <f>IFERROR('Data Sheet'!I93,0)</f>
        <v>271.37</v>
      </c>
      <c r="I36" s="251">
        <f>IFERROR('Data Sheet'!J93,0)</f>
        <v>271.37</v>
      </c>
      <c r="J36" s="251">
        <f>IFERROR('Data Sheet'!K93,0)</f>
        <v>271.37</v>
      </c>
      <c r="K36" s="251">
        <f>IFERROR('Data Sheet'!L93,0)</f>
        <v>0</v>
      </c>
    </row>
    <row r="38" spans="1:11" x14ac:dyDescent="0.35">
      <c r="B38" s="251" t="s">
        <v>112</v>
      </c>
      <c r="C38" s="264">
        <f>IFERROR(C32/C36,0)</f>
        <v>16.771093306863296</v>
      </c>
      <c r="D38" s="264">
        <f>IFERROR(D32/D36,0)</f>
        <v>26.412251191477431</v>
      </c>
      <c r="E38" s="264">
        <f t="shared" ref="E38:K38" si="14">IFERROR(E32/E36,0)</f>
        <v>26.906087268809483</v>
      </c>
      <c r="F38" s="264">
        <f t="shared" si="14"/>
        <v>33.831010838310107</v>
      </c>
      <c r="G38" s="264">
        <f t="shared" si="14"/>
        <v>38.574639790691677</v>
      </c>
      <c r="H38" s="264">
        <f t="shared" si="14"/>
        <v>37.741828499834178</v>
      </c>
      <c r="I38" s="264">
        <f t="shared" si="14"/>
        <v>45.900431145668279</v>
      </c>
      <c r="J38" s="264">
        <f t="shared" si="14"/>
        <v>49.699672034491655</v>
      </c>
      <c r="K38" s="264">
        <f t="shared" si="14"/>
        <v>0</v>
      </c>
    </row>
    <row r="39" spans="1:11" x14ac:dyDescent="0.35">
      <c r="B39" s="261" t="s">
        <v>113</v>
      </c>
      <c r="C39" s="261"/>
      <c r="D39" s="261"/>
      <c r="E39" s="261">
        <f>E38/D38-1</f>
        <v>1.8697235375809251E-2</v>
      </c>
      <c r="F39" s="261">
        <f t="shared" ref="F39:K39" si="15">F38/E38-1</f>
        <v>0.25737386117558048</v>
      </c>
      <c r="G39" s="261">
        <f t="shared" si="15"/>
        <v>0.14021540695467194</v>
      </c>
      <c r="H39" s="261">
        <f t="shared" si="15"/>
        <v>-2.1589606419564311E-2</v>
      </c>
      <c r="I39" s="261">
        <f t="shared" si="15"/>
        <v>0.21616871704745155</v>
      </c>
      <c r="J39" s="261">
        <f t="shared" si="15"/>
        <v>8.2771355170199179E-2</v>
      </c>
      <c r="K39" s="261">
        <f t="shared" si="15"/>
        <v>-1</v>
      </c>
    </row>
    <row r="41" spans="1:11" x14ac:dyDescent="0.35">
      <c r="B41" s="251" t="s">
        <v>111</v>
      </c>
      <c r="C41" s="265">
        <f>IFERROR('Data Sheet'!D31/C36,0)</f>
        <v>8</v>
      </c>
      <c r="D41" s="265">
        <f>IFERROR('Data Sheet'!E31/D36,0)</f>
        <v>11.984861227922623</v>
      </c>
      <c r="E41" s="265">
        <f>IFERROR('Data Sheet'!F31/E36,0)</f>
        <v>5.9903034656132164</v>
      </c>
      <c r="F41" s="265">
        <f>IFERROR('Data Sheet'!G31/F36,0)</f>
        <v>3.9961660399616608</v>
      </c>
      <c r="G41" s="265">
        <f>IFERROR('Data Sheet'!H31/G36,0)</f>
        <v>10.004790507425286</v>
      </c>
      <c r="H41" s="265">
        <f>IFERROR('Data Sheet'!I31/H36,0)</f>
        <v>10.004790507425286</v>
      </c>
      <c r="I41" s="265">
        <f>IFERROR('Data Sheet'!J31/I36,0)</f>
        <v>42.020120131186204</v>
      </c>
      <c r="J41" s="265">
        <f>IFERROR('Data Sheet'!K31/J36,0)</f>
        <v>48.022994435641372</v>
      </c>
      <c r="K41" s="265">
        <f>IFERROR('Data Sheet'!L31/K36,0)</f>
        <v>0</v>
      </c>
    </row>
    <row r="42" spans="1:11" x14ac:dyDescent="0.35">
      <c r="B42" s="261" t="s">
        <v>114</v>
      </c>
      <c r="C42" s="261">
        <f>IFERROR(C41/C38,0)</f>
        <v>0.47701123913764948</v>
      </c>
      <c r="D42" s="261">
        <f>IFERROR(D41/D38,0)</f>
        <v>0.45376144354517711</v>
      </c>
      <c r="E42" s="261">
        <f t="shared" ref="E42:K42" si="16">IFERROR(E41/E38,0)</f>
        <v>0.22263747997864389</v>
      </c>
      <c r="F42" s="261">
        <f t="shared" si="16"/>
        <v>0.11812139043260327</v>
      </c>
      <c r="G42" s="261">
        <f t="shared" si="16"/>
        <v>0.25936186473060752</v>
      </c>
      <c r="H42" s="261">
        <f t="shared" si="16"/>
        <v>0.26508494434680724</v>
      </c>
      <c r="I42" s="261">
        <f t="shared" si="16"/>
        <v>0.91546242774566466</v>
      </c>
      <c r="J42" s="261">
        <f t="shared" si="16"/>
        <v>0.96626380959442415</v>
      </c>
      <c r="K42" s="261">
        <f t="shared" si="16"/>
        <v>0</v>
      </c>
    </row>
    <row r="44" spans="1:11" x14ac:dyDescent="0.35">
      <c r="B44" s="251" t="s">
        <v>115</v>
      </c>
      <c r="C44" s="261">
        <f>IFERROR(IF(C38&gt;C41,1-C42,0),0)</f>
        <v>0.52298876086235047</v>
      </c>
      <c r="D44" s="261">
        <f>IFERROR(IF(D38&gt;D41,1-D42,0),0)</f>
        <v>0.54623855645482289</v>
      </c>
      <c r="E44" s="261">
        <f t="shared" ref="E44:K44" si="17">IFERROR(IF(E38&gt;E41,1-E42,0),0)</f>
        <v>0.77736252002135608</v>
      </c>
      <c r="F44" s="261">
        <f t="shared" si="17"/>
        <v>0.88187860956739672</v>
      </c>
      <c r="G44" s="261">
        <f t="shared" si="17"/>
        <v>0.74063813526939248</v>
      </c>
      <c r="H44" s="261">
        <f t="shared" si="17"/>
        <v>0.73491505565319271</v>
      </c>
      <c r="I44" s="261">
        <f t="shared" si="17"/>
        <v>8.4537572254335336E-2</v>
      </c>
      <c r="J44" s="261">
        <f t="shared" si="17"/>
        <v>3.373619040557585E-2</v>
      </c>
      <c r="K44" s="261">
        <f t="shared" si="17"/>
        <v>0</v>
      </c>
    </row>
    <row r="46" spans="1:11" x14ac:dyDescent="0.35">
      <c r="A46" s="251" t="s">
        <v>95</v>
      </c>
      <c r="B46" s="258" t="str">
        <f>"Balance Sheet - " &amp;'Data Sheet'!D1</f>
        <v>Balance Sheet - HCL Technologies</v>
      </c>
      <c r="C46" s="258"/>
      <c r="D46" s="258"/>
      <c r="E46" s="258"/>
      <c r="F46" s="258"/>
      <c r="G46" s="258"/>
      <c r="H46" s="258"/>
      <c r="I46" s="258"/>
      <c r="J46" s="258"/>
      <c r="K46" s="258"/>
    </row>
    <row r="48" spans="1:11" x14ac:dyDescent="0.35">
      <c r="B48" s="266" t="s">
        <v>24</v>
      </c>
      <c r="C48" s="251">
        <f>IFERROR('Data Sheet'!D57,0)</f>
        <v>282.08</v>
      </c>
      <c r="D48" s="251">
        <f>IFERROR('Data Sheet'!E57,0)</f>
        <v>285</v>
      </c>
      <c r="E48" s="251">
        <f>IFERROR('Data Sheet'!F57,0)</f>
        <v>278</v>
      </c>
      <c r="F48" s="251">
        <f>IFERROR('Data Sheet'!G57,0)</f>
        <v>271</v>
      </c>
      <c r="G48" s="251">
        <f>IFERROR('Data Sheet'!H57,0)</f>
        <v>543</v>
      </c>
      <c r="H48" s="251">
        <f>IFERROR('Data Sheet'!I57,0)</f>
        <v>543</v>
      </c>
      <c r="I48" s="251">
        <f>IFERROR('Data Sheet'!J57,0)</f>
        <v>543</v>
      </c>
      <c r="J48" s="251">
        <f>IFERROR('Data Sheet'!K57,0)</f>
        <v>543</v>
      </c>
    </row>
    <row r="49" spans="2:10" x14ac:dyDescent="0.35">
      <c r="B49" s="266" t="s">
        <v>25</v>
      </c>
      <c r="C49" s="251">
        <f>IFERROR('Data Sheet'!D58,0)</f>
        <v>27108.69</v>
      </c>
      <c r="D49" s="251">
        <f>IFERROR('Data Sheet'!E58,0)</f>
        <v>32664</v>
      </c>
      <c r="E49" s="251">
        <f>IFERROR('Data Sheet'!F58,0)</f>
        <v>36108</v>
      </c>
      <c r="F49" s="251">
        <f>IFERROR('Data Sheet'!G58,0)</f>
        <v>41095</v>
      </c>
      <c r="G49" s="251">
        <f>IFERROR('Data Sheet'!H58,0)</f>
        <v>50724</v>
      </c>
      <c r="H49" s="251">
        <f>IFERROR('Data Sheet'!I58,0)</f>
        <v>59370</v>
      </c>
      <c r="I49" s="251">
        <f>IFERROR('Data Sheet'!J58,0)</f>
        <v>61371</v>
      </c>
      <c r="J49" s="251">
        <f>IFERROR('Data Sheet'!K58,0)</f>
        <v>64862</v>
      </c>
    </row>
    <row r="50" spans="2:10" x14ac:dyDescent="0.35">
      <c r="B50" s="266" t="s">
        <v>71</v>
      </c>
      <c r="C50" s="251">
        <f>IFERROR('Data Sheet'!D59,0)</f>
        <v>1090.3599999999999</v>
      </c>
      <c r="D50" s="251">
        <f>IFERROR('Data Sheet'!E59,0)</f>
        <v>582</v>
      </c>
      <c r="E50" s="251">
        <f>IFERROR('Data Sheet'!F59,0)</f>
        <v>557</v>
      </c>
      <c r="F50" s="251">
        <f>IFERROR('Data Sheet'!G59,0)</f>
        <v>4195</v>
      </c>
      <c r="G50" s="251">
        <f>IFERROR('Data Sheet'!H59,0)</f>
        <v>7986</v>
      </c>
      <c r="H50" s="251">
        <f>IFERROR('Data Sheet'!I59,0)</f>
        <v>6864</v>
      </c>
      <c r="I50" s="251">
        <f>IFERROR('Data Sheet'!J59,0)</f>
        <v>6343</v>
      </c>
      <c r="J50" s="251">
        <f>IFERROR('Data Sheet'!K59,0)</f>
        <v>4794</v>
      </c>
    </row>
    <row r="51" spans="2:10" x14ac:dyDescent="0.35">
      <c r="B51" s="266" t="s">
        <v>72</v>
      </c>
      <c r="C51" s="251">
        <f>IFERROR('Data Sheet'!D60,0)</f>
        <v>10859.47</v>
      </c>
      <c r="D51" s="251">
        <f>IFERROR('Data Sheet'!E60,0)</f>
        <v>12231</v>
      </c>
      <c r="E51" s="251">
        <f>IFERROR('Data Sheet'!F60,0)</f>
        <v>11046</v>
      </c>
      <c r="F51" s="251">
        <f>IFERROR('Data Sheet'!G60,0)</f>
        <v>12788</v>
      </c>
      <c r="G51" s="251">
        <f>IFERROR('Data Sheet'!H60,0)</f>
        <v>23566</v>
      </c>
      <c r="H51" s="251">
        <f>IFERROR('Data Sheet'!I60,0)</f>
        <v>19270</v>
      </c>
      <c r="I51" s="251">
        <f>IFERROR('Data Sheet'!J60,0)</f>
        <v>20664</v>
      </c>
      <c r="J51" s="251">
        <f>IFERROR('Data Sheet'!K60,0)</f>
        <v>23051</v>
      </c>
    </row>
    <row r="52" spans="2:10" x14ac:dyDescent="0.35">
      <c r="B52" s="250" t="s">
        <v>119</v>
      </c>
      <c r="C52" s="250">
        <f>IFERROR('Data Sheet'!D61,0)</f>
        <v>39340.6</v>
      </c>
      <c r="D52" s="250">
        <f>IFERROR('Data Sheet'!E61,0)</f>
        <v>45762</v>
      </c>
      <c r="E52" s="250">
        <f>IFERROR('Data Sheet'!F61,0)</f>
        <v>47989</v>
      </c>
      <c r="F52" s="250">
        <f>IFERROR('Data Sheet'!G61,0)</f>
        <v>58349</v>
      </c>
      <c r="G52" s="250">
        <f>IFERROR('Data Sheet'!H61,0)</f>
        <v>82819</v>
      </c>
      <c r="H52" s="250">
        <f>IFERROR('Data Sheet'!I61,0)</f>
        <v>86047</v>
      </c>
      <c r="I52" s="250">
        <f>IFERROR('Data Sheet'!J61,0)</f>
        <v>88921</v>
      </c>
      <c r="J52" s="250">
        <f>IFERROR('Data Sheet'!K61,0)</f>
        <v>93250</v>
      </c>
    </row>
    <row r="53" spans="2:10" x14ac:dyDescent="0.35">
      <c r="B53" s="267"/>
      <c r="C53" s="267"/>
    </row>
    <row r="54" spans="2:10" x14ac:dyDescent="0.35">
      <c r="B54" s="266" t="s">
        <v>27</v>
      </c>
      <c r="C54" s="251">
        <f>IFERROR('Data Sheet'!D62,0)</f>
        <v>9716.09</v>
      </c>
      <c r="D54" s="251">
        <f>IFERROR('Data Sheet'!E62,0)</f>
        <v>15235</v>
      </c>
      <c r="E54" s="251">
        <f>IFERROR('Data Sheet'!F62,0)</f>
        <v>18753</v>
      </c>
      <c r="F54" s="251">
        <f>IFERROR('Data Sheet'!G62,0)</f>
        <v>22888</v>
      </c>
      <c r="G54" s="251">
        <f>IFERROR('Data Sheet'!H62,0)</f>
        <v>37490</v>
      </c>
      <c r="H54" s="251">
        <f>IFERROR('Data Sheet'!I62,0)</f>
        <v>37145</v>
      </c>
      <c r="I54" s="251">
        <f>IFERROR('Data Sheet'!J62,0)</f>
        <v>35077</v>
      </c>
      <c r="J54" s="251">
        <f>IFERROR('Data Sheet'!K62,0)</f>
        <v>34619</v>
      </c>
    </row>
    <row r="55" spans="2:10" x14ac:dyDescent="0.35">
      <c r="B55" s="266" t="s">
        <v>28</v>
      </c>
      <c r="C55" s="251">
        <f>IFERROR('Data Sheet'!D63,0)</f>
        <v>610.9</v>
      </c>
      <c r="D55" s="251">
        <f>IFERROR('Data Sheet'!E63,0)</f>
        <v>448</v>
      </c>
      <c r="E55" s="251">
        <f>IFERROR('Data Sheet'!F63,0)</f>
        <v>320</v>
      </c>
      <c r="F55" s="251">
        <f>IFERROR('Data Sheet'!G63,0)</f>
        <v>235</v>
      </c>
      <c r="G55" s="251">
        <f>IFERROR('Data Sheet'!H63,0)</f>
        <v>400</v>
      </c>
      <c r="H55" s="251">
        <f>IFERROR('Data Sheet'!I63,0)</f>
        <v>312</v>
      </c>
      <c r="I55" s="251">
        <f>IFERROR('Data Sheet'!J63,0)</f>
        <v>129</v>
      </c>
      <c r="J55" s="251">
        <f>IFERROR('Data Sheet'!K63,0)</f>
        <v>40</v>
      </c>
    </row>
    <row r="56" spans="2:10" x14ac:dyDescent="0.35">
      <c r="B56" s="266" t="s">
        <v>29</v>
      </c>
      <c r="C56" s="251">
        <f>IFERROR('Data Sheet'!D64,0)</f>
        <v>698.38</v>
      </c>
      <c r="D56" s="251">
        <f>IFERROR('Data Sheet'!E64,0)</f>
        <v>1306</v>
      </c>
      <c r="E56" s="251">
        <f>IFERROR('Data Sheet'!F64,0)</f>
        <v>2660</v>
      </c>
      <c r="F56" s="251">
        <f>IFERROR('Data Sheet'!G64,0)</f>
        <v>2305</v>
      </c>
      <c r="G56" s="251">
        <f>IFERROR('Data Sheet'!H64,0)</f>
        <v>7066</v>
      </c>
      <c r="H56" s="251">
        <f>IFERROR('Data Sheet'!I64,0)</f>
        <v>6862</v>
      </c>
      <c r="I56" s="251">
        <f>IFERROR('Data Sheet'!J64,0)</f>
        <v>6351</v>
      </c>
      <c r="J56" s="251">
        <f>IFERROR('Data Sheet'!K64,0)</f>
        <v>5495</v>
      </c>
    </row>
    <row r="57" spans="2:10" x14ac:dyDescent="0.35">
      <c r="B57" s="266" t="s">
        <v>73</v>
      </c>
      <c r="C57" s="251">
        <f>IFERROR('Data Sheet'!D65-SUM('Data Sheet'!D67:D69),0)</f>
        <v>10995.009999999998</v>
      </c>
      <c r="D57" s="251">
        <f>IFERROR('Data Sheet'!E65-SUM('Data Sheet'!E67:E69),0)</f>
        <v>11152</v>
      </c>
      <c r="E57" s="251">
        <f>IFERROR('Data Sheet'!F65-SUM('Data Sheet'!F67:F69),0)</f>
        <v>12427</v>
      </c>
      <c r="F57" s="251">
        <f>IFERROR('Data Sheet'!G65-SUM('Data Sheet'!G67:G69),0)</f>
        <v>13252</v>
      </c>
      <c r="G57" s="251">
        <f>IFERROR('Data Sheet'!H65-SUM('Data Sheet'!H67:H69),0)</f>
        <v>18665</v>
      </c>
      <c r="H57" s="251">
        <f>IFERROR('Data Sheet'!I65-SUM('Data Sheet'!I67:I69),0)</f>
        <v>15221</v>
      </c>
      <c r="I57" s="251">
        <f>IFERROR('Data Sheet'!J65-SUM('Data Sheet'!J67:J69),0)</f>
        <v>13896</v>
      </c>
      <c r="J57" s="251">
        <f>IFERROR('Data Sheet'!K65-SUM('Data Sheet'!K67:K69),0)</f>
        <v>12638</v>
      </c>
    </row>
    <row r="58" spans="2:10" x14ac:dyDescent="0.35">
      <c r="B58" s="250" t="s">
        <v>116</v>
      </c>
      <c r="C58" s="250">
        <f>IFERROR(SUM(C54:C57),0)</f>
        <v>22020.379999999997</v>
      </c>
      <c r="D58" s="250">
        <f>IFERROR(SUM(D54:D57),0)</f>
        <v>28141</v>
      </c>
      <c r="E58" s="250">
        <f t="shared" ref="E58:J58" si="18">IFERROR(SUM(E54:E57),0)</f>
        <v>34160</v>
      </c>
      <c r="F58" s="250">
        <f t="shared" si="18"/>
        <v>38680</v>
      </c>
      <c r="G58" s="250">
        <f t="shared" si="18"/>
        <v>63621</v>
      </c>
      <c r="H58" s="250">
        <f t="shared" si="18"/>
        <v>59540</v>
      </c>
      <c r="I58" s="250">
        <f t="shared" si="18"/>
        <v>55453</v>
      </c>
      <c r="J58" s="250">
        <f t="shared" si="18"/>
        <v>52792</v>
      </c>
    </row>
    <row r="59" spans="2:10" x14ac:dyDescent="0.35">
      <c r="B59" s="267"/>
      <c r="C59" s="267"/>
    </row>
    <row r="60" spans="2:10" x14ac:dyDescent="0.35">
      <c r="B60" s="266" t="s">
        <v>78</v>
      </c>
      <c r="C60" s="251">
        <f>IFERROR('Data Sheet'!D67,0)</f>
        <v>7721.14</v>
      </c>
      <c r="D60" s="251">
        <f>IFERROR('Data Sheet'!E67,0)</f>
        <v>8301</v>
      </c>
      <c r="E60" s="251">
        <f>IFERROR('Data Sheet'!F67,0)</f>
        <v>9639</v>
      </c>
      <c r="F60" s="251">
        <f>IFERROR('Data Sheet'!G67,0)</f>
        <v>11706</v>
      </c>
      <c r="G60" s="251">
        <f>IFERROR('Data Sheet'!H67,0)</f>
        <v>14131</v>
      </c>
      <c r="H60" s="251">
        <f>IFERROR('Data Sheet'!I67,0)</f>
        <v>17525</v>
      </c>
      <c r="I60" s="251">
        <f>IFERROR('Data Sheet'!J67,0)</f>
        <v>20671</v>
      </c>
      <c r="J60" s="251">
        <f>IFERROR('Data Sheet'!K67,0)</f>
        <v>25506</v>
      </c>
    </row>
    <row r="61" spans="2:10" x14ac:dyDescent="0.35">
      <c r="B61" s="266" t="s">
        <v>45</v>
      </c>
      <c r="C61" s="251">
        <f>IFERROR('Data Sheet'!D68,0)</f>
        <v>264.48</v>
      </c>
      <c r="D61" s="251">
        <f>IFERROR('Data Sheet'!E68,0)</f>
        <v>276</v>
      </c>
      <c r="E61" s="251">
        <f>IFERROR('Data Sheet'!F68,0)</f>
        <v>172</v>
      </c>
      <c r="F61" s="251">
        <f>IFERROR('Data Sheet'!G68,0)</f>
        <v>91</v>
      </c>
      <c r="G61" s="251">
        <f>IFERROR('Data Sheet'!H68,0)</f>
        <v>91</v>
      </c>
      <c r="H61" s="251">
        <f>IFERROR('Data Sheet'!I68,0)</f>
        <v>94</v>
      </c>
      <c r="I61" s="251">
        <f>IFERROR('Data Sheet'!J68,0)</f>
        <v>161</v>
      </c>
      <c r="J61" s="251">
        <f>IFERROR('Data Sheet'!K68,0)</f>
        <v>228</v>
      </c>
    </row>
    <row r="62" spans="2:10" x14ac:dyDescent="0.35">
      <c r="B62" s="266" t="s">
        <v>87</v>
      </c>
      <c r="C62" s="251">
        <f>IFERROR('Data Sheet'!D69,0)</f>
        <v>9334.6</v>
      </c>
      <c r="D62" s="251">
        <f>IFERROR('Data Sheet'!E69,0)</f>
        <v>9044</v>
      </c>
      <c r="E62" s="251">
        <f>IFERROR('Data Sheet'!F69,0)</f>
        <v>4018</v>
      </c>
      <c r="F62" s="251">
        <f>IFERROR('Data Sheet'!G69,0)</f>
        <v>7872</v>
      </c>
      <c r="G62" s="251">
        <f>IFERROR('Data Sheet'!H69,0)</f>
        <v>4976</v>
      </c>
      <c r="H62" s="251">
        <f>IFERROR('Data Sheet'!I69,0)</f>
        <v>8888</v>
      </c>
      <c r="I62" s="251">
        <f>IFERROR('Data Sheet'!J69,0)</f>
        <v>12636</v>
      </c>
      <c r="J62" s="251">
        <f>IFERROR('Data Sheet'!K69,0)</f>
        <v>14724</v>
      </c>
    </row>
    <row r="63" spans="2:10" x14ac:dyDescent="0.35">
      <c r="B63" s="250" t="s">
        <v>117</v>
      </c>
      <c r="C63" s="250">
        <f>IFERROR(SUM(C60:C62),0)</f>
        <v>17320.22</v>
      </c>
      <c r="D63" s="250">
        <f>IFERROR(SUM(D60:D62),0)</f>
        <v>17621</v>
      </c>
      <c r="E63" s="250">
        <f t="shared" ref="E63:J63" si="19">IFERROR(SUM(E60:E62),0)</f>
        <v>13829</v>
      </c>
      <c r="F63" s="250">
        <f t="shared" si="19"/>
        <v>19669</v>
      </c>
      <c r="G63" s="250">
        <f t="shared" si="19"/>
        <v>19198</v>
      </c>
      <c r="H63" s="250">
        <f t="shared" si="19"/>
        <v>26507</v>
      </c>
      <c r="I63" s="250">
        <f t="shared" si="19"/>
        <v>33468</v>
      </c>
      <c r="J63" s="250">
        <f t="shared" si="19"/>
        <v>40458</v>
      </c>
    </row>
    <row r="65" spans="1:11" x14ac:dyDescent="0.35">
      <c r="B65" s="250" t="s">
        <v>118</v>
      </c>
      <c r="C65" s="250">
        <f>IFERROR(C63+C58,0)</f>
        <v>39340.6</v>
      </c>
      <c r="D65" s="250">
        <f>IFERROR(D63+D58,0)</f>
        <v>45762</v>
      </c>
      <c r="E65" s="250">
        <f t="shared" ref="E65:J65" si="20">IFERROR(E63+E58,0)</f>
        <v>47989</v>
      </c>
      <c r="F65" s="250">
        <f t="shared" si="20"/>
        <v>58349</v>
      </c>
      <c r="G65" s="250">
        <f t="shared" si="20"/>
        <v>82819</v>
      </c>
      <c r="H65" s="250">
        <f t="shared" si="20"/>
        <v>86047</v>
      </c>
      <c r="I65" s="250">
        <f t="shared" si="20"/>
        <v>88921</v>
      </c>
      <c r="J65" s="250">
        <f t="shared" si="20"/>
        <v>93250</v>
      </c>
    </row>
    <row r="67" spans="1:11" x14ac:dyDescent="0.35">
      <c r="B67" s="251" t="s">
        <v>120</v>
      </c>
      <c r="C67" s="251" t="b">
        <f>C65=C52</f>
        <v>1</v>
      </c>
      <c r="D67" s="251" t="b">
        <f>D65=D52</f>
        <v>1</v>
      </c>
      <c r="E67" s="251" t="b">
        <f t="shared" ref="E67:J67" si="21">E65=E52</f>
        <v>1</v>
      </c>
      <c r="F67" s="251" t="b">
        <f t="shared" si="21"/>
        <v>1</v>
      </c>
      <c r="G67" s="251" t="b">
        <f t="shared" si="21"/>
        <v>1</v>
      </c>
      <c r="H67" s="251" t="b">
        <f t="shared" si="21"/>
        <v>1</v>
      </c>
      <c r="I67" s="251" t="b">
        <f t="shared" si="21"/>
        <v>1</v>
      </c>
      <c r="J67" s="251" t="b">
        <f t="shared" si="21"/>
        <v>1</v>
      </c>
    </row>
    <row r="69" spans="1:11" x14ac:dyDescent="0.35">
      <c r="A69" s="251" t="s">
        <v>95</v>
      </c>
      <c r="B69" s="258" t="str">
        <f>"Cash flow statement - " &amp;'Data Sheet'!D1</f>
        <v>Cash flow statement - HCL Technologies</v>
      </c>
      <c r="C69" s="258"/>
      <c r="D69" s="258"/>
      <c r="E69" s="258"/>
      <c r="F69" s="258"/>
      <c r="G69" s="258"/>
      <c r="H69" s="258"/>
      <c r="I69" s="258"/>
      <c r="J69" s="258"/>
      <c r="K69" s="258"/>
    </row>
    <row r="70" spans="1:11" x14ac:dyDescent="0.35">
      <c r="B70" s="268" t="s">
        <v>151</v>
      </c>
      <c r="C70" s="268"/>
    </row>
    <row r="71" spans="1:11" x14ac:dyDescent="0.35">
      <c r="B71" s="251" t="s">
        <v>122</v>
      </c>
      <c r="C71" s="269">
        <f>IFERROR('Cashflow data'!G3,0)</f>
        <v>6735</v>
      </c>
      <c r="D71" s="269">
        <f>IFERROR('Cashflow data'!H3,0)</f>
        <v>10681</v>
      </c>
      <c r="E71" s="269">
        <f>IFERROR('Cashflow data'!I3,0)</f>
        <v>11918</v>
      </c>
      <c r="F71" s="269">
        <f>IFERROR('Cashflow data'!J3,0)</f>
        <v>14058</v>
      </c>
      <c r="G71" s="269">
        <f>IFERROR('Cashflow data'!K3,0)</f>
        <v>17477</v>
      </c>
      <c r="H71" s="269">
        <f>IFERROR('Cashflow data'!L3,0)</f>
        <v>20022</v>
      </c>
      <c r="I71" s="269">
        <f>IFERROR('Cashflow data'!M3,0)</f>
        <v>20892</v>
      </c>
      <c r="J71" s="269">
        <f>IFERROR('Cashflow data'!N3,0)</f>
        <v>23012</v>
      </c>
    </row>
    <row r="72" spans="1:11" x14ac:dyDescent="0.35">
      <c r="B72" s="251" t="s">
        <v>78</v>
      </c>
      <c r="C72" s="269">
        <f>IFERROR('Cashflow data'!G4,0)</f>
        <v>-1087</v>
      </c>
      <c r="D72" s="269">
        <f>IFERROR('Cashflow data'!H4,0)</f>
        <v>-743</v>
      </c>
      <c r="E72" s="269">
        <f>IFERROR('Cashflow data'!I4,0)</f>
        <v>-1126</v>
      </c>
      <c r="F72" s="269">
        <f>IFERROR('Cashflow data'!J4,0)</f>
        <v>-1458</v>
      </c>
      <c r="G72" s="269">
        <f>IFERROR('Cashflow data'!K4,0)</f>
        <v>-1957</v>
      </c>
      <c r="H72" s="269">
        <f>IFERROR('Cashflow data'!L4,0)</f>
        <v>585</v>
      </c>
      <c r="I72" s="269">
        <f>IFERROR('Cashflow data'!M4,0)</f>
        <v>-2809</v>
      </c>
      <c r="J72" s="269">
        <f>IFERROR('Cashflow data'!N4,0)</f>
        <v>-3240</v>
      </c>
    </row>
    <row r="73" spans="1:11" x14ac:dyDescent="0.35">
      <c r="B73" s="251" t="s">
        <v>45</v>
      </c>
      <c r="C73" s="269">
        <f>IFERROR('Cashflow data'!G5,0)</f>
        <v>-87</v>
      </c>
      <c r="D73" s="269">
        <f>IFERROR('Cashflow data'!H5,0)</f>
        <v>-20</v>
      </c>
      <c r="E73" s="269">
        <f>IFERROR('Cashflow data'!I5,0)</f>
        <v>117</v>
      </c>
      <c r="F73" s="269">
        <f>IFERROR('Cashflow data'!J5,0)</f>
        <v>108</v>
      </c>
      <c r="G73" s="269">
        <f>IFERROR('Cashflow data'!K5,0)</f>
        <v>24</v>
      </c>
      <c r="H73" s="269">
        <f>IFERROR('Cashflow data'!L5,0)</f>
        <v>72</v>
      </c>
      <c r="I73" s="269">
        <f>IFERROR('Cashflow data'!M5,0)</f>
        <v>207</v>
      </c>
      <c r="J73" s="269">
        <f>IFERROR('Cashflow data'!N5,0)</f>
        <v>-37</v>
      </c>
    </row>
    <row r="74" spans="1:11" x14ac:dyDescent="0.35">
      <c r="B74" s="251" t="s">
        <v>123</v>
      </c>
      <c r="C74" s="269">
        <f>IFERROR('Cashflow data'!G6,0)</f>
        <v>48</v>
      </c>
      <c r="D74" s="269">
        <f>IFERROR('Cashflow data'!H6,0)</f>
        <v>56</v>
      </c>
      <c r="E74" s="269">
        <f>IFERROR('Cashflow data'!I6,0)</f>
        <v>243</v>
      </c>
      <c r="F74" s="269">
        <f>IFERROR('Cashflow data'!J6,0)</f>
        <v>377</v>
      </c>
      <c r="G74" s="269">
        <f>IFERROR('Cashflow data'!K6,0)</f>
        <v>-208</v>
      </c>
      <c r="H74" s="269">
        <f>IFERROR('Cashflow data'!L6,0)</f>
        <v>608</v>
      </c>
      <c r="I74" s="269">
        <f>IFERROR('Cashflow data'!M6,0)</f>
        <v>718</v>
      </c>
      <c r="J74" s="269">
        <f>IFERROR('Cashflow data'!N6,0)</f>
        <v>-175</v>
      </c>
    </row>
    <row r="75" spans="1:11" x14ac:dyDescent="0.35">
      <c r="B75" s="251" t="s">
        <v>124</v>
      </c>
      <c r="C75" s="269">
        <f>IFERROR('Cashflow data'!G7,0)</f>
        <v>0</v>
      </c>
      <c r="D75" s="269">
        <f>IFERROR('Cashflow data'!H7,0)</f>
        <v>0</v>
      </c>
      <c r="E75" s="269">
        <f>IFERROR('Cashflow data'!I7,0)</f>
        <v>0</v>
      </c>
      <c r="F75" s="269">
        <f>IFERROR('Cashflow data'!J7,0)</f>
        <v>0</v>
      </c>
      <c r="G75" s="269">
        <f>IFERROR('Cashflow data'!K7,0)</f>
        <v>0</v>
      </c>
      <c r="H75" s="269">
        <f>IFERROR('Cashflow data'!L7,0)</f>
        <v>0</v>
      </c>
      <c r="I75" s="269">
        <f>IFERROR('Cashflow data'!M7,0)</f>
        <v>0</v>
      </c>
      <c r="J75" s="269">
        <f>IFERROR('Cashflow data'!N7,0)</f>
        <v>0</v>
      </c>
    </row>
    <row r="76" spans="1:11" x14ac:dyDescent="0.35">
      <c r="B76" s="251" t="s">
        <v>125</v>
      </c>
      <c r="C76" s="269">
        <f>IFERROR('Cashflow data'!G8,0)</f>
        <v>-377</v>
      </c>
      <c r="D76" s="269">
        <f>IFERROR('Cashflow data'!H8,0)</f>
        <v>1028</v>
      </c>
      <c r="E76" s="269">
        <f>IFERROR('Cashflow data'!I8,0)</f>
        <v>-468</v>
      </c>
      <c r="F76" s="269">
        <f>IFERROR('Cashflow data'!J8,0)</f>
        <v>-1493</v>
      </c>
      <c r="G76" s="269">
        <f>IFERROR('Cashflow data'!K8,0)</f>
        <v>581</v>
      </c>
      <c r="H76" s="269">
        <f>IFERROR('Cashflow data'!L8,0)</f>
        <v>1776</v>
      </c>
      <c r="I76" s="269">
        <f>IFERROR('Cashflow data'!M8,0)</f>
        <v>1335</v>
      </c>
      <c r="J76" s="269">
        <f>IFERROR('Cashflow data'!N8,0)</f>
        <v>2147</v>
      </c>
    </row>
    <row r="77" spans="1:11" x14ac:dyDescent="0.35">
      <c r="B77" s="251" t="s">
        <v>126</v>
      </c>
      <c r="C77" s="269">
        <f>IFERROR('Cashflow data'!G9,0)</f>
        <v>-1503</v>
      </c>
      <c r="D77" s="269">
        <f>IFERROR('Cashflow data'!H9,0)</f>
        <v>321</v>
      </c>
      <c r="E77" s="269">
        <f>IFERROR('Cashflow data'!I9,0)</f>
        <v>-1234</v>
      </c>
      <c r="F77" s="269">
        <f>IFERROR('Cashflow data'!J9,0)</f>
        <v>-2466</v>
      </c>
      <c r="G77" s="269">
        <f>IFERROR('Cashflow data'!K9,0)</f>
        <v>-1560</v>
      </c>
      <c r="H77" s="269">
        <f>IFERROR('Cashflow data'!L9,0)</f>
        <v>3041</v>
      </c>
      <c r="I77" s="269">
        <f>IFERROR('Cashflow data'!M9,0)</f>
        <v>-549</v>
      </c>
      <c r="J77" s="269">
        <f>IFERROR('Cashflow data'!N9,0)</f>
        <v>-1305</v>
      </c>
    </row>
    <row r="78" spans="1:11" x14ac:dyDescent="0.35">
      <c r="B78" s="251" t="s">
        <v>127</v>
      </c>
      <c r="C78" s="269">
        <f>IFERROR('Cashflow data'!G10,0)</f>
        <v>-1409</v>
      </c>
      <c r="D78" s="269">
        <f>IFERROR('Cashflow data'!H10,0)</f>
        <v>-2007</v>
      </c>
      <c r="E78" s="269">
        <f>IFERROR('Cashflow data'!I10,0)</f>
        <v>-2356</v>
      </c>
      <c r="F78" s="269">
        <f>IFERROR('Cashflow data'!J10,0)</f>
        <v>-2621</v>
      </c>
      <c r="G78" s="269">
        <f>IFERROR('Cashflow data'!K10,0)</f>
        <v>-2558</v>
      </c>
      <c r="H78" s="269">
        <f>IFERROR('Cashflow data'!L10,0)</f>
        <v>-3445</v>
      </c>
      <c r="I78" s="269">
        <f>IFERROR('Cashflow data'!M10,0)</f>
        <v>-3443</v>
      </c>
      <c r="J78" s="269">
        <f>IFERROR('Cashflow data'!N10,0)</f>
        <v>-3698</v>
      </c>
    </row>
    <row r="79" spans="1:11" x14ac:dyDescent="0.35">
      <c r="B79" s="250" t="s">
        <v>150</v>
      </c>
      <c r="C79" s="250">
        <f>IFERROR(SUM(C71:C78),0)</f>
        <v>2320</v>
      </c>
      <c r="D79" s="250">
        <f>IFERROR(SUM(D71:D78),0)</f>
        <v>9316</v>
      </c>
      <c r="E79" s="250">
        <f t="shared" ref="E79:J79" si="22">IFERROR(SUM(E71:E78),0)</f>
        <v>7094</v>
      </c>
      <c r="F79" s="250">
        <f t="shared" si="22"/>
        <v>6505</v>
      </c>
      <c r="G79" s="250">
        <f t="shared" si="22"/>
        <v>11799</v>
      </c>
      <c r="H79" s="250">
        <f t="shared" si="22"/>
        <v>22659</v>
      </c>
      <c r="I79" s="250">
        <f t="shared" si="22"/>
        <v>16351</v>
      </c>
      <c r="J79" s="250">
        <f t="shared" si="22"/>
        <v>16704</v>
      </c>
    </row>
    <row r="81" spans="2:10" x14ac:dyDescent="0.35">
      <c r="B81" s="268" t="s">
        <v>152</v>
      </c>
      <c r="C81" s="268"/>
    </row>
    <row r="82" spans="2:10" x14ac:dyDescent="0.35">
      <c r="B82" s="251" t="s">
        <v>129</v>
      </c>
      <c r="C82" s="269">
        <f>IFERROR('Cashflow data'!G13,0)</f>
        <v>-942</v>
      </c>
      <c r="D82" s="269">
        <f>IFERROR('Cashflow data'!H13,0)</f>
        <v>-3921</v>
      </c>
      <c r="E82" s="269">
        <f>IFERROR('Cashflow data'!I13,0)</f>
        <v>-5344</v>
      </c>
      <c r="F82" s="269">
        <f>IFERROR('Cashflow data'!J13,0)</f>
        <v>-3465</v>
      </c>
      <c r="G82" s="269">
        <f>IFERROR('Cashflow data'!K13,0)</f>
        <v>-1866</v>
      </c>
      <c r="H82" s="269">
        <f>IFERROR('Cashflow data'!L13,0)</f>
        <v>-1904</v>
      </c>
      <c r="I82" s="269">
        <f>IFERROR('Cashflow data'!M13,0)</f>
        <v>-1645</v>
      </c>
      <c r="J82" s="269">
        <f>IFERROR('Cashflow data'!N13,0)</f>
        <v>-1661</v>
      </c>
    </row>
    <row r="83" spans="2:10" x14ac:dyDescent="0.35">
      <c r="B83" s="251" t="s">
        <v>130</v>
      </c>
      <c r="C83" s="269">
        <f>IFERROR('Cashflow data'!G14,0)</f>
        <v>194</v>
      </c>
      <c r="D83" s="269">
        <f>IFERROR('Cashflow data'!H14,0)</f>
        <v>110</v>
      </c>
      <c r="E83" s="269">
        <f>IFERROR('Cashflow data'!I14,0)</f>
        <v>23</v>
      </c>
      <c r="F83" s="269">
        <f>IFERROR('Cashflow data'!J14,0)</f>
        <v>31</v>
      </c>
      <c r="G83" s="269">
        <f>IFERROR('Cashflow data'!K14,0)</f>
        <v>37</v>
      </c>
      <c r="H83" s="269">
        <f>IFERROR('Cashflow data'!L14,0)</f>
        <v>151</v>
      </c>
      <c r="I83" s="269">
        <f>IFERROR('Cashflow data'!M14,0)</f>
        <v>90</v>
      </c>
      <c r="J83" s="269">
        <f>IFERROR('Cashflow data'!N14,0)</f>
        <v>217</v>
      </c>
    </row>
    <row r="84" spans="2:10" x14ac:dyDescent="0.35">
      <c r="B84" s="251" t="s">
        <v>131</v>
      </c>
      <c r="C84" s="269">
        <f>IFERROR('Cashflow data'!G16,0)</f>
        <v>-6873</v>
      </c>
      <c r="D84" s="269">
        <f>IFERROR('Cashflow data'!H16,0)</f>
        <v>-11685</v>
      </c>
      <c r="E84" s="269">
        <f>IFERROR('Cashflow data'!I16,0)</f>
        <v>-20032</v>
      </c>
      <c r="F84" s="269">
        <f>IFERROR('Cashflow data'!J16,0)</f>
        <v>-24257</v>
      </c>
      <c r="G84" s="269">
        <f>IFERROR('Cashflow data'!K16,0)</f>
        <v>-35438</v>
      </c>
      <c r="H84" s="269">
        <f>IFERROR('Cashflow data'!L16,0)</f>
        <v>-20799</v>
      </c>
      <c r="I84" s="269">
        <f>IFERROR('Cashflow data'!M16,0)</f>
        <v>-32586</v>
      </c>
      <c r="J84" s="269">
        <f>IFERROR('Cashflow data'!N16,0)</f>
        <v>-34623</v>
      </c>
    </row>
    <row r="85" spans="2:10" x14ac:dyDescent="0.35">
      <c r="B85" s="251" t="s">
        <v>132</v>
      </c>
      <c r="C85" s="269">
        <f>IFERROR('Cashflow data'!G17,0)</f>
        <v>7121</v>
      </c>
      <c r="D85" s="269">
        <f>IFERROR('Cashflow data'!H17,0)</f>
        <v>11210</v>
      </c>
      <c r="E85" s="269">
        <f>IFERROR('Cashflow data'!I17,0)</f>
        <v>18714</v>
      </c>
      <c r="F85" s="269">
        <f>IFERROR('Cashflow data'!J17,0)</f>
        <v>24777</v>
      </c>
      <c r="G85" s="269">
        <f>IFERROR('Cashflow data'!K17,0)</f>
        <v>30785</v>
      </c>
      <c r="H85" s="269">
        <f>IFERROR('Cashflow data'!L17,0)</f>
        <v>21109</v>
      </c>
      <c r="I85" s="269">
        <f>IFERROR('Cashflow data'!M17,0)</f>
        <v>33215</v>
      </c>
      <c r="J85" s="269">
        <f>IFERROR('Cashflow data'!N17,0)</f>
        <v>35635</v>
      </c>
    </row>
    <row r="86" spans="2:10" x14ac:dyDescent="0.35">
      <c r="B86" s="251" t="s">
        <v>133</v>
      </c>
      <c r="C86" s="269">
        <f>IFERROR('Cashflow data'!G18,0)</f>
        <v>645</v>
      </c>
      <c r="D86" s="269">
        <f>IFERROR('Cashflow data'!H18,0)</f>
        <v>854</v>
      </c>
      <c r="E86" s="269">
        <f>IFERROR('Cashflow data'!I18,0)</f>
        <v>500</v>
      </c>
      <c r="F86" s="269">
        <f>IFERROR('Cashflow data'!J18,0)</f>
        <v>511</v>
      </c>
      <c r="G86" s="269">
        <f>IFERROR('Cashflow data'!K18,0)</f>
        <v>282</v>
      </c>
      <c r="H86" s="269">
        <f>IFERROR('Cashflow data'!L18,0)</f>
        <v>676</v>
      </c>
      <c r="I86" s="269">
        <f>IFERROR('Cashflow data'!M18,0)</f>
        <v>590</v>
      </c>
      <c r="J86" s="269">
        <f>IFERROR('Cashflow data'!N18,0)</f>
        <v>636</v>
      </c>
    </row>
    <row r="87" spans="2:10" x14ac:dyDescent="0.35">
      <c r="B87" s="251" t="s">
        <v>134</v>
      </c>
      <c r="C87" s="269">
        <f>IFERROR('Cashflow data'!G19,0)</f>
        <v>0</v>
      </c>
      <c r="D87" s="269">
        <f>IFERROR('Cashflow data'!H19,0)</f>
        <v>0</v>
      </c>
      <c r="E87" s="269">
        <f>IFERROR('Cashflow data'!I19,0)</f>
        <v>0</v>
      </c>
      <c r="F87" s="269">
        <f>IFERROR('Cashflow data'!J19,0)</f>
        <v>0</v>
      </c>
      <c r="G87" s="269">
        <f>IFERROR('Cashflow data'!K19,0)</f>
        <v>0</v>
      </c>
      <c r="H87" s="269">
        <f>IFERROR('Cashflow data'!L19,0)</f>
        <v>0</v>
      </c>
      <c r="I87" s="269">
        <f>IFERROR('Cashflow data'!M19,0)</f>
        <v>0</v>
      </c>
      <c r="J87" s="269">
        <f>IFERROR('Cashflow data'!N19,0)</f>
        <v>0</v>
      </c>
    </row>
    <row r="88" spans="2:10" x14ac:dyDescent="0.35">
      <c r="B88" s="251" t="s">
        <v>135</v>
      </c>
      <c r="C88" s="269">
        <f>IFERROR('Cashflow data'!G19,0)</f>
        <v>0</v>
      </c>
      <c r="D88" s="269">
        <f>IFERROR('Cashflow data'!H19,0)</f>
        <v>0</v>
      </c>
      <c r="E88" s="269">
        <f>IFERROR('Cashflow data'!I19,0)</f>
        <v>0</v>
      </c>
      <c r="F88" s="269">
        <f>IFERROR('Cashflow data'!J19,0)</f>
        <v>0</v>
      </c>
      <c r="G88" s="269">
        <f>IFERROR('Cashflow data'!K19,0)</f>
        <v>0</v>
      </c>
      <c r="H88" s="269">
        <f>IFERROR('Cashflow data'!L19,0)</f>
        <v>0</v>
      </c>
      <c r="I88" s="269">
        <f>IFERROR('Cashflow data'!M19,0)</f>
        <v>0</v>
      </c>
      <c r="J88" s="269">
        <f>IFERROR('Cashflow data'!N19,0)</f>
        <v>0</v>
      </c>
    </row>
    <row r="89" spans="2:10" x14ac:dyDescent="0.35">
      <c r="B89" s="251" t="s">
        <v>136</v>
      </c>
      <c r="C89" s="269">
        <f>IFERROR('Cashflow data'!G20,0)</f>
        <v>-14</v>
      </c>
      <c r="D89" s="269">
        <f>IFERROR('Cashflow data'!H20,0)</f>
        <v>-14</v>
      </c>
      <c r="E89" s="269">
        <f>IFERROR('Cashflow data'!I20,0)</f>
        <v>0</v>
      </c>
      <c r="F89" s="269">
        <f>IFERROR('Cashflow data'!J20,0)</f>
        <v>0</v>
      </c>
      <c r="G89" s="269">
        <f>IFERROR('Cashflow data'!K20,0)</f>
        <v>0</v>
      </c>
      <c r="H89" s="269">
        <f>IFERROR('Cashflow data'!L20,0)</f>
        <v>0</v>
      </c>
      <c r="I89" s="269">
        <f>IFERROR('Cashflow data'!M20,0)</f>
        <v>0</v>
      </c>
      <c r="J89" s="269">
        <f>IFERROR('Cashflow data'!N20,0)</f>
        <v>0</v>
      </c>
    </row>
    <row r="90" spans="2:10" x14ac:dyDescent="0.35">
      <c r="B90" s="251" t="s">
        <v>137</v>
      </c>
      <c r="C90" s="269">
        <f>IFERROR('Cashflow data'!G21,0)</f>
        <v>0</v>
      </c>
      <c r="D90" s="269">
        <f>IFERROR('Cashflow data'!H21,0)</f>
        <v>0</v>
      </c>
      <c r="E90" s="269">
        <f>IFERROR('Cashflow data'!I21,0)</f>
        <v>-144</v>
      </c>
      <c r="F90" s="269">
        <f>IFERROR('Cashflow data'!J21,0)</f>
        <v>0</v>
      </c>
      <c r="G90" s="269">
        <f>IFERROR('Cashflow data'!K21,0)</f>
        <v>0</v>
      </c>
      <c r="H90" s="269">
        <f>IFERROR('Cashflow data'!L21,0)</f>
        <v>0</v>
      </c>
      <c r="I90" s="269">
        <f>IFERROR('Cashflow data'!M21,0)</f>
        <v>0</v>
      </c>
      <c r="J90" s="269">
        <f>IFERROR('Cashflow data'!N21,0)</f>
        <v>0</v>
      </c>
    </row>
    <row r="91" spans="2:10" x14ac:dyDescent="0.35">
      <c r="B91" s="251" t="s">
        <v>138</v>
      </c>
      <c r="C91" s="269">
        <f>IFERROR('Cashflow data'!G21,0)</f>
        <v>0</v>
      </c>
      <c r="D91" s="269">
        <f>IFERROR('Cashflow data'!H21,0)</f>
        <v>0</v>
      </c>
      <c r="E91" s="269">
        <f>IFERROR('Cashflow data'!I21,0)</f>
        <v>-144</v>
      </c>
      <c r="F91" s="269">
        <f>IFERROR('Cashflow data'!J21,0)</f>
        <v>0</v>
      </c>
      <c r="G91" s="269">
        <f>IFERROR('Cashflow data'!K21,0)</f>
        <v>0</v>
      </c>
      <c r="H91" s="269">
        <f>IFERROR('Cashflow data'!L21,0)</f>
        <v>0</v>
      </c>
      <c r="I91" s="269">
        <f>IFERROR('Cashflow data'!M21,0)</f>
        <v>0</v>
      </c>
      <c r="J91" s="269">
        <f>IFERROR('Cashflow data'!N21,0)</f>
        <v>0</v>
      </c>
    </row>
    <row r="92" spans="2:10" x14ac:dyDescent="0.35">
      <c r="B92" s="251" t="s">
        <v>139</v>
      </c>
      <c r="C92" s="269">
        <f>IFERROR('Cashflow data'!G22,0)</f>
        <v>-792</v>
      </c>
      <c r="D92" s="269">
        <f>IFERROR('Cashflow data'!H22,0)</f>
        <v>-515</v>
      </c>
      <c r="E92" s="269">
        <f>IFERROR('Cashflow data'!I22,0)</f>
        <v>-1143</v>
      </c>
      <c r="F92" s="269">
        <f>IFERROR('Cashflow data'!J22,0)</f>
        <v>1978</v>
      </c>
      <c r="G92" s="269">
        <f>IFERROR('Cashflow data'!K22,0)</f>
        <v>-1754</v>
      </c>
      <c r="H92" s="269">
        <f>IFERROR('Cashflow data'!L22,0)</f>
        <v>-1422</v>
      </c>
      <c r="I92" s="269">
        <f>IFERROR('Cashflow data'!M22,0)</f>
        <v>1633</v>
      </c>
      <c r="J92" s="269">
        <f>IFERROR('Cashflow data'!N22,0)</f>
        <v>606</v>
      </c>
    </row>
    <row r="93" spans="2:10" x14ac:dyDescent="0.35">
      <c r="B93" s="251" t="s">
        <v>140</v>
      </c>
      <c r="C93" s="269">
        <f>IFERROR('Cashflow data'!G23,0)</f>
        <v>-1548</v>
      </c>
      <c r="D93" s="269">
        <f>IFERROR('Cashflow data'!H23,0)</f>
        <v>71</v>
      </c>
      <c r="E93" s="269">
        <f>IFERROR('Cashflow data'!I23,0)</f>
        <v>5190</v>
      </c>
      <c r="F93" s="269">
        <f>IFERROR('Cashflow data'!J23,0)</f>
        <v>-2831</v>
      </c>
      <c r="G93" s="269">
        <f>IFERROR('Cashflow data'!K23,0)</f>
        <v>-4378</v>
      </c>
      <c r="H93" s="269">
        <f>IFERROR('Cashflow data'!L23,0)</f>
        <v>-3476</v>
      </c>
      <c r="I93" s="269">
        <f>IFERROR('Cashflow data'!M23,0)</f>
        <v>300</v>
      </c>
      <c r="J93" s="269">
        <f>IFERROR('Cashflow data'!N23,0)</f>
        <v>-4383</v>
      </c>
    </row>
    <row r="94" spans="2:10" x14ac:dyDescent="0.35">
      <c r="B94" s="250" t="s">
        <v>153</v>
      </c>
      <c r="C94" s="250">
        <f>IFERROR(SUM(C82:C93),0)</f>
        <v>-2209</v>
      </c>
      <c r="D94" s="250">
        <f>IFERROR(SUM(D82:D93),0)</f>
        <v>-3890</v>
      </c>
      <c r="E94" s="250">
        <f t="shared" ref="E94:J94" si="23">IFERROR(SUM(E82:E93),0)</f>
        <v>-2380</v>
      </c>
      <c r="F94" s="250">
        <f t="shared" si="23"/>
        <v>-3256</v>
      </c>
      <c r="G94" s="250">
        <f t="shared" si="23"/>
        <v>-12332</v>
      </c>
      <c r="H94" s="250">
        <f t="shared" si="23"/>
        <v>-5665</v>
      </c>
      <c r="I94" s="250">
        <f t="shared" si="23"/>
        <v>1597</v>
      </c>
      <c r="J94" s="250">
        <f t="shared" si="23"/>
        <v>-3573</v>
      </c>
    </row>
    <row r="96" spans="2:10" x14ac:dyDescent="0.35">
      <c r="B96" s="268" t="s">
        <v>154</v>
      </c>
      <c r="C96" s="268"/>
    </row>
    <row r="97" spans="2:10" x14ac:dyDescent="0.35">
      <c r="B97" s="251" t="s">
        <v>142</v>
      </c>
      <c r="C97" s="269">
        <f>IFERROR('Cashflow data'!G25,0)</f>
        <v>1</v>
      </c>
      <c r="D97" s="269">
        <f>IFERROR('Cashflow data'!H25,0)</f>
        <v>0</v>
      </c>
      <c r="E97" s="269">
        <f>IFERROR('Cashflow data'!I25,0)</f>
        <v>0</v>
      </c>
      <c r="F97" s="269">
        <f>IFERROR('Cashflow data'!J25,0)</f>
        <v>0</v>
      </c>
      <c r="G97" s="269">
        <f>IFERROR('Cashflow data'!K25,0)</f>
        <v>0</v>
      </c>
      <c r="H97" s="269">
        <f>IFERROR('Cashflow data'!L25,0)</f>
        <v>0</v>
      </c>
      <c r="I97" s="269">
        <f>IFERROR('Cashflow data'!M25,0)</f>
        <v>0</v>
      </c>
      <c r="J97" s="269">
        <f>IFERROR('Cashflow data'!N25,0)</f>
        <v>0</v>
      </c>
    </row>
    <row r="98" spans="2:10" x14ac:dyDescent="0.35">
      <c r="B98" s="251" t="s">
        <v>143</v>
      </c>
      <c r="C98" s="269">
        <f>IFERROR('Cashflow data'!G26,0)</f>
        <v>0</v>
      </c>
      <c r="D98" s="269">
        <f>IFERROR('Cashflow data'!H26,0)</f>
        <v>0</v>
      </c>
      <c r="E98" s="269">
        <f>IFERROR('Cashflow data'!I26,0)</f>
        <v>0</v>
      </c>
      <c r="F98" s="269">
        <f>IFERROR('Cashflow data'!J26,0)</f>
        <v>0</v>
      </c>
      <c r="G98" s="269">
        <f>IFERROR('Cashflow data'!K26,0)</f>
        <v>0</v>
      </c>
      <c r="H98" s="269">
        <f>IFERROR('Cashflow data'!L26,0)</f>
        <v>0</v>
      </c>
      <c r="I98" s="269">
        <f>IFERROR('Cashflow data'!M26,0)</f>
        <v>0</v>
      </c>
      <c r="J98" s="269">
        <f>IFERROR('Cashflow data'!N26,0)</f>
        <v>0</v>
      </c>
    </row>
    <row r="99" spans="2:10" x14ac:dyDescent="0.35">
      <c r="B99" s="251" t="s">
        <v>144</v>
      </c>
      <c r="C99" s="269">
        <f>IFERROR('Cashflow data'!G27,0)</f>
        <v>745</v>
      </c>
      <c r="D99" s="269">
        <f>IFERROR('Cashflow data'!H27,0)</f>
        <v>228</v>
      </c>
      <c r="E99" s="269">
        <f>IFERROR('Cashflow data'!I27,0)</f>
        <v>19</v>
      </c>
      <c r="F99" s="269">
        <f>IFERROR('Cashflow data'!J27,0)</f>
        <v>4500</v>
      </c>
      <c r="G99" s="269">
        <f>IFERROR('Cashflow data'!K27,0)</f>
        <v>1085</v>
      </c>
      <c r="H99" s="269">
        <f>IFERROR('Cashflow data'!L27,0)</f>
        <v>4567</v>
      </c>
      <c r="I99" s="269">
        <f>IFERROR('Cashflow data'!M27,0)</f>
        <v>77</v>
      </c>
      <c r="J99" s="269">
        <f>IFERROR('Cashflow data'!N27,0)</f>
        <v>124</v>
      </c>
    </row>
    <row r="100" spans="2:10" x14ac:dyDescent="0.35">
      <c r="B100" s="251" t="s">
        <v>145</v>
      </c>
      <c r="C100" s="269">
        <f>IFERROR('Cashflow data'!G28,0)</f>
        <v>-264</v>
      </c>
      <c r="D100" s="269">
        <f>IFERROR('Cashflow data'!H28,0)</f>
        <v>-623</v>
      </c>
      <c r="E100" s="269">
        <f>IFERROR('Cashflow data'!I28,0)</f>
        <v>-167</v>
      </c>
      <c r="F100" s="269">
        <f>IFERROR('Cashflow data'!J28,0)</f>
        <v>-886</v>
      </c>
      <c r="G100" s="269">
        <f>IFERROR('Cashflow data'!K28,0)</f>
        <v>-1331</v>
      </c>
      <c r="H100" s="269">
        <f>IFERROR('Cashflow data'!L28,0)</f>
        <v>-11336</v>
      </c>
      <c r="I100" s="269">
        <f>IFERROR('Cashflow data'!M28,0)</f>
        <v>-508</v>
      </c>
      <c r="J100" s="269">
        <f>IFERROR('Cashflow data'!N28,0)</f>
        <v>-2003</v>
      </c>
    </row>
    <row r="101" spans="2:10" x14ac:dyDescent="0.35">
      <c r="B101" s="251" t="s">
        <v>146</v>
      </c>
      <c r="C101" s="269">
        <f>IFERROR('Cashflow data'!G29,0)</f>
        <v>-8</v>
      </c>
      <c r="D101" s="269">
        <f>IFERROR('Cashflow data'!H29,0)</f>
        <v>-19</v>
      </c>
      <c r="E101" s="269">
        <f>IFERROR('Cashflow data'!I29,0)</f>
        <v>-14</v>
      </c>
      <c r="F101" s="269">
        <f>IFERROR('Cashflow data'!J29,0)</f>
        <v>-71</v>
      </c>
      <c r="G101" s="269">
        <f>IFERROR('Cashflow data'!K29,0)</f>
        <v>-136</v>
      </c>
      <c r="H101" s="269">
        <f>IFERROR('Cashflow data'!L29,0)</f>
        <v>-139</v>
      </c>
      <c r="I101" s="269">
        <f>IFERROR('Cashflow data'!M29,0)</f>
        <v>-69</v>
      </c>
      <c r="J101" s="269">
        <f>IFERROR('Cashflow data'!N29,0)</f>
        <v>-80</v>
      </c>
    </row>
    <row r="102" spans="2:10" x14ac:dyDescent="0.35">
      <c r="B102" s="251" t="s">
        <v>147</v>
      </c>
      <c r="C102" s="269">
        <f>IFERROR('Cashflow data'!G30,0)</f>
        <v>-2251</v>
      </c>
      <c r="D102" s="269">
        <f>IFERROR('Cashflow data'!H30,0)</f>
        <v>-3386</v>
      </c>
      <c r="E102" s="269">
        <f>IFERROR('Cashflow data'!I30,0)</f>
        <v>-1691</v>
      </c>
      <c r="F102" s="269">
        <f>IFERROR('Cashflow data'!J30,0)</f>
        <v>-1099</v>
      </c>
      <c r="G102" s="269">
        <f>IFERROR('Cashflow data'!K30,0)</f>
        <v>-1357</v>
      </c>
      <c r="H102" s="269">
        <f>IFERROR('Cashflow data'!L30,0)</f>
        <v>-3256</v>
      </c>
      <c r="I102" s="269">
        <f>IFERROR('Cashflow data'!M30,0)</f>
        <v>-11391</v>
      </c>
      <c r="J102" s="269">
        <f>IFERROR('Cashflow data'!N30,0)</f>
        <v>-12995</v>
      </c>
    </row>
    <row r="103" spans="2:10" x14ac:dyDescent="0.35">
      <c r="B103" s="251" t="s">
        <v>148</v>
      </c>
      <c r="C103" s="269">
        <f>IFERROR('Cashflow data'!G31,0)</f>
        <v>0</v>
      </c>
      <c r="D103" s="269">
        <f>IFERROR('Cashflow data'!H31,0)</f>
        <v>0</v>
      </c>
      <c r="E103" s="269">
        <f>IFERROR('Cashflow data'!I31,0)</f>
        <v>0</v>
      </c>
      <c r="F103" s="269">
        <f>IFERROR('Cashflow data'!J31,0)</f>
        <v>0</v>
      </c>
      <c r="G103" s="269">
        <f>IFERROR('Cashflow data'!K31,0)</f>
        <v>0</v>
      </c>
      <c r="H103" s="269">
        <f>IFERROR('Cashflow data'!L31,0)</f>
        <v>-1016</v>
      </c>
      <c r="I103" s="269">
        <f>IFERROR('Cashflow data'!M31,0)</f>
        <v>-1067</v>
      </c>
      <c r="J103" s="269">
        <f>IFERROR('Cashflow data'!N31,0)</f>
        <v>-927</v>
      </c>
    </row>
    <row r="104" spans="2:10" x14ac:dyDescent="0.35">
      <c r="B104" s="251" t="s">
        <v>149</v>
      </c>
      <c r="C104" s="269">
        <f>IFERROR('Cashflow data'!G32,0)</f>
        <v>-460</v>
      </c>
      <c r="D104" s="269">
        <f>IFERROR('Cashflow data'!H32,0)</f>
        <v>-717</v>
      </c>
      <c r="E104" s="269">
        <f>IFERROR('Cashflow data'!I32,0)</f>
        <v>-3861</v>
      </c>
      <c r="F104" s="269">
        <f>IFERROR('Cashflow data'!J32,0)</f>
        <v>-3915</v>
      </c>
      <c r="G104" s="269">
        <f>IFERROR('Cashflow data'!K32,0)</f>
        <v>-1429</v>
      </c>
      <c r="H104" s="269">
        <f>IFERROR('Cashflow data'!L32,0)</f>
        <v>-12</v>
      </c>
      <c r="I104" s="269">
        <f>IFERROR('Cashflow data'!M32,0)</f>
        <v>-1550</v>
      </c>
      <c r="J104" s="269">
        <f>IFERROR('Cashflow data'!N32,0)</f>
        <v>0</v>
      </c>
    </row>
    <row r="105" spans="2:10" x14ac:dyDescent="0.35">
      <c r="B105" s="250" t="s">
        <v>155</v>
      </c>
      <c r="C105" s="250">
        <f>IFERROR(SUM(C97:C104),0)</f>
        <v>-2237</v>
      </c>
      <c r="D105" s="250">
        <f>IFERROR(SUM(D97:D104),0)</f>
        <v>-4517</v>
      </c>
      <c r="E105" s="250">
        <f t="shared" ref="E105:J105" si="24">IFERROR(SUM(E97:E104),0)</f>
        <v>-5714</v>
      </c>
      <c r="F105" s="250">
        <f t="shared" si="24"/>
        <v>-1471</v>
      </c>
      <c r="G105" s="250">
        <f t="shared" si="24"/>
        <v>-3168</v>
      </c>
      <c r="H105" s="250">
        <f t="shared" si="24"/>
        <v>-11192</v>
      </c>
      <c r="I105" s="250">
        <f t="shared" si="24"/>
        <v>-14508</v>
      </c>
      <c r="J105" s="250">
        <f t="shared" si="24"/>
        <v>-15881</v>
      </c>
    </row>
    <row r="106" spans="2:10" x14ac:dyDescent="0.35">
      <c r="D106" s="269"/>
      <c r="E106" s="269"/>
      <c r="F106" s="269"/>
      <c r="G106" s="269"/>
      <c r="H106" s="269"/>
      <c r="I106" s="269"/>
      <c r="J106" s="269"/>
    </row>
    <row r="107" spans="2:10" x14ac:dyDescent="0.35">
      <c r="B107" s="250" t="s">
        <v>156</v>
      </c>
      <c r="C107" s="250">
        <f>IFERROR(C105+C94+C79,0)</f>
        <v>-2126</v>
      </c>
      <c r="D107" s="250">
        <f>IFERROR(D105+D94+D79,0)</f>
        <v>909</v>
      </c>
      <c r="E107" s="250">
        <f t="shared" ref="E107:J107" si="25">IFERROR(E105+E94+E79,0)</f>
        <v>-1000</v>
      </c>
      <c r="F107" s="250">
        <f t="shared" si="25"/>
        <v>1778</v>
      </c>
      <c r="G107" s="250">
        <f t="shared" si="25"/>
        <v>-3701</v>
      </c>
      <c r="H107" s="250">
        <f t="shared" si="25"/>
        <v>5802</v>
      </c>
      <c r="I107" s="250">
        <f t="shared" si="25"/>
        <v>3440</v>
      </c>
      <c r="J107" s="250">
        <f t="shared" si="25"/>
        <v>-2750</v>
      </c>
    </row>
  </sheetData>
  <mergeCells count="1">
    <mergeCell ref="B2:J2"/>
  </mergeCells>
  <pageMargins left="1" right="1" top="1" bottom="1" header="0.5" footer="0.5"/>
  <pageSetup scale="63" fitToHeight="0" orientation="landscape" r:id="rId1"/>
  <rowBreaks count="2" manualBreakCount="2">
    <brk id="33" max="16383" man="1"/>
    <brk id="68" max="16383" man="1"/>
  </rowBreaks>
  <ignoredErrors>
    <ignoredError sqref="D14 E14:J1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workbookViewId="0">
      <pane ySplit="3" topLeftCell="A4" activePane="bottomLeft" state="frozen"/>
      <selection pane="bottomLeft" activeCell="B3" sqref="B3"/>
    </sheetView>
  </sheetViews>
  <sheetFormatPr defaultRowHeight="14.4" x14ac:dyDescent="0.3"/>
  <cols>
    <col min="1" max="1" width="1.88671875" customWidth="1"/>
    <col min="2" max="2" width="26.5546875" customWidth="1"/>
    <col min="3" max="3" width="10.5546875" customWidth="1"/>
    <col min="4" max="6" width="10.5546875" bestFit="1" customWidth="1"/>
    <col min="7" max="7" width="11.21875" bestFit="1" customWidth="1"/>
    <col min="8" max="8" width="10.5546875" bestFit="1" customWidth="1"/>
    <col min="9" max="9" width="11.21875" bestFit="1" customWidth="1"/>
    <col min="10" max="10" width="10.5546875" bestFit="1" customWidth="1"/>
    <col min="11" max="11" width="15" customWidth="1"/>
    <col min="12" max="13" width="10.6640625" bestFit="1" customWidth="1"/>
  </cols>
  <sheetData>
    <row r="2" spans="2:13" x14ac:dyDescent="0.3">
      <c r="B2" s="242" t="str">
        <f>"Ratio analysis - " &amp; 'Data Sheet'!D1</f>
        <v>Ratio analysis - HCL Technologies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</row>
    <row r="3" spans="2:13" x14ac:dyDescent="0.3">
      <c r="B3" s="32" t="s">
        <v>93</v>
      </c>
      <c r="C3" s="33">
        <f>'Data Sheet'!D16</f>
        <v>42460</v>
      </c>
      <c r="D3" s="33">
        <f>'Data Sheet'!E16</f>
        <v>42825</v>
      </c>
      <c r="E3" s="33">
        <f>'Data Sheet'!F16</f>
        <v>43190</v>
      </c>
      <c r="F3" s="33">
        <f>'Data Sheet'!G16</f>
        <v>43555</v>
      </c>
      <c r="G3" s="33">
        <f>'Data Sheet'!H16</f>
        <v>43921</v>
      </c>
      <c r="H3" s="33">
        <f>'Data Sheet'!I16</f>
        <v>44286</v>
      </c>
      <c r="I3" s="33">
        <f>'Data Sheet'!J16</f>
        <v>44651</v>
      </c>
      <c r="J3" s="33">
        <f>'Data Sheet'!K16</f>
        <v>45016</v>
      </c>
      <c r="K3" s="33" t="s">
        <v>188</v>
      </c>
      <c r="L3" s="33" t="s">
        <v>186</v>
      </c>
      <c r="M3" s="33" t="s">
        <v>187</v>
      </c>
    </row>
    <row r="5" spans="2:13" x14ac:dyDescent="0.3">
      <c r="B5" s="40" t="s">
        <v>96</v>
      </c>
      <c r="C5" s="40"/>
      <c r="D5" s="41">
        <f>IFERROR('Historical FS'!D6,0)</f>
        <v>0.52775217321205026</v>
      </c>
      <c r="E5" s="41">
        <f>IFERROR('Historical FS'!E6,0)</f>
        <v>6.308863101244544E-2</v>
      </c>
      <c r="F5" s="41">
        <f>IFERROR('Historical FS'!F6,0)</f>
        <v>0.19494156499040916</v>
      </c>
      <c r="G5" s="41">
        <f>IFERROR('Historical FS'!G6,0)</f>
        <v>0.16960961159746479</v>
      </c>
      <c r="H5" s="41">
        <f>IFERROR('Historical FS'!H6,0)</f>
        <v>6.6543098081385477E-2</v>
      </c>
      <c r="I5" s="41">
        <f>IFERROR('Historical FS'!I6,0)</f>
        <v>0.13627137531673283</v>
      </c>
      <c r="J5" s="41">
        <f>IFERROR('Historical FS'!J6,0)</f>
        <v>0.18452790977338274</v>
      </c>
      <c r="L5" s="35">
        <f>IFERROR(AVERAGE(E5:J5),0)</f>
        <v>0.13583036512863675</v>
      </c>
      <c r="M5" s="51">
        <f>IFERROR(MEDIAN(E5:J5),0)</f>
        <v>0.15294049345709881</v>
      </c>
    </row>
    <row r="6" spans="2:13" x14ac:dyDescent="0.3">
      <c r="B6" s="11" t="s">
        <v>158</v>
      </c>
      <c r="C6" s="11"/>
      <c r="D6" s="42">
        <f>IFERROR('Historical FS'!D17/'Historical FS'!C17-1,0)</f>
        <v>0.5615723936845749</v>
      </c>
      <c r="E6" s="42">
        <f>IFERROR('Historical FS'!E17/'Historical FS'!D17-1,0)</f>
        <v>8.2386910490856557E-2</v>
      </c>
      <c r="F6" s="42">
        <f>IFERROR('Historical FS'!F17/'Historical FS'!E17-1,0)</f>
        <v>0.23830695358349629</v>
      </c>
      <c r="G6" s="42">
        <f>IFERROR('Historical FS'!G17/'Historical FS'!F17-1,0)</f>
        <v>0.24342955622576468</v>
      </c>
      <c r="H6" s="42">
        <f>IFERROR('Historical FS'!H17/'Historical FS'!G17-1,0)</f>
        <v>0.15777315777315781</v>
      </c>
      <c r="I6" s="42">
        <f>IFERROR('Historical FS'!I17/'Historical FS'!H17-1,0)</f>
        <v>2.3992418196328913E-2</v>
      </c>
      <c r="J6" s="42">
        <f>IFERROR('Historical FS'!J17/'Historical FS'!I17-1,0)</f>
        <v>0.10224560378001857</v>
      </c>
      <c r="L6" s="35">
        <f t="shared" ref="L6:L8" si="0">IFERROR(AVERAGE(E6:J6),0)</f>
        <v>0.14135576667493713</v>
      </c>
      <c r="M6" s="51">
        <f t="shared" ref="M6:M8" si="1">IFERROR(MEDIAN(E6:J6),0)</f>
        <v>0.13000938077658819</v>
      </c>
    </row>
    <row r="7" spans="2:13" x14ac:dyDescent="0.3">
      <c r="B7" s="11" t="s">
        <v>159</v>
      </c>
      <c r="C7" s="11"/>
      <c r="D7" s="42">
        <f>IFERROR('Historical FS'!D26/'Historical FS'!C26-1,0)</f>
        <v>0.53538451065595472</v>
      </c>
      <c r="E7" s="42">
        <f>IFERROR('Historical FS'!E26/'Historical FS'!D26-1,0)</f>
        <v>3.3885780639712815E-2</v>
      </c>
      <c r="F7" s="42">
        <f>IFERROR('Historical FS'!F26/'Historical FS'!E26-1,0)</f>
        <v>0.19246477435164389</v>
      </c>
      <c r="G7" s="42">
        <f>IFERROR('Historical FS'!G26/'Historical FS'!F26-1,0)</f>
        <v>0.14658789279904094</v>
      </c>
      <c r="H7" s="42">
        <f>IFERROR('Historical FS'!H26/'Historical FS'!G26-1,0)</f>
        <v>0.11462922858636393</v>
      </c>
      <c r="I7" s="42">
        <f>IFERROR('Historical FS'!I26/'Historical FS'!H26-1,0)</f>
        <v>6.4183304301219435E-2</v>
      </c>
      <c r="J7" s="42">
        <f>IFERROR('Historical FS'!J26/'Historical FS'!I26-1,0)</f>
        <v>0.14140015109544191</v>
      </c>
      <c r="L7" s="35">
        <f t="shared" si="0"/>
        <v>0.11552518862890382</v>
      </c>
      <c r="M7" s="51">
        <f t="shared" si="1"/>
        <v>0.12801468984090292</v>
      </c>
    </row>
    <row r="8" spans="2:13" x14ac:dyDescent="0.3">
      <c r="B8" s="11" t="s">
        <v>160</v>
      </c>
      <c r="C8" s="11"/>
      <c r="D8" s="42">
        <f>IFERROR('Historical FS'!D32/'Historical FS'!C32-1,0)</f>
        <v>0.59317999742115024</v>
      </c>
      <c r="E8" s="42">
        <f>IFERROR('Historical FS'!E32/'Historical FS'!D32-1,0)</f>
        <v>-5.9705453098050087E-3</v>
      </c>
      <c r="F8" s="42">
        <f>IFERROR('Historical FS'!F32/'Historical FS'!E32-1,0)</f>
        <v>0.22490656700480516</v>
      </c>
      <c r="G8" s="42">
        <f>IFERROR('Historical FS'!G32/'Historical FS'!F32-1,0)</f>
        <v>0.14067778141004683</v>
      </c>
      <c r="H8" s="42">
        <f>IFERROR('Historical FS'!H32/'Historical FS'!G32-1,0)</f>
        <v>-2.1589606419564422E-2</v>
      </c>
      <c r="I8" s="42">
        <f>IFERROR('Historical FS'!I32/'Historical FS'!H32-1,0)</f>
        <v>0.21616871704745177</v>
      </c>
      <c r="J8" s="42">
        <f>IFERROR('Historical FS'!J32/'Historical FS'!I32-1,0)</f>
        <v>8.2771355170199179E-2</v>
      </c>
      <c r="L8" s="35">
        <f t="shared" si="0"/>
        <v>0.10616071148385559</v>
      </c>
      <c r="M8" s="51">
        <f t="shared" si="1"/>
        <v>0.11172456829012301</v>
      </c>
    </row>
    <row r="9" spans="2:13" x14ac:dyDescent="0.3">
      <c r="B9" s="43" t="s">
        <v>161</v>
      </c>
      <c r="C9" s="43"/>
      <c r="D9" s="44">
        <f>IFERROR('Historical FS'!D41/'Historical FS'!C41-1,0)</f>
        <v>0.49810765349032793</v>
      </c>
      <c r="E9" s="44">
        <f>IFERROR('Historical FS'!E41/'Historical FS'!D41-1,0)</f>
        <v>-0.50017748627269376</v>
      </c>
      <c r="F9" s="44">
        <f>IFERROR('Historical FS'!F41/'Historical FS'!E41-1,0)</f>
        <v>-0.33289422432414606</v>
      </c>
      <c r="G9" s="44">
        <f>IFERROR('Historical FS'!G41/'Historical FS'!F41-1,0)</f>
        <v>1.5035972998562572</v>
      </c>
      <c r="H9" s="44">
        <f>IFERROR('Historical FS'!H41/'Historical FS'!G41-1,0)</f>
        <v>0</v>
      </c>
      <c r="I9" s="44">
        <f>IFERROR('Historical FS'!I41/'Historical FS'!H41-1,0)</f>
        <v>3.2</v>
      </c>
      <c r="J9" s="44">
        <f>IFERROR('Historical FS'!J41/'Historical FS'!I41-1,0)</f>
        <v>0.14285714285714279</v>
      </c>
      <c r="L9" s="35"/>
    </row>
    <row r="10" spans="2:13" x14ac:dyDescent="0.3">
      <c r="L10" s="35"/>
    </row>
    <row r="11" spans="2:13" x14ac:dyDescent="0.3">
      <c r="B11" s="40" t="s">
        <v>162</v>
      </c>
      <c r="C11" s="41">
        <f>IFERROR('Historical FS'!C12,0)</f>
        <v>0.30142722525801369</v>
      </c>
      <c r="D11" s="41">
        <f>IFERROR('Historical FS'!D12,0)</f>
        <v>0.30049613185334678</v>
      </c>
      <c r="E11" s="41">
        <f>IFERROR('Historical FS'!E12,0)</f>
        <v>0.29235302260278034</v>
      </c>
      <c r="F11" s="41">
        <f>IFERROR('Historical FS'!F12,0)</f>
        <v>0.30201731014281696</v>
      </c>
      <c r="G11" s="41">
        <f>IFERROR('Historical FS'!G12,0)</f>
        <v>0.30535118003282585</v>
      </c>
      <c r="H11" s="41">
        <f>IFERROR('Historical FS'!H12,0)</f>
        <v>0.29812016609400493</v>
      </c>
      <c r="I11" s="41">
        <f>IFERROR('Historical FS'!I12,0)</f>
        <v>0.27145042089409349</v>
      </c>
      <c r="J11" s="41">
        <f>IFERROR('Historical FS'!J12,0)</f>
        <v>0.26159123166692949</v>
      </c>
      <c r="L11" s="35">
        <f>IFERROR(AVERAGE(D11:J11),0)</f>
        <v>0.29019706618382829</v>
      </c>
      <c r="M11" s="51">
        <f>IFERROR(MEDIAN(D11:J11),0)</f>
        <v>0.29812016609400493</v>
      </c>
    </row>
    <row r="12" spans="2:13" x14ac:dyDescent="0.3">
      <c r="B12" s="11" t="s">
        <v>163</v>
      </c>
      <c r="C12" s="42">
        <f>IFERROR('Historical FS'!C18,0)</f>
        <v>0.21369356441462817</v>
      </c>
      <c r="D12" s="42">
        <f>IFERROR('Historical FS'!D18,0)</f>
        <v>0.21842415068953919</v>
      </c>
      <c r="E12" s="42">
        <f>IFERROR('Historical FS'!E18,0)</f>
        <v>0.22238921078130872</v>
      </c>
      <c r="F12" s="42">
        <f>IFERROR('Historical FS'!F18,0)</f>
        <v>0.2304598937561024</v>
      </c>
      <c r="G12" s="42">
        <f>IFERROR('Historical FS'!G18,0)</f>
        <v>0.24500537664836719</v>
      </c>
      <c r="H12" s="42">
        <f>IFERROR('Historical FS'!H18,0)</f>
        <v>0.26596266864776663</v>
      </c>
      <c r="I12" s="42">
        <f>IFERROR('Historical FS'!I18,0)</f>
        <v>0.23968196518429441</v>
      </c>
      <c r="J12" s="42">
        <f>IFERROR('Historical FS'!J18,0)</f>
        <v>0.22303264469326606</v>
      </c>
      <c r="L12" s="35">
        <f t="shared" ref="L12:L15" si="2">IFERROR(AVERAGE(D12:J12),0)</f>
        <v>0.23499370148580634</v>
      </c>
      <c r="M12" s="51">
        <f t="shared" ref="M12:M15" si="3">IFERROR(MEDIAN(D12:J12),0)</f>
        <v>0.2304598937561024</v>
      </c>
    </row>
    <row r="13" spans="2:13" x14ac:dyDescent="0.3">
      <c r="B13" s="11" t="s">
        <v>164</v>
      </c>
      <c r="C13" s="42">
        <f>IFERROR(('Historical FS'!C17-'Historical FS'!C23)/'Historical FS'!C5,0)</f>
        <v>0.20052999845194969</v>
      </c>
      <c r="D13" s="42">
        <f>IFERROR(('Historical FS'!D17-'Historical FS'!D23)/'Historical FS'!D5,0)</f>
        <v>0.2010174907500841</v>
      </c>
      <c r="E13" s="42">
        <f>IFERROR(('Historical FS'!E17-'Historical FS'!E23)/'Historical FS'!E5,0)</f>
        <v>0.19504043979513142</v>
      </c>
      <c r="F13" s="42">
        <f>IFERROR(('Historical FS'!F17-'Historical FS'!F23)/'Historical FS'!F5,0)</f>
        <v>0.19615403710261969</v>
      </c>
      <c r="G13" s="42">
        <f>IFERROR(('Historical FS'!G17-'Historical FS'!G23)/'Historical FS'!G5,0)</f>
        <v>0.19661554134359613</v>
      </c>
      <c r="H13" s="42">
        <f>IFERROR(('Historical FS'!H17-'Historical FS'!H23)/'Historical FS'!H5,0)</f>
        <v>0.20479178551055333</v>
      </c>
      <c r="I13" s="42">
        <f>IFERROR(('Historical FS'!I17-'Historical FS'!I23)/'Historical FS'!I5,0)</f>
        <v>0.18917467396761276</v>
      </c>
      <c r="J13" s="42">
        <f>IFERROR(('Historical FS'!J17-'Historical FS'!J23)/'Historical FS'!J5,0)</f>
        <v>0.18217749566314462</v>
      </c>
      <c r="L13" s="35">
        <f t="shared" si="2"/>
        <v>0.19499592344753455</v>
      </c>
      <c r="M13" s="51">
        <f t="shared" si="3"/>
        <v>0.19615403710261969</v>
      </c>
    </row>
    <row r="14" spans="2:13" x14ac:dyDescent="0.3">
      <c r="B14" s="11" t="s">
        <v>165</v>
      </c>
      <c r="C14" s="42">
        <f>IFERROR('Historical FS'!C27,0)</f>
        <v>0.19815653550205964</v>
      </c>
      <c r="D14" s="42">
        <f>IFERROR('Historical FS'!D27,0)</f>
        <v>0.19914648503195426</v>
      </c>
      <c r="E14" s="42">
        <f>IFERROR('Historical FS'!E27,0)</f>
        <v>0.19367596748996421</v>
      </c>
      <c r="F14" s="42">
        <f>IFERROR('Historical FS'!F27,0)</f>
        <v>0.19327452959769639</v>
      </c>
      <c r="G14" s="42">
        <f>IFERROR('Historical FS'!G27,0)</f>
        <v>0.1894702586450846</v>
      </c>
      <c r="H14" s="42">
        <f>IFERROR('Historical FS'!H27,0)</f>
        <v>0.19801270910996432</v>
      </c>
      <c r="I14" s="42">
        <f>IFERROR('Historical FS'!I27,0)</f>
        <v>0.18545025744007659</v>
      </c>
      <c r="J14" s="42">
        <f>IFERROR('Historical FS'!J27,0)</f>
        <v>0.17869815486516322</v>
      </c>
      <c r="L14" s="35">
        <f t="shared" si="2"/>
        <v>0.19110405173998624</v>
      </c>
      <c r="M14" s="51">
        <f t="shared" si="3"/>
        <v>0.19327452959769639</v>
      </c>
    </row>
    <row r="15" spans="2:13" x14ac:dyDescent="0.3">
      <c r="B15" s="43" t="s">
        <v>166</v>
      </c>
      <c r="C15" s="44">
        <f>IFERROR('Historical FS'!C33,0)</f>
        <v>0.15193984829107451</v>
      </c>
      <c r="D15" s="44">
        <f>IFERROR('Historical FS'!D33,0)</f>
        <v>0.15844685502859066</v>
      </c>
      <c r="E15" s="44">
        <f>IFERROR('Historical FS'!E33,0)</f>
        <v>0.1481540073958354</v>
      </c>
      <c r="F15" s="44">
        <f>IFERROR('Historical FS'!F33,0)</f>
        <v>0.15186919754414419</v>
      </c>
      <c r="G15" s="44">
        <f>IFERROR('Historical FS'!G33,0)</f>
        <v>0.14811251344162091</v>
      </c>
      <c r="H15" s="44">
        <f>IFERROR('Historical FS'!H33,0)</f>
        <v>0.1358733864869526</v>
      </c>
      <c r="I15" s="44">
        <f>IFERROR('Historical FS'!I33,0)</f>
        <v>0.14542737387771304</v>
      </c>
      <c r="J15" s="44">
        <f>IFERROR('Historical FS'!J33,0)</f>
        <v>0.1329344740577196</v>
      </c>
      <c r="L15" s="35">
        <f t="shared" si="2"/>
        <v>0.14583111540465379</v>
      </c>
      <c r="M15" s="51">
        <f t="shared" si="3"/>
        <v>0.14811251344162091</v>
      </c>
    </row>
    <row r="16" spans="2:13" x14ac:dyDescent="0.3">
      <c r="L16" s="35"/>
    </row>
    <row r="17" spans="2:13" x14ac:dyDescent="0.3">
      <c r="B17" s="40" t="s">
        <v>101</v>
      </c>
      <c r="C17" s="41">
        <f>IFERROR('Historical FS'!C15,0)</f>
        <v>8.7733660843385491E-2</v>
      </c>
      <c r="D17" s="41">
        <f>IFERROR('Historical FS'!D15,0)</f>
        <v>8.2071981163807609E-2</v>
      </c>
      <c r="E17" s="41">
        <f>IFERROR('Historical FS'!E15,0)</f>
        <v>6.9963811821471655E-2</v>
      </c>
      <c r="F17" s="41">
        <f>IFERROR('Historical FS'!F15,0)</f>
        <v>7.1557416386714548E-2</v>
      </c>
      <c r="G17" s="41">
        <f>IFERROR('Historical FS'!G15,0)</f>
        <v>6.0345803384458656E-2</v>
      </c>
      <c r="H17" s="41">
        <f>IFERROR('Historical FS'!H15,0)</f>
        <v>3.2157497446238345E-2</v>
      </c>
      <c r="I17" s="41">
        <f>IFERROR('Historical FS'!I15,0)</f>
        <v>3.1768455709799068E-2</v>
      </c>
      <c r="J17" s="41">
        <f>IFERROR('Historical FS'!J15,0)</f>
        <v>3.8558586973663461E-2</v>
      </c>
      <c r="L17" s="35">
        <f t="shared" ref="L17:L41" si="4">IFERROR(AVERAGE(D17:J17),0)</f>
        <v>5.5203364698021909E-2</v>
      </c>
      <c r="M17" s="51">
        <f t="shared" ref="M17:M19" si="5">IFERROR(MEDIAN(D17:J17),0)</f>
        <v>6.0345803384458656E-2</v>
      </c>
    </row>
    <row r="18" spans="2:13" x14ac:dyDescent="0.3">
      <c r="B18" s="11" t="s">
        <v>105</v>
      </c>
      <c r="C18" s="42">
        <f>IFERROR('Historical FS'!C24,0)</f>
        <v>1.31635659626785E-2</v>
      </c>
      <c r="D18" s="42">
        <f>IFERROR('Historical FS'!D24,0)</f>
        <v>1.7406659939455095E-2</v>
      </c>
      <c r="E18" s="42">
        <f>IFERROR('Historical FS'!E24,0)</f>
        <v>2.7348770986177301E-2</v>
      </c>
      <c r="F18" s="42">
        <f>IFERROR('Historical FS'!F24,0)</f>
        <v>3.4305856653482715E-2</v>
      </c>
      <c r="G18" s="42">
        <f>IFERROR('Historical FS'!G24,0)</f>
        <v>4.8389835304771069E-2</v>
      </c>
      <c r="H18" s="42">
        <f>IFERROR('Historical FS'!H24,0)</f>
        <v>6.1170883137213285E-2</v>
      </c>
      <c r="I18" s="42">
        <f>IFERROR('Historical FS'!I24,0)</f>
        <v>5.0507291216681648E-2</v>
      </c>
      <c r="J18" s="42">
        <f>IFERROR('Historical FS'!J24,0)</f>
        <v>4.0855149030121433E-2</v>
      </c>
      <c r="L18" s="35">
        <f t="shared" si="4"/>
        <v>3.9997778038271793E-2</v>
      </c>
      <c r="M18" s="51">
        <f t="shared" si="5"/>
        <v>4.0855149030121433E-2</v>
      </c>
    </row>
    <row r="19" spans="2:13" x14ac:dyDescent="0.3">
      <c r="B19" s="43" t="s">
        <v>167</v>
      </c>
      <c r="C19" s="44">
        <f>IFERROR(C13,0)</f>
        <v>0.20052999845194969</v>
      </c>
      <c r="D19" s="44">
        <f>IFERROR(D13,0)</f>
        <v>0.2010174907500841</v>
      </c>
      <c r="E19" s="44">
        <f t="shared" ref="E19:J19" si="6">IFERROR(E13,0)</f>
        <v>0.19504043979513142</v>
      </c>
      <c r="F19" s="44">
        <f t="shared" si="6"/>
        <v>0.19615403710261969</v>
      </c>
      <c r="G19" s="44">
        <f t="shared" si="6"/>
        <v>0.19661554134359613</v>
      </c>
      <c r="H19" s="44">
        <f t="shared" si="6"/>
        <v>0.20479178551055333</v>
      </c>
      <c r="I19" s="44">
        <f t="shared" si="6"/>
        <v>0.18917467396761276</v>
      </c>
      <c r="J19" s="44">
        <f t="shared" si="6"/>
        <v>0.18217749566314462</v>
      </c>
      <c r="L19" s="35">
        <f t="shared" si="4"/>
        <v>0.19499592344753455</v>
      </c>
      <c r="M19" s="51">
        <f t="shared" si="5"/>
        <v>0.19615403710261969</v>
      </c>
    </row>
    <row r="20" spans="2:13" x14ac:dyDescent="0.3">
      <c r="L20" s="35"/>
    </row>
    <row r="21" spans="2:13" x14ac:dyDescent="0.3">
      <c r="B21" s="40" t="s">
        <v>168</v>
      </c>
      <c r="C21" s="41">
        <f>IFERROR(('Historical FS'!C17-'Historical FS'!C23)/(SUM('Historical FS'!C48:C50)),0)</f>
        <v>0.21922199013873386</v>
      </c>
      <c r="D21" s="41">
        <f>IFERROR(('Historical FS'!D17-'Historical FS'!D23)/(SUM('Historical FS'!D48:D50)),0)</f>
        <v>0.28516894813754434</v>
      </c>
      <c r="E21" s="41">
        <f>IFERROR(('Historical FS'!E17-'Historical FS'!E23)/(SUM('Historical FS'!E48:E50)),0)</f>
        <v>0.2669788593238232</v>
      </c>
      <c r="F21" s="41">
        <f>IFERROR(('Historical FS'!F17-'Historical FS'!F23)/(SUM('Historical FS'!F48:F50)),0)</f>
        <v>0.26015671297820503</v>
      </c>
      <c r="G21" s="41">
        <f>IFERROR(('Historical FS'!G17-'Historical FS'!G23)/(SUM('Historical FS'!G48:G50)),0)</f>
        <v>0.23451977115082781</v>
      </c>
      <c r="H21" s="41">
        <f>IFERROR(('Historical FS'!H17-'Historical FS'!H23)/(SUM('Historical FS'!H48:H50)),0)</f>
        <v>0.23117240966200939</v>
      </c>
      <c r="I21" s="41">
        <f>IFERROR(('Historical FS'!I17-'Historical FS'!I23)/(SUM('Historical FS'!I48:I50)),0)</f>
        <v>0.2373822465095155</v>
      </c>
      <c r="J21" s="41">
        <f>IFERROR(('Historical FS'!J17-'Historical FS'!J23)/(SUM('Historical FS'!J48:J50)),0)</f>
        <v>0.26329434892234932</v>
      </c>
      <c r="L21" s="35">
        <f t="shared" si="4"/>
        <v>0.25409618524061062</v>
      </c>
      <c r="M21" s="51">
        <f t="shared" ref="M21:M25" si="7">IFERROR(MEDIAN(D21:J21),0)</f>
        <v>0.26015671297820503</v>
      </c>
    </row>
    <row r="22" spans="2:13" x14ac:dyDescent="0.3">
      <c r="B22" s="11" t="s">
        <v>169</v>
      </c>
      <c r="C22" s="42">
        <f>IFERROR('Historical FS'!C44,0)</f>
        <v>0.52298876086235047</v>
      </c>
      <c r="D22" s="42">
        <f>IFERROR('Historical FS'!D44,0)</f>
        <v>0.54623855645482289</v>
      </c>
      <c r="E22" s="42">
        <f>IFERROR('Historical FS'!E44,0)</f>
        <v>0.77736252002135608</v>
      </c>
      <c r="F22" s="42">
        <f>IFERROR('Historical FS'!F44,0)</f>
        <v>0.88187860956739672</v>
      </c>
      <c r="G22" s="42">
        <f>IFERROR('Historical FS'!G44,0)</f>
        <v>0.74063813526939248</v>
      </c>
      <c r="H22" s="42">
        <f>IFERROR('Historical FS'!H44,0)</f>
        <v>0.73491505565319271</v>
      </c>
      <c r="I22" s="42">
        <f>IFERROR('Historical FS'!I44,0)</f>
        <v>8.4537572254335336E-2</v>
      </c>
      <c r="J22" s="42">
        <f>IFERROR('Historical FS'!J44,0)</f>
        <v>3.373619040557585E-2</v>
      </c>
      <c r="L22" s="35">
        <f t="shared" si="4"/>
        <v>0.54275809137515307</v>
      </c>
      <c r="M22" s="51">
        <f t="shared" si="7"/>
        <v>0.73491505565319271</v>
      </c>
    </row>
    <row r="23" spans="2:13" x14ac:dyDescent="0.3">
      <c r="B23" s="11" t="s">
        <v>170</v>
      </c>
      <c r="C23" s="42">
        <f>IFERROR('Historical FS'!C32/SUM('Historical FS'!C48:C49),0)</f>
        <v>0.17271475026076294</v>
      </c>
      <c r="D23" s="42">
        <f>IFERROR('Historical FS'!D32/SUM('Historical FS'!D48:D49),0)</f>
        <v>0.22874745819296488</v>
      </c>
      <c r="E23" s="42">
        <f>IFERROR('Historical FS'!E32/SUM('Historical FS'!E48:E49),0)</f>
        <v>0.20590336942780191</v>
      </c>
      <c r="F23" s="42">
        <f>IFERROR('Historical FS'!F32/SUM('Historical FS'!F48:F49),0)</f>
        <v>0.2218488613837451</v>
      </c>
      <c r="G23" s="42">
        <f>IFERROR('Historical FS'!G32/SUM('Historical FS'!G48:G49),0)</f>
        <v>0.20418592857003531</v>
      </c>
      <c r="H23" s="42">
        <f>IFERROR('Historical FS'!H32/SUM('Historical FS'!H48:H49),0)</f>
        <v>0.17094787441790596</v>
      </c>
      <c r="I23" s="42">
        <f>IFERROR('Historical FS'!I32/SUM('Historical FS'!I48:I49),0)</f>
        <v>0.20118228510514585</v>
      </c>
      <c r="J23" s="42">
        <f>IFERROR('Historical FS'!J32/SUM('Historical FS'!J48:J49),0)</f>
        <v>0.20620747649262289</v>
      </c>
      <c r="L23" s="35">
        <f t="shared" si="4"/>
        <v>0.20557475051288887</v>
      </c>
      <c r="M23" s="51">
        <f t="shared" si="7"/>
        <v>0.20590336942780191</v>
      </c>
    </row>
    <row r="24" spans="2:13" x14ac:dyDescent="0.3">
      <c r="B24" s="11" t="s">
        <v>171</v>
      </c>
      <c r="C24" s="42">
        <f>IFERROR(C22*C23,0)</f>
        <v>9.032787322152673E-2</v>
      </c>
      <c r="D24" s="42">
        <f>IFERROR(D22*D23,0)</f>
        <v>0.12495068135603508</v>
      </c>
      <c r="E24" s="42">
        <f t="shared" ref="E24:J24" si="8">IFERROR(E22*E23,0)</f>
        <v>0.16006156213928435</v>
      </c>
      <c r="F24" s="42">
        <f t="shared" si="8"/>
        <v>0.19564376541120726</v>
      </c>
      <c r="G24" s="42">
        <f t="shared" si="8"/>
        <v>0.15122788538436033</v>
      </c>
      <c r="H24" s="42">
        <f t="shared" si="8"/>
        <v>0.12563216664163035</v>
      </c>
      <c r="I24" s="42">
        <f t="shared" si="8"/>
        <v>1.700746196336856E-2</v>
      </c>
      <c r="J24" s="42">
        <f t="shared" si="8"/>
        <v>6.956654690008432E-3</v>
      </c>
      <c r="L24" s="35">
        <f t="shared" si="4"/>
        <v>0.11164002536941349</v>
      </c>
      <c r="M24" s="51">
        <f t="shared" si="7"/>
        <v>0.12563216664163035</v>
      </c>
    </row>
    <row r="25" spans="2:13" x14ac:dyDescent="0.3">
      <c r="B25" s="43" t="s">
        <v>172</v>
      </c>
      <c r="C25" s="45">
        <f>IFERROR(('Historical FS'!C17-'Historical FS'!C23)/'Historical FS'!C20,0)</f>
        <v>84.488362652232709</v>
      </c>
      <c r="D25" s="45">
        <f>IFERROR(('Historical FS'!D17-'Historical FS'!D23)/'Historical FS'!D20,0)</f>
        <v>107.43820224719101</v>
      </c>
      <c r="E25" s="45">
        <f>IFERROR(('Historical FS'!E17-'Historical FS'!E23)/'Historical FS'!E20,0)</f>
        <v>142.94202898550725</v>
      </c>
      <c r="F25" s="45">
        <f>IFERROR(('Historical FS'!F17-'Historical FS'!F23)/'Historical FS'!F20,0)</f>
        <v>68.120689655172413</v>
      </c>
      <c r="G25" s="45">
        <f>IFERROR(('Historical FS'!G17-'Historical FS'!G23)/'Historical FS'!G20,0)</f>
        <v>27.516831683168316</v>
      </c>
      <c r="H25" s="45">
        <f>IFERROR(('Historical FS'!H17-'Historical FS'!H23)/'Historical FS'!H20,0)</f>
        <v>30.209393346379649</v>
      </c>
      <c r="I25" s="45">
        <f>IFERROR(('Historical FS'!I17-'Historical FS'!I23)/'Historical FS'!I20,0)</f>
        <v>50.793103448275865</v>
      </c>
      <c r="J25" s="45">
        <f>IFERROR(('Historical FS'!J17-'Historical FS'!J23)/'Historical FS'!J20,0)</f>
        <v>52.359773371104815</v>
      </c>
      <c r="L25" s="45">
        <f t="shared" si="4"/>
        <v>68.482860390971339</v>
      </c>
      <c r="M25" s="45">
        <f t="shared" si="7"/>
        <v>52.359773371104815</v>
      </c>
    </row>
    <row r="26" spans="2:13" x14ac:dyDescent="0.3">
      <c r="L26" s="35"/>
    </row>
    <row r="27" spans="2:13" x14ac:dyDescent="0.3">
      <c r="B27" s="40" t="s">
        <v>173</v>
      </c>
      <c r="C27" s="46">
        <f>IFERROR('Historical FS'!C5/'Historical FS'!C60,0)</f>
        <v>4.0325573684714948</v>
      </c>
      <c r="D27" s="46">
        <f>IFERROR('Historical FS'!D5/'Historical FS'!D60,0)</f>
        <v>5.7303939284423562</v>
      </c>
      <c r="E27" s="46">
        <f>IFERROR('Historical FS'!E5/'Historical FS'!E60,0)</f>
        <v>5.246291109036207</v>
      </c>
      <c r="F27" s="46">
        <f>IFERROR('Historical FS'!F5/'Historical FS'!F60,0)</f>
        <v>5.1620536477020336</v>
      </c>
      <c r="G27" s="46">
        <f>IFERROR('Historical FS'!G5/'Historical FS'!G60,0)</f>
        <v>5.0014860944023773</v>
      </c>
      <c r="H27" s="46">
        <f>IFERROR('Historical FS'!H5/'Historical FS'!H60,0)</f>
        <v>4.3012268188302425</v>
      </c>
      <c r="I27" s="46">
        <f>IFERROR('Historical FS'!I5/'Historical FS'!I60,0)</f>
        <v>4.143534420202216</v>
      </c>
      <c r="J27" s="46">
        <f>IFERROR('Historical FS'!J5/'Historical FS'!J60,0)</f>
        <v>3.9777307300243079</v>
      </c>
      <c r="L27" s="46">
        <f t="shared" si="4"/>
        <v>4.7946738212342481</v>
      </c>
      <c r="M27" s="46">
        <f t="shared" ref="M27:M31" si="9">IFERROR(MEDIAN(D27:J27),0)</f>
        <v>5.0014860944023773</v>
      </c>
    </row>
    <row r="28" spans="2:13" x14ac:dyDescent="0.3">
      <c r="B28" s="11" t="s">
        <v>174</v>
      </c>
      <c r="C28" s="47">
        <f>IFERROR('Historical FS'!C5/'Historical FS'!C51,0)</f>
        <v>2.8671693922447412</v>
      </c>
      <c r="D28" s="47">
        <f>IFERROR('Historical FS'!D5/'Historical FS'!D51,0)</f>
        <v>3.8891341672798627</v>
      </c>
      <c r="E28" s="47">
        <f>IFERROR('Historical FS'!E5/'Historical FS'!E51,0)</f>
        <v>4.5780372985696181</v>
      </c>
      <c r="F28" s="47">
        <f>IFERROR('Historical FS'!F5/'Historical FS'!F51,0)</f>
        <v>4.725289333750391</v>
      </c>
      <c r="G28" s="47">
        <f>IFERROR('Historical FS'!G5/'Historical FS'!G51,0)</f>
        <v>2.9990664516676566</v>
      </c>
      <c r="H28" s="47">
        <f>IFERROR('Historical FS'!H5/'Historical FS'!H51,0)</f>
        <v>3.9117280747275558</v>
      </c>
      <c r="I28" s="47">
        <f>IFERROR('Historical FS'!I5/'Historical FS'!I51,0)</f>
        <v>4.1449380565234222</v>
      </c>
      <c r="J28" s="47">
        <f>IFERROR('Historical FS'!J5/'Historical FS'!J51,0)</f>
        <v>4.4013708732809853</v>
      </c>
      <c r="L28" s="46">
        <f t="shared" si="4"/>
        <v>4.0927948936856415</v>
      </c>
      <c r="M28" s="46">
        <f t="shared" si="9"/>
        <v>4.1449380565234222</v>
      </c>
    </row>
    <row r="29" spans="2:13" x14ac:dyDescent="0.3">
      <c r="B29" s="11" t="s">
        <v>175</v>
      </c>
      <c r="C29" s="47">
        <f>IFERROR('Historical FS'!C5/'Historical FS'!C61,0)</f>
        <v>117.7251209921355</v>
      </c>
      <c r="D29" s="47">
        <f>IFERROR('Historical FS'!D5/'Historical FS'!D61,0)</f>
        <v>172.34782608695653</v>
      </c>
      <c r="E29" s="47">
        <f>IFERROR('Historical FS'!E5/'Historical FS'!E61,0)</f>
        <v>294.00581395348837</v>
      </c>
      <c r="F29" s="47">
        <f>IFERROR('Historical FS'!F5/'Historical FS'!F61,0)</f>
        <v>664.03296703296701</v>
      </c>
      <c r="G29" s="47">
        <f>IFERROR('Historical FS'!G5/'Historical FS'!G61,0)</f>
        <v>776.65934065934061</v>
      </c>
      <c r="H29" s="47">
        <f>IFERROR('Historical FS'!H5/'Historical FS'!H61,0)</f>
        <v>801.90425531914889</v>
      </c>
      <c r="I29" s="47">
        <f>IFERROR('Historical FS'!I5/'Historical FS'!I61,0)</f>
        <v>531.99378881987582</v>
      </c>
      <c r="J29" s="47">
        <f>IFERROR('Historical FS'!J5/'Historical FS'!J61,0)</f>
        <v>444.98245614035091</v>
      </c>
      <c r="L29" s="46">
        <f t="shared" si="4"/>
        <v>526.56092114458977</v>
      </c>
      <c r="M29" s="46">
        <f t="shared" si="9"/>
        <v>531.99378881987582</v>
      </c>
    </row>
    <row r="30" spans="2:13" x14ac:dyDescent="0.3">
      <c r="B30" s="11" t="s">
        <v>176</v>
      </c>
      <c r="C30" s="47">
        <f>IFERROR('Historical FS'!C5/'Historical FS'!C54,0)</f>
        <v>3.2045750914205198</v>
      </c>
      <c r="D30" s="47">
        <f>IFERROR('Historical FS'!D5/'Historical FS'!D54,0)</f>
        <v>3.122284213980965</v>
      </c>
      <c r="E30" s="47">
        <f>IFERROR('Historical FS'!E5/'Historical FS'!E54,0)</f>
        <v>2.6965818802324963</v>
      </c>
      <c r="F30" s="47">
        <f>IFERROR('Historical FS'!F5/'Historical FS'!F54,0)</f>
        <v>2.6401170919258998</v>
      </c>
      <c r="G30" s="47">
        <f>IFERROR('Historical FS'!G5/'Historical FS'!G54,0)</f>
        <v>1.8851960522806082</v>
      </c>
      <c r="H30" s="47">
        <f>IFERROR('Historical FS'!H5/'Historical FS'!H54,0)</f>
        <v>2.0293175393727285</v>
      </c>
      <c r="I30" s="47">
        <f>IFERROR('Historical FS'!I5/'Historical FS'!I54,0)</f>
        <v>2.441799469738005</v>
      </c>
      <c r="J30" s="47">
        <f>IFERROR('Historical FS'!J5/'Historical FS'!J54,0)</f>
        <v>2.9306450215199744</v>
      </c>
      <c r="L30" s="46">
        <f t="shared" si="4"/>
        <v>2.5351344670072398</v>
      </c>
      <c r="M30" s="46">
        <f t="shared" si="9"/>
        <v>2.6401170919258998</v>
      </c>
    </row>
    <row r="31" spans="2:13" x14ac:dyDescent="0.3">
      <c r="B31" s="43" t="s">
        <v>177</v>
      </c>
      <c r="C31" s="45">
        <f>IFERROR('Historical FS'!C5/SUM('Historical FS'!C48:C49),0)</f>
        <v>1.1367310959129662</v>
      </c>
      <c r="D31" s="45">
        <f>IFERROR('Historical FS'!D5/SUM('Historical FS'!D48:D49),0)</f>
        <v>1.4436856960757534</v>
      </c>
      <c r="E31" s="45">
        <f>IFERROR('Historical FS'!E5/SUM('Historical FS'!E48:E49),0)</f>
        <v>1.3897927774418732</v>
      </c>
      <c r="F31" s="45">
        <f>IFERROR('Historical FS'!F5/SUM('Historical FS'!F48:F49),0)</f>
        <v>1.4607890538123096</v>
      </c>
      <c r="G31" s="45">
        <f>IFERROR('Historical FS'!G5/SUM('Historical FS'!G48:G49),0)</f>
        <v>1.3785866151715529</v>
      </c>
      <c r="H31" s="45">
        <f>IFERROR('Historical FS'!H5/SUM('Historical FS'!H48:H49),0)</f>
        <v>1.2581409710747251</v>
      </c>
      <c r="I31" s="45">
        <f>IFERROR('Historical FS'!I5/SUM('Historical FS'!I48:I49),0)</f>
        <v>1.38338663307168</v>
      </c>
      <c r="J31" s="45">
        <f>IFERROR('Historical FS'!J5/SUM('Historical FS'!J48:J49),0)</f>
        <v>1.5511963917131717</v>
      </c>
      <c r="L31" s="46">
        <f t="shared" si="4"/>
        <v>1.4093683054801522</v>
      </c>
      <c r="M31" s="46">
        <f t="shared" si="9"/>
        <v>1.3897927774418732</v>
      </c>
    </row>
    <row r="32" spans="2:13" x14ac:dyDescent="0.3">
      <c r="D32" s="38"/>
      <c r="E32" s="38"/>
      <c r="F32" s="38"/>
      <c r="G32" s="38"/>
      <c r="H32" s="38"/>
      <c r="I32" s="38"/>
      <c r="J32" s="38"/>
      <c r="L32" s="35"/>
    </row>
    <row r="33" spans="2:13" x14ac:dyDescent="0.3">
      <c r="B33" s="39" t="s">
        <v>182</v>
      </c>
      <c r="C33" s="39"/>
      <c r="L33" s="35"/>
    </row>
    <row r="34" spans="2:13" x14ac:dyDescent="0.3">
      <c r="B34" s="40" t="s">
        <v>178</v>
      </c>
      <c r="C34" s="48">
        <f t="shared" ref="C34:D36" si="10">IFERROR(365/C27,0)</f>
        <v>90.513281436179554</v>
      </c>
      <c r="D34" s="48">
        <f t="shared" si="10"/>
        <v>63.695446518668014</v>
      </c>
      <c r="E34" s="48">
        <f t="shared" ref="E34:J34" si="11">IFERROR(365/E27,0)</f>
        <v>69.572959718404562</v>
      </c>
      <c r="F34" s="48">
        <f t="shared" si="11"/>
        <v>70.708292650636295</v>
      </c>
      <c r="G34" s="48">
        <f t="shared" si="11"/>
        <v>72.978309468560767</v>
      </c>
      <c r="H34" s="48">
        <f t="shared" si="11"/>
        <v>84.859509943087602</v>
      </c>
      <c r="I34" s="48">
        <f t="shared" si="11"/>
        <v>88.089047413340182</v>
      </c>
      <c r="J34" s="48">
        <f t="shared" si="11"/>
        <v>91.760861851442996</v>
      </c>
      <c r="L34" s="48">
        <f t="shared" si="4"/>
        <v>77.380632509162908</v>
      </c>
      <c r="M34" s="48">
        <f t="shared" ref="M34:M37" si="12">IFERROR(MEDIAN(D34:J34),0)</f>
        <v>72.978309468560767</v>
      </c>
    </row>
    <row r="35" spans="2:13" x14ac:dyDescent="0.3">
      <c r="B35" s="11" t="s">
        <v>179</v>
      </c>
      <c r="C35" s="49">
        <f t="shared" si="10"/>
        <v>127.30325630123902</v>
      </c>
      <c r="D35" s="49">
        <f t="shared" si="10"/>
        <v>93.851223511604445</v>
      </c>
      <c r="E35" s="49">
        <f t="shared" ref="E35:J35" si="13">IFERROR(365/E28,0)</f>
        <v>79.728489786232672</v>
      </c>
      <c r="F35" s="49">
        <f t="shared" si="13"/>
        <v>77.243947242126865</v>
      </c>
      <c r="G35" s="49">
        <f t="shared" si="13"/>
        <v>121.70453902314789</v>
      </c>
      <c r="H35" s="49">
        <f t="shared" si="13"/>
        <v>93.309144456678922</v>
      </c>
      <c r="I35" s="49">
        <f t="shared" si="13"/>
        <v>88.05921705525914</v>
      </c>
      <c r="J35" s="49">
        <f t="shared" si="13"/>
        <v>82.928708011354686</v>
      </c>
      <c r="L35" s="48">
        <f t="shared" si="4"/>
        <v>90.975038440914958</v>
      </c>
      <c r="M35" s="48">
        <f t="shared" si="12"/>
        <v>88.05921705525914</v>
      </c>
    </row>
    <row r="36" spans="2:13" x14ac:dyDescent="0.3">
      <c r="B36" s="11" t="s">
        <v>180</v>
      </c>
      <c r="C36" s="49">
        <f t="shared" si="10"/>
        <v>3.1004427680680271</v>
      </c>
      <c r="D36" s="49">
        <f t="shared" si="10"/>
        <v>2.117810292633703</v>
      </c>
      <c r="E36" s="49">
        <f t="shared" ref="E36:J36" si="14">IFERROR(365/E29,0)</f>
        <v>1.2414720480927051</v>
      </c>
      <c r="F36" s="49">
        <f t="shared" si="14"/>
        <v>0.54967150445992685</v>
      </c>
      <c r="G36" s="49">
        <f t="shared" si="14"/>
        <v>0.46996151451695062</v>
      </c>
      <c r="H36" s="49">
        <f t="shared" si="14"/>
        <v>0.45516655832526304</v>
      </c>
      <c r="I36" s="49">
        <f t="shared" si="14"/>
        <v>0.68609823586414631</v>
      </c>
      <c r="J36" s="49">
        <f t="shared" si="14"/>
        <v>0.82025705724649101</v>
      </c>
      <c r="L36" s="48">
        <f t="shared" si="4"/>
        <v>0.90577674444845513</v>
      </c>
      <c r="M36" s="48">
        <f t="shared" si="12"/>
        <v>0.68609823586414631</v>
      </c>
    </row>
    <row r="37" spans="2:13" x14ac:dyDescent="0.3">
      <c r="B37" s="43" t="s">
        <v>181</v>
      </c>
      <c r="C37" s="50">
        <f>IFERROR(SUM(C34+C36)-C35,0)</f>
        <v>-33.689532096991442</v>
      </c>
      <c r="D37" s="50">
        <f>IFERROR(SUM(D34+D36)-D35,0)</f>
        <v>-28.037966700302732</v>
      </c>
      <c r="E37" s="50">
        <f t="shared" ref="E37:J37" si="15">IFERROR(SUM(E34+E36)-E35,0)</f>
        <v>-8.9140580197354069</v>
      </c>
      <c r="F37" s="50">
        <f t="shared" si="15"/>
        <v>-5.9859830870306467</v>
      </c>
      <c r="G37" s="50">
        <f t="shared" si="15"/>
        <v>-48.256268040070168</v>
      </c>
      <c r="H37" s="50">
        <f t="shared" si="15"/>
        <v>-7.9944679552660602</v>
      </c>
      <c r="I37" s="50">
        <f t="shared" si="15"/>
        <v>0.71592859394519337</v>
      </c>
      <c r="J37" s="50">
        <f t="shared" si="15"/>
        <v>9.6524108973348035</v>
      </c>
      <c r="L37" s="48">
        <f t="shared" si="4"/>
        <v>-12.688629187303574</v>
      </c>
      <c r="M37" s="48">
        <f t="shared" si="12"/>
        <v>-7.9944679552660602</v>
      </c>
    </row>
    <row r="38" spans="2:13" x14ac:dyDescent="0.3">
      <c r="L38" s="35"/>
    </row>
    <row r="39" spans="2:13" x14ac:dyDescent="0.3">
      <c r="B39" s="40" t="s">
        <v>183</v>
      </c>
      <c r="C39" s="41">
        <f>IFERROR('Historical FS'!C79/'Historical FS'!C5,0)</f>
        <v>7.4511962702908607E-2</v>
      </c>
      <c r="D39" s="41">
        <f>IFERROR('Historical FS'!D79/'Historical FS'!D5,0)</f>
        <v>0.1958459468550286</v>
      </c>
      <c r="E39" s="41">
        <f>IFERROR('Historical FS'!E79/'Historical FS'!E5,0)</f>
        <v>0.14028357293994345</v>
      </c>
      <c r="F39" s="41">
        <f>IFERROR('Historical FS'!F79/'Historical FS'!F5,0)</f>
        <v>0.10765055356049448</v>
      </c>
      <c r="G39" s="41">
        <f>IFERROR('Historical FS'!G79/'Historical FS'!G5,0)</f>
        <v>0.16694493180146019</v>
      </c>
      <c r="H39" s="41">
        <f>IFERROR('Historical FS'!H79/'Historical FS'!H5,0)</f>
        <v>0.30060096313296808</v>
      </c>
      <c r="I39" s="41">
        <f>IFERROR('Historical FS'!I79/'Historical FS'!I5,0)</f>
        <v>0.19090261643179882</v>
      </c>
      <c r="J39" s="41">
        <f>IFERROR('Historical FS'!J79/'Historical FS'!J5,0)</f>
        <v>0.16464280082005991</v>
      </c>
      <c r="L39" s="35">
        <f t="shared" si="4"/>
        <v>0.1809816265059648</v>
      </c>
      <c r="M39" s="51">
        <f t="shared" ref="M39:M41" si="16">IFERROR(MEDIAN(D39:J39),0)</f>
        <v>0.16694493180146019</v>
      </c>
    </row>
    <row r="40" spans="2:13" x14ac:dyDescent="0.3">
      <c r="B40" s="11" t="s">
        <v>184</v>
      </c>
      <c r="C40" s="42">
        <f>IFERROR('Historical FS'!C79/'Historical FS'!C65,0)</f>
        <v>5.8972155991520211E-2</v>
      </c>
      <c r="D40" s="42">
        <f>IFERROR('Historical FS'!D79/'Historical FS'!D65,0)</f>
        <v>0.203575018574363</v>
      </c>
      <c r="E40" s="42">
        <f>IFERROR('Historical FS'!E79/'Historical FS'!E65,0)</f>
        <v>0.14782554335368522</v>
      </c>
      <c r="F40" s="42">
        <f>IFERROR('Historical FS'!F79/'Historical FS'!F65,0)</f>
        <v>0.11148434420469931</v>
      </c>
      <c r="G40" s="42">
        <f>IFERROR('Historical FS'!G79/'Historical FS'!G65,0)</f>
        <v>0.14246730822637318</v>
      </c>
      <c r="H40" s="42">
        <f>IFERROR('Historical FS'!H79/'Historical FS'!H65,0)</f>
        <v>0.26333282973258798</v>
      </c>
      <c r="I40" s="42">
        <f>IFERROR('Historical FS'!I79/'Historical FS'!I65,0)</f>
        <v>0.1838823225109929</v>
      </c>
      <c r="J40" s="42">
        <f>IFERROR('Historical FS'!J79/'Historical FS'!J65,0)</f>
        <v>0.1791313672922252</v>
      </c>
      <c r="L40" s="35">
        <f t="shared" si="4"/>
        <v>0.17595696198498958</v>
      </c>
      <c r="M40" s="51">
        <f t="shared" si="16"/>
        <v>0.1791313672922252</v>
      </c>
    </row>
    <row r="41" spans="2:13" x14ac:dyDescent="0.3">
      <c r="B41" s="43" t="s">
        <v>185</v>
      </c>
      <c r="C41" s="44">
        <f>IFERROR('Historical FS'!C79/'Historical FS'!C50,0)</f>
        <v>2.1277376279393962</v>
      </c>
      <c r="D41" s="44">
        <f>IFERROR('Historical FS'!D79/'Historical FS'!D50,0)</f>
        <v>16.006872852233677</v>
      </c>
      <c r="E41" s="44">
        <f>IFERROR('Historical FS'!E79/'Historical FS'!E50,0)</f>
        <v>12.73608617594255</v>
      </c>
      <c r="F41" s="44">
        <f>IFERROR('Historical FS'!F79/'Historical FS'!F50,0)</f>
        <v>1.5506555423122765</v>
      </c>
      <c r="G41" s="44">
        <f>IFERROR('Historical FS'!G79/'Historical FS'!G50,0)</f>
        <v>1.4774605559729526</v>
      </c>
      <c r="H41" s="44">
        <f>IFERROR('Historical FS'!H79/'Historical FS'!H50,0)</f>
        <v>3.3011363636363638</v>
      </c>
      <c r="I41" s="44">
        <f>IFERROR('Historical FS'!I79/'Historical FS'!I50,0)</f>
        <v>2.5778023017499607</v>
      </c>
      <c r="J41" s="44">
        <f>IFERROR('Historical FS'!J79/'Historical FS'!J50,0)</f>
        <v>3.4843554443053817</v>
      </c>
      <c r="L41" s="35">
        <f t="shared" si="4"/>
        <v>5.8763384623075945</v>
      </c>
      <c r="M41" s="51">
        <f t="shared" si="16"/>
        <v>3.3011363636363638</v>
      </c>
    </row>
  </sheetData>
  <mergeCells count="1">
    <mergeCell ref="B2:M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1"/>
          <x14:colorNegative theme="5"/>
          <x14:colorAxis rgb="FF000000"/>
          <x14:colorMarkers theme="2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'Ratio analysis'!C11:J11</xm:f>
              <xm:sqref>K11</xm:sqref>
            </x14:sparkline>
            <x14:sparkline>
              <xm:f>'Ratio analysis'!C12:J12</xm:f>
              <xm:sqref>K12</xm:sqref>
            </x14:sparkline>
            <x14:sparkline>
              <xm:f>'Ratio analysis'!C13:J13</xm:f>
              <xm:sqref>K13</xm:sqref>
            </x14:sparkline>
            <x14:sparkline>
              <xm:f>'Ratio analysis'!C14:J14</xm:f>
              <xm:sqref>K14</xm:sqref>
            </x14:sparkline>
            <x14:sparkline>
              <xm:f>'Ratio analysis'!C15:J15</xm:f>
              <xm:sqref>K15</xm:sqref>
            </x14:sparkline>
            <x14:sparkline>
              <xm:f>'Ratio analysis'!C16:J16</xm:f>
              <xm:sqref>K16</xm:sqref>
            </x14:sparkline>
            <x14:sparkline>
              <xm:f>'Ratio analysis'!C17:J17</xm:f>
              <xm:sqref>K17</xm:sqref>
            </x14:sparkline>
            <x14:sparkline>
              <xm:f>'Ratio analysis'!C18:J18</xm:f>
              <xm:sqref>K18</xm:sqref>
            </x14:sparkline>
            <x14:sparkline>
              <xm:f>'Ratio analysis'!C19:J19</xm:f>
              <xm:sqref>K19</xm:sqref>
            </x14:sparkline>
            <x14:sparkline>
              <xm:f>'Ratio analysis'!C20:J20</xm:f>
              <xm:sqref>K20</xm:sqref>
            </x14:sparkline>
            <x14:sparkline>
              <xm:f>'Ratio analysis'!C21:J21</xm:f>
              <xm:sqref>K21</xm:sqref>
            </x14:sparkline>
            <x14:sparkline>
              <xm:f>'Ratio analysis'!C22:J22</xm:f>
              <xm:sqref>K22</xm:sqref>
            </x14:sparkline>
            <x14:sparkline>
              <xm:f>'Ratio analysis'!C23:J23</xm:f>
              <xm:sqref>K23</xm:sqref>
            </x14:sparkline>
            <x14:sparkline>
              <xm:f>'Ratio analysis'!C24:J24</xm:f>
              <xm:sqref>K24</xm:sqref>
            </x14:sparkline>
            <x14:sparkline>
              <xm:f>'Ratio analysis'!C25:J25</xm:f>
              <xm:sqref>K25</xm:sqref>
            </x14:sparkline>
            <x14:sparkline>
              <xm:f>'Ratio analysis'!C26:J26</xm:f>
              <xm:sqref>K26</xm:sqref>
            </x14:sparkline>
            <x14:sparkline>
              <xm:f>'Ratio analysis'!C27:J27</xm:f>
              <xm:sqref>K27</xm:sqref>
            </x14:sparkline>
            <x14:sparkline>
              <xm:f>'Ratio analysis'!C28:J28</xm:f>
              <xm:sqref>K28</xm:sqref>
            </x14:sparkline>
            <x14:sparkline>
              <xm:f>'Ratio analysis'!C29:J29</xm:f>
              <xm:sqref>K29</xm:sqref>
            </x14:sparkline>
            <x14:sparkline>
              <xm:f>'Ratio analysis'!C30:J30</xm:f>
              <xm:sqref>K30</xm:sqref>
            </x14:sparkline>
            <x14:sparkline>
              <xm:f>'Ratio analysis'!C31:J31</xm:f>
              <xm:sqref>K31</xm:sqref>
            </x14:sparkline>
            <x14:sparkline>
              <xm:f>'Ratio analysis'!C32:J32</xm:f>
              <xm:sqref>K32</xm:sqref>
            </x14:sparkline>
            <x14:sparkline>
              <xm:f>'Ratio analysis'!C33:J33</xm:f>
              <xm:sqref>K33</xm:sqref>
            </x14:sparkline>
            <x14:sparkline>
              <xm:f>'Ratio analysis'!C34:J34</xm:f>
              <xm:sqref>K34</xm:sqref>
            </x14:sparkline>
            <x14:sparkline>
              <xm:f>'Ratio analysis'!C35:J35</xm:f>
              <xm:sqref>K35</xm:sqref>
            </x14:sparkline>
            <x14:sparkline>
              <xm:f>'Ratio analysis'!C36:J36</xm:f>
              <xm:sqref>K36</xm:sqref>
            </x14:sparkline>
            <x14:sparkline>
              <xm:f>'Ratio analysis'!C37:J37</xm:f>
              <xm:sqref>K37</xm:sqref>
            </x14:sparkline>
            <x14:sparkline>
              <xm:f>'Ratio analysis'!C38:J38</xm:f>
              <xm:sqref>K38</xm:sqref>
            </x14:sparkline>
            <x14:sparkline>
              <xm:f>'Ratio analysis'!C39:J39</xm:f>
              <xm:sqref>K39</xm:sqref>
            </x14:sparkline>
            <x14:sparkline>
              <xm:f>'Ratio analysis'!C40:J40</xm:f>
              <xm:sqref>K40</xm:sqref>
            </x14:sparkline>
            <x14:sparkline>
              <xm:f>'Ratio analysis'!C41:J41</xm:f>
              <xm:sqref>K41</xm:sqref>
            </x14:sparkline>
          </x14:sparklines>
        </x14:sparklineGroup>
        <x14:sparklineGroup displayEmptyCellsAs="gap" markers="1">
          <x14:colorSeries theme="1"/>
          <x14:colorNegative theme="5"/>
          <x14:colorAxis rgb="FF000000"/>
          <x14:colorMarkers theme="2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'Ratio analysis'!D5:J5</xm:f>
              <xm:sqref>K5</xm:sqref>
            </x14:sparkline>
            <x14:sparkline>
              <xm:f>'Ratio analysis'!D6:J6</xm:f>
              <xm:sqref>K6</xm:sqref>
            </x14:sparkline>
            <x14:sparkline>
              <xm:f>'Ratio analysis'!D7:J7</xm:f>
              <xm:sqref>K7</xm:sqref>
            </x14:sparkline>
            <x14:sparkline>
              <xm:f>'Ratio analysis'!D8:J8</xm:f>
              <xm:sqref>K8</xm:sqref>
            </x14:sparkline>
            <x14:sparkline>
              <xm:f>'Ratio analysis'!D9:J9</xm:f>
              <xm:sqref>K9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zoomScale="80" zoomScaleNormal="80" workbookViewId="0">
      <selection activeCell="O18" sqref="O18"/>
    </sheetView>
  </sheetViews>
  <sheetFormatPr defaultRowHeight="14.4" x14ac:dyDescent="0.3"/>
  <cols>
    <col min="1" max="1" width="1.88671875" customWidth="1"/>
    <col min="2" max="2" width="10.77734375" bestFit="1" customWidth="1"/>
    <col min="3" max="3" width="7.77734375" customWidth="1"/>
    <col min="4" max="4" width="12.5546875" customWidth="1"/>
    <col min="5" max="5" width="12.77734375" customWidth="1"/>
    <col min="6" max="6" width="1.88671875" customWidth="1"/>
    <col min="7" max="7" width="11.6640625" customWidth="1"/>
    <col min="9" max="9" width="9.21875" customWidth="1"/>
    <col min="10" max="10" width="13.77734375" bestFit="1" customWidth="1"/>
    <col min="11" max="11" width="1.88671875" customWidth="1"/>
    <col min="12" max="12" width="11.88671875" customWidth="1"/>
    <col min="15" max="15" width="13.77734375" bestFit="1" customWidth="1"/>
  </cols>
  <sheetData>
    <row r="2" spans="2:15" x14ac:dyDescent="0.3">
      <c r="B2" t="str">
        <f>'Data Sheet'!D1&amp;" - "&amp;'Data Sheet'!$A$17&amp;" Forecasting"</f>
        <v>HCL Technologies - Sales Forecasting</v>
      </c>
      <c r="G2" t="str">
        <f>'Data Sheet'!$D1&amp;" - "&amp;'Historical FS'!B17&amp;" Forecasting"</f>
        <v>HCL Technologies - EBITDA Forecasting</v>
      </c>
      <c r="L2" t="str">
        <f>'Data Sheet'!D1 &amp;" - "&amp;'Historical FS'!B38&amp;" Forecasting"</f>
        <v>HCL Technologies - Earnings per share Forecasting</v>
      </c>
    </row>
    <row r="3" spans="2:15" x14ac:dyDescent="0.3">
      <c r="B3" s="192" t="s">
        <v>189</v>
      </c>
      <c r="C3" s="193" t="s">
        <v>190</v>
      </c>
      <c r="D3" s="194" t="s">
        <v>6</v>
      </c>
      <c r="E3" s="194" t="s">
        <v>96</v>
      </c>
      <c r="F3" s="195"/>
      <c r="G3" s="192" t="s">
        <v>189</v>
      </c>
      <c r="H3" s="193" t="s">
        <v>190</v>
      </c>
      <c r="I3" s="194" t="s">
        <v>102</v>
      </c>
      <c r="J3" s="194" t="s">
        <v>191</v>
      </c>
      <c r="K3" s="195"/>
      <c r="L3" s="192" t="s">
        <v>189</v>
      </c>
      <c r="M3" s="193" t="s">
        <v>190</v>
      </c>
      <c r="N3" s="194" t="s">
        <v>102</v>
      </c>
      <c r="O3" s="194" t="s">
        <v>191</v>
      </c>
    </row>
    <row r="4" spans="2:15" x14ac:dyDescent="0.3">
      <c r="B4" s="52">
        <v>1</v>
      </c>
      <c r="C4" s="53">
        <v>2016</v>
      </c>
      <c r="D4" s="54">
        <f t="array" ref="D4:D11">TRANSPOSE('Data Sheet'!D17:K17)</f>
        <v>31135.94</v>
      </c>
      <c r="G4" s="52">
        <v>1</v>
      </c>
      <c r="H4" s="53">
        <v>2016</v>
      </c>
      <c r="I4" s="54">
        <f t="array" ref="I4:I11">TRANSPOSE('Historical FS'!C17:J17)</f>
        <v>6653.5499999999975</v>
      </c>
      <c r="L4" s="52">
        <v>1</v>
      </c>
      <c r="M4" s="53">
        <v>2016</v>
      </c>
      <c r="N4" s="54">
        <f t="array" ref="N4:N11">TRANSPOSE('Historical FS'!C38:J38)</f>
        <v>16.771093306863296</v>
      </c>
    </row>
    <row r="5" spans="2:15" x14ac:dyDescent="0.3">
      <c r="B5" s="52">
        <f>B4+1</f>
        <v>2</v>
      </c>
      <c r="C5" s="53">
        <f>C4+1</f>
        <v>2017</v>
      </c>
      <c r="D5" s="54">
        <v>47568</v>
      </c>
      <c r="E5" s="35">
        <f>IFERROR(D5/D4-1,0)</f>
        <v>0.52775217321205026</v>
      </c>
      <c r="G5" s="52">
        <f>G4+1</f>
        <v>2</v>
      </c>
      <c r="H5" s="53">
        <f>H4+1</f>
        <v>2017</v>
      </c>
      <c r="I5" s="54">
        <v>10390</v>
      </c>
      <c r="J5" s="35">
        <f t="shared" ref="J5:J15" si="0">IFERROR(I5/I4-1,0)</f>
        <v>0.5615723936845749</v>
      </c>
      <c r="L5" s="52">
        <f>L4+1</f>
        <v>2</v>
      </c>
      <c r="M5" s="53">
        <f>M4+1</f>
        <v>2017</v>
      </c>
      <c r="N5" s="54">
        <v>26.412251191477431</v>
      </c>
      <c r="O5" s="35">
        <f>IFERROR(N5/N4-1,0)</f>
        <v>0.57486758365768842</v>
      </c>
    </row>
    <row r="6" spans="2:15" x14ac:dyDescent="0.3">
      <c r="B6" s="52">
        <f t="shared" ref="B6:B15" si="1">B5+1</f>
        <v>3</v>
      </c>
      <c r="C6" s="53">
        <f t="shared" ref="C6:C15" si="2">C5+1</f>
        <v>2018</v>
      </c>
      <c r="D6" s="54">
        <v>50569</v>
      </c>
      <c r="E6" s="35">
        <f t="shared" ref="E6:E15" si="3">IFERROR(D6/D5-1,0)</f>
        <v>6.308863101244544E-2</v>
      </c>
      <c r="G6" s="52">
        <f t="shared" ref="G6:G15" si="4">G5+1</f>
        <v>3</v>
      </c>
      <c r="H6" s="53">
        <f t="shared" ref="H6:H15" si="5">H5+1</f>
        <v>2018</v>
      </c>
      <c r="I6" s="54">
        <v>11246</v>
      </c>
      <c r="J6" s="35">
        <f t="shared" si="0"/>
        <v>8.2386910490856557E-2</v>
      </c>
      <c r="L6" s="52">
        <f t="shared" ref="L6:L15" si="6">L5+1</f>
        <v>3</v>
      </c>
      <c r="M6" s="53">
        <f t="shared" ref="M6:M15" si="7">M5+1</f>
        <v>2018</v>
      </c>
      <c r="N6" s="54">
        <v>26.906087268809483</v>
      </c>
      <c r="O6" s="35">
        <f t="shared" ref="O6:O15" si="8">IFERROR(N6/N5-1,0)</f>
        <v>1.8697235375809251E-2</v>
      </c>
    </row>
    <row r="7" spans="2:15" x14ac:dyDescent="0.3">
      <c r="B7" s="52">
        <f t="shared" si="1"/>
        <v>4</v>
      </c>
      <c r="C7" s="53">
        <f t="shared" si="2"/>
        <v>2019</v>
      </c>
      <c r="D7" s="54">
        <v>60427</v>
      </c>
      <c r="E7" s="35">
        <f t="shared" si="3"/>
        <v>0.19494156499040916</v>
      </c>
      <c r="G7" s="52">
        <f t="shared" si="4"/>
        <v>4</v>
      </c>
      <c r="H7" s="53">
        <f t="shared" si="5"/>
        <v>2019</v>
      </c>
      <c r="I7" s="54">
        <v>13926</v>
      </c>
      <c r="J7" s="35">
        <f t="shared" si="0"/>
        <v>0.23830695358349629</v>
      </c>
      <c r="L7" s="52">
        <f t="shared" si="6"/>
        <v>4</v>
      </c>
      <c r="M7" s="53">
        <f t="shared" si="7"/>
        <v>2019</v>
      </c>
      <c r="N7" s="54">
        <v>33.831010838310107</v>
      </c>
      <c r="O7" s="35">
        <f t="shared" si="8"/>
        <v>0.25737386117558048</v>
      </c>
    </row>
    <row r="8" spans="2:15" x14ac:dyDescent="0.3">
      <c r="B8" s="52">
        <f t="shared" si="1"/>
        <v>5</v>
      </c>
      <c r="C8" s="53">
        <f t="shared" si="2"/>
        <v>2020</v>
      </c>
      <c r="D8" s="54">
        <v>70676</v>
      </c>
      <c r="E8" s="35">
        <f t="shared" si="3"/>
        <v>0.16960961159746479</v>
      </c>
      <c r="G8" s="52">
        <f t="shared" si="4"/>
        <v>5</v>
      </c>
      <c r="H8" s="53">
        <f t="shared" si="5"/>
        <v>2020</v>
      </c>
      <c r="I8" s="54">
        <v>17316</v>
      </c>
      <c r="J8" s="35">
        <f t="shared" si="0"/>
        <v>0.24342955622576468</v>
      </c>
      <c r="L8" s="52">
        <f t="shared" si="6"/>
        <v>5</v>
      </c>
      <c r="M8" s="53">
        <f t="shared" si="7"/>
        <v>2020</v>
      </c>
      <c r="N8" s="54">
        <v>38.574639790691677</v>
      </c>
      <c r="O8" s="35">
        <f t="shared" si="8"/>
        <v>0.14021540695467194</v>
      </c>
    </row>
    <row r="9" spans="2:15" x14ac:dyDescent="0.3">
      <c r="B9" s="52">
        <f t="shared" si="1"/>
        <v>6</v>
      </c>
      <c r="C9" s="53">
        <f t="shared" si="2"/>
        <v>2021</v>
      </c>
      <c r="D9" s="54">
        <v>75379</v>
      </c>
      <c r="E9" s="35">
        <f t="shared" si="3"/>
        <v>6.6543098081385477E-2</v>
      </c>
      <c r="G9" s="52">
        <f t="shared" si="4"/>
        <v>6</v>
      </c>
      <c r="H9" s="53">
        <f t="shared" si="5"/>
        <v>2021</v>
      </c>
      <c r="I9" s="54">
        <v>20048</v>
      </c>
      <c r="J9" s="35">
        <f t="shared" si="0"/>
        <v>0.15777315777315781</v>
      </c>
      <c r="L9" s="52">
        <f t="shared" si="6"/>
        <v>6</v>
      </c>
      <c r="M9" s="53">
        <f t="shared" si="7"/>
        <v>2021</v>
      </c>
      <c r="N9" s="54">
        <v>37.741828499834178</v>
      </c>
      <c r="O9" s="35">
        <f t="shared" si="8"/>
        <v>-2.1589606419564311E-2</v>
      </c>
    </row>
    <row r="10" spans="2:15" x14ac:dyDescent="0.3">
      <c r="B10" s="52">
        <f t="shared" si="1"/>
        <v>7</v>
      </c>
      <c r="C10" s="53">
        <f t="shared" si="2"/>
        <v>2022</v>
      </c>
      <c r="D10" s="54">
        <v>85651</v>
      </c>
      <c r="E10" s="35">
        <f t="shared" si="3"/>
        <v>0.13627137531673283</v>
      </c>
      <c r="G10" s="52">
        <f t="shared" si="4"/>
        <v>7</v>
      </c>
      <c r="H10" s="53">
        <f t="shared" si="5"/>
        <v>2022</v>
      </c>
      <c r="I10" s="54">
        <v>20529</v>
      </c>
      <c r="J10" s="35">
        <f t="shared" si="0"/>
        <v>2.3992418196328913E-2</v>
      </c>
      <c r="L10" s="52">
        <f t="shared" si="6"/>
        <v>7</v>
      </c>
      <c r="M10" s="53">
        <f t="shared" si="7"/>
        <v>2022</v>
      </c>
      <c r="N10" s="54">
        <v>45.900431145668279</v>
      </c>
      <c r="O10" s="35">
        <f t="shared" si="8"/>
        <v>0.21616871704745155</v>
      </c>
    </row>
    <row r="11" spans="2:15" x14ac:dyDescent="0.3">
      <c r="B11" s="52">
        <f t="shared" si="1"/>
        <v>8</v>
      </c>
      <c r="C11" s="53">
        <f t="shared" si="2"/>
        <v>2023</v>
      </c>
      <c r="D11" s="54">
        <v>101456</v>
      </c>
      <c r="E11" s="35">
        <f t="shared" si="3"/>
        <v>0.18452790977338274</v>
      </c>
      <c r="G11" s="52">
        <f t="shared" si="4"/>
        <v>8</v>
      </c>
      <c r="H11" s="53">
        <f t="shared" si="5"/>
        <v>2023</v>
      </c>
      <c r="I11">
        <v>22628</v>
      </c>
      <c r="J11" s="35">
        <f t="shared" si="0"/>
        <v>0.10224560378001857</v>
      </c>
      <c r="L11" s="52">
        <f t="shared" si="6"/>
        <v>8</v>
      </c>
      <c r="M11" s="53">
        <f t="shared" si="7"/>
        <v>2023</v>
      </c>
      <c r="N11" s="54">
        <v>49.699672034491655</v>
      </c>
      <c r="O11" s="35">
        <f t="shared" si="8"/>
        <v>8.2771355170199179E-2</v>
      </c>
    </row>
    <row r="12" spans="2:15" x14ac:dyDescent="0.3">
      <c r="B12" s="55">
        <f t="shared" si="1"/>
        <v>9</v>
      </c>
      <c r="C12" s="56">
        <f t="shared" si="2"/>
        <v>2024</v>
      </c>
      <c r="D12" s="57">
        <f>FORECAST(B12,$D$4:$D$11,$B$4:$B$11)</f>
        <v>106464.94357142856</v>
      </c>
      <c r="E12" s="196">
        <f t="shared" si="3"/>
        <v>4.9370599781467517E-2</v>
      </c>
      <c r="G12" s="55">
        <f t="shared" si="4"/>
        <v>9</v>
      </c>
      <c r="H12" s="56">
        <f t="shared" si="5"/>
        <v>2024</v>
      </c>
      <c r="I12" s="57">
        <f>FORECAST(G11,$I$4:$I$10,$G$4:$G$10)</f>
        <v>23874.414285714287</v>
      </c>
      <c r="J12" s="196">
        <f t="shared" si="0"/>
        <v>5.5082830374504566E-2</v>
      </c>
      <c r="L12" s="55">
        <f t="shared" si="6"/>
        <v>9</v>
      </c>
      <c r="M12" s="56">
        <f t="shared" si="7"/>
        <v>2024</v>
      </c>
      <c r="N12" s="57">
        <f>FORECAST(L12,$N$4:$N$11,$L$4:$L$11)</f>
        <v>54.043473376115145</v>
      </c>
      <c r="O12" s="196">
        <f t="shared" si="8"/>
        <v>8.7401006159736561E-2</v>
      </c>
    </row>
    <row r="13" spans="2:15" x14ac:dyDescent="0.3">
      <c r="B13" s="55">
        <f t="shared" si="1"/>
        <v>10</v>
      </c>
      <c r="C13" s="56">
        <f t="shared" si="2"/>
        <v>2025</v>
      </c>
      <c r="D13" s="57">
        <f t="shared" ref="D13:D15" si="9">FORECAST(B13,$D$4:$D$11,$B$4:$B$11)</f>
        <v>115599.87714285715</v>
      </c>
      <c r="E13" s="196">
        <f t="shared" si="3"/>
        <v>8.5802267535133314E-2</v>
      </c>
      <c r="G13" s="55">
        <f t="shared" si="4"/>
        <v>10</v>
      </c>
      <c r="H13" s="56">
        <f t="shared" si="5"/>
        <v>2025</v>
      </c>
      <c r="I13" s="57">
        <f>FORECAST(G12,$I$4:$I$10,$G$4:$G$10)</f>
        <v>26267.712500000001</v>
      </c>
      <c r="J13" s="196">
        <f t="shared" si="0"/>
        <v>0.10024531641464351</v>
      </c>
      <c r="L13" s="55">
        <f t="shared" si="6"/>
        <v>10</v>
      </c>
      <c r="M13" s="56">
        <f t="shared" si="7"/>
        <v>2025</v>
      </c>
      <c r="N13" s="57">
        <f t="shared" ref="N13:N14" si="10">FORECAST(L13,$N$4:$N$11,$L$4:$L$11)</f>
        <v>58.390994846470008</v>
      </c>
      <c r="O13" s="196">
        <f t="shared" si="8"/>
        <v>8.0444893689536112E-2</v>
      </c>
    </row>
    <row r="14" spans="2:15" x14ac:dyDescent="0.3">
      <c r="B14" s="55">
        <f t="shared" si="1"/>
        <v>11</v>
      </c>
      <c r="C14" s="56">
        <f t="shared" si="2"/>
        <v>2026</v>
      </c>
      <c r="D14" s="57">
        <f t="shared" si="9"/>
        <v>124734.8107142857</v>
      </c>
      <c r="E14" s="196">
        <f t="shared" si="3"/>
        <v>7.9022000690707417E-2</v>
      </c>
      <c r="G14" s="55">
        <f t="shared" si="4"/>
        <v>11</v>
      </c>
      <c r="H14" s="56">
        <f t="shared" si="5"/>
        <v>2026</v>
      </c>
      <c r="I14" s="57">
        <f>FORECAST(G13,$I$4:$I$10,$G$4:$G$10)</f>
        <v>28661.010714285716</v>
      </c>
      <c r="J14" s="196">
        <f t="shared" si="0"/>
        <v>9.111178654348806E-2</v>
      </c>
      <c r="L14" s="55">
        <f t="shared" si="6"/>
        <v>11</v>
      </c>
      <c r="M14" s="56">
        <f t="shared" si="7"/>
        <v>2026</v>
      </c>
      <c r="N14" s="57">
        <f t="shared" si="10"/>
        <v>62.738516316824871</v>
      </c>
      <c r="O14" s="196">
        <f t="shared" si="8"/>
        <v>7.4455341646190387E-2</v>
      </c>
    </row>
    <row r="15" spans="2:15" x14ac:dyDescent="0.3">
      <c r="B15" s="55">
        <f t="shared" si="1"/>
        <v>12</v>
      </c>
      <c r="C15" s="56">
        <f t="shared" si="2"/>
        <v>2027</v>
      </c>
      <c r="D15" s="57">
        <f t="shared" si="9"/>
        <v>133869.74428571429</v>
      </c>
      <c r="E15" s="196">
        <f t="shared" si="3"/>
        <v>7.3234837325025781E-2</v>
      </c>
      <c r="G15" s="55">
        <f t="shared" si="4"/>
        <v>12</v>
      </c>
      <c r="H15" s="56">
        <f t="shared" si="5"/>
        <v>2027</v>
      </c>
      <c r="I15" s="57">
        <f>FORECAST(G14,$I$4:$I$10,$G$4:$G$10)</f>
        <v>31054.30892857143</v>
      </c>
      <c r="J15" s="196">
        <f t="shared" si="0"/>
        <v>8.350362233013664E-2</v>
      </c>
      <c r="L15" s="55">
        <f t="shared" si="6"/>
        <v>12</v>
      </c>
      <c r="M15" s="56">
        <f t="shared" si="7"/>
        <v>2027</v>
      </c>
      <c r="N15" s="57">
        <f>FORECAST(L15,$N$4:$N$11,$L$4:$L$11)</f>
        <v>67.08603778717972</v>
      </c>
      <c r="O15" s="196">
        <f t="shared" si="8"/>
        <v>6.9295892309601204E-2</v>
      </c>
    </row>
    <row r="16" spans="2:15" x14ac:dyDescent="0.3">
      <c r="B16" s="52"/>
    </row>
    <row r="17" spans="2:2" x14ac:dyDescent="0.3">
      <c r="B17" s="52"/>
    </row>
    <row r="18" spans="2:2" x14ac:dyDescent="0.3">
      <c r="B18" s="52"/>
    </row>
    <row r="19" spans="2:2" x14ac:dyDescent="0.3">
      <c r="B19" s="5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showGridLines="0" workbookViewId="0">
      <selection activeCell="I35" sqref="I35"/>
    </sheetView>
  </sheetViews>
  <sheetFormatPr defaultRowHeight="14.4" x14ac:dyDescent="0.3"/>
  <cols>
    <col min="1" max="1" width="1.88671875" customWidth="1"/>
    <col min="2" max="2" width="20.21875" customWidth="1"/>
  </cols>
  <sheetData>
    <row r="3" spans="2:12" x14ac:dyDescent="0.3">
      <c r="B3" s="243" t="str">
        <f>"Common Size Income Statement" &amp; " " &amp;'Data Sheet'!D1</f>
        <v>Common Size Income Statement HCL Technologies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</row>
    <row r="5" spans="2:12" x14ac:dyDescent="0.3">
      <c r="B5" s="187" t="s">
        <v>220</v>
      </c>
      <c r="C5" s="188">
        <v>41729</v>
      </c>
      <c r="D5" s="188">
        <v>42094</v>
      </c>
      <c r="E5" s="188">
        <v>42460</v>
      </c>
      <c r="F5" s="188">
        <v>42825</v>
      </c>
      <c r="G5" s="188">
        <v>43190</v>
      </c>
      <c r="H5" s="188">
        <v>43555</v>
      </c>
      <c r="I5" s="188">
        <v>43921</v>
      </c>
      <c r="J5" s="188">
        <v>44286</v>
      </c>
      <c r="K5" s="188">
        <v>44651</v>
      </c>
      <c r="L5" s="188">
        <v>45016</v>
      </c>
    </row>
    <row r="7" spans="2:12" x14ac:dyDescent="0.3">
      <c r="B7" s="9" t="s">
        <v>6</v>
      </c>
      <c r="C7" s="191">
        <f>'Data Sheet'!B17/'Data Sheet'!B17</f>
        <v>1</v>
      </c>
      <c r="D7" s="191">
        <f>'Data Sheet'!C17/'Data Sheet'!C17</f>
        <v>1</v>
      </c>
      <c r="E7" s="191">
        <f>'Data Sheet'!D17/'Data Sheet'!D17</f>
        <v>1</v>
      </c>
      <c r="F7" s="191">
        <f>'Data Sheet'!E17/'Data Sheet'!E17</f>
        <v>1</v>
      </c>
      <c r="G7" s="191">
        <f>'Data Sheet'!F17/'Data Sheet'!F17</f>
        <v>1</v>
      </c>
      <c r="H7" s="191">
        <f>'Data Sheet'!G17/'Data Sheet'!G17</f>
        <v>1</v>
      </c>
      <c r="I7" s="191">
        <f>'Data Sheet'!H17/'Data Sheet'!H17</f>
        <v>1</v>
      </c>
      <c r="J7" s="191">
        <f>'Data Sheet'!I17/'Data Sheet'!I17</f>
        <v>1</v>
      </c>
      <c r="K7" s="191">
        <f>'Data Sheet'!J17/'Data Sheet'!J17</f>
        <v>1</v>
      </c>
      <c r="L7" s="191">
        <f>'Data Sheet'!K17/'Data Sheet'!K17</f>
        <v>1</v>
      </c>
    </row>
    <row r="8" spans="2:12" x14ac:dyDescent="0.3">
      <c r="B8" s="5" t="s">
        <v>80</v>
      </c>
      <c r="C8" s="35">
        <f>'Data Sheet'!B18/'Data Sheet'!B$17</f>
        <v>2.8650128827893275E-2</v>
      </c>
      <c r="D8" s="35">
        <f>'Data Sheet'!C18/'Data Sheet'!C$17</f>
        <v>3.5595002019006457E-2</v>
      </c>
      <c r="E8" s="35">
        <f>'Data Sheet'!D18/'Data Sheet'!D$17</f>
        <v>2.6102632520489187E-2</v>
      </c>
      <c r="F8" s="35">
        <f>'Data Sheet'!E18/'Data Sheet'!E$17</f>
        <v>1.7364614867137571E-2</v>
      </c>
      <c r="G8" s="35">
        <f>'Data Sheet'!F18/'Data Sheet'!F$17</f>
        <v>2.4738476141509619E-2</v>
      </c>
      <c r="H8" s="35">
        <f>'Data Sheet'!G18/'Data Sheet'!G$17</f>
        <v>2.6726463335925994E-2</v>
      </c>
      <c r="I8" s="35">
        <f>'Data Sheet'!H18/'Data Sheet'!H$17</f>
        <v>2.1732978663195426E-2</v>
      </c>
      <c r="J8" s="35">
        <f>'Data Sheet'!I18/'Data Sheet'!I$17</f>
        <v>2.2526167765558047E-2</v>
      </c>
      <c r="K8" s="35">
        <f>'Data Sheet'!J18/'Data Sheet'!J$17</f>
        <v>1.7197697633419343E-2</v>
      </c>
      <c r="L8" s="35">
        <f>'Data Sheet'!K18/'Data Sheet'!K$17</f>
        <v>2.0422646270304368E-2</v>
      </c>
    </row>
    <row r="9" spans="2:12" x14ac:dyDescent="0.3">
      <c r="B9" s="5" t="s">
        <v>81</v>
      </c>
      <c r="C9" s="190">
        <f>'Data Sheet'!B19/'Data Sheet'!B$17</f>
        <v>-3.3617826968055289E-3</v>
      </c>
      <c r="D9" s="190">
        <f>'Data Sheet'!C19/'Data Sheet'!C$17</f>
        <v>9.7135735542306213E-4</v>
      </c>
      <c r="E9" s="190">
        <f>'Data Sheet'!D19/'Data Sheet'!D$17</f>
        <v>3.492748251698841E-3</v>
      </c>
      <c r="F9" s="190">
        <f>'Data Sheet'!E19/'Data Sheet'!E$17</f>
        <v>2.3124789774638411E-4</v>
      </c>
      <c r="G9" s="190">
        <f>'Data Sheet'!F19/'Data Sheet'!F$17</f>
        <v>-2.0565959382230219E-3</v>
      </c>
      <c r="H9" s="190">
        <f>'Data Sheet'!G19/'Data Sheet'!G$17</f>
        <v>-1.3404603902229136E-3</v>
      </c>
      <c r="I9" s="190">
        <f>'Data Sheet'!H19/'Data Sheet'!H$17</f>
        <v>0</v>
      </c>
      <c r="J9" s="190">
        <f>'Data Sheet'!I19/'Data Sheet'!I$17</f>
        <v>3.979888297801775E-5</v>
      </c>
      <c r="K9" s="190">
        <f>'Data Sheet'!J19/'Data Sheet'!J$17</f>
        <v>7.8224422365179627E-4</v>
      </c>
      <c r="L9" s="190">
        <f>'Data Sheet'!K19/'Data Sheet'!K$17</f>
        <v>6.6038479735057562E-4</v>
      </c>
    </row>
    <row r="10" spans="2:12" x14ac:dyDescent="0.3">
      <c r="B10" s="5" t="s">
        <v>82</v>
      </c>
      <c r="C10" s="190">
        <f>'Data Sheet'!B20/'Data Sheet'!B$17</f>
        <v>7.5283897353319446E-3</v>
      </c>
      <c r="D10" s="190">
        <f>'Data Sheet'!C20/'Data Sheet'!C$17</f>
        <v>7.2171987743186736E-3</v>
      </c>
      <c r="E10" s="190">
        <f>'Data Sheet'!D20/'Data Sheet'!D$17</f>
        <v>6.7616394430359264E-3</v>
      </c>
      <c r="F10" s="190">
        <f>'Data Sheet'!E20/'Data Sheet'!E$17</f>
        <v>6.4539186007399937E-3</v>
      </c>
      <c r="G10" s="190">
        <f>'Data Sheet'!F20/'Data Sheet'!F$17</f>
        <v>6.1895627756135179E-3</v>
      </c>
      <c r="H10" s="190">
        <f>'Data Sheet'!G20/'Data Sheet'!G$17</f>
        <v>5.5604282853691234E-3</v>
      </c>
      <c r="I10" s="190">
        <f>'Data Sheet'!H20/'Data Sheet'!H$17</f>
        <v>4.343765917708982E-3</v>
      </c>
      <c r="J10" s="190">
        <f>'Data Sheet'!I20/'Data Sheet'!I$17</f>
        <v>3.648230939651627E-3</v>
      </c>
      <c r="K10" s="190">
        <f>'Data Sheet'!J20/'Data Sheet'!J$17</f>
        <v>3.3975084937712344E-3</v>
      </c>
      <c r="L10" s="190">
        <f>'Data Sheet'!K20/'Data Sheet'!K$17</f>
        <v>3.2329285601640119E-3</v>
      </c>
    </row>
    <row r="11" spans="2:12" x14ac:dyDescent="0.3">
      <c r="B11" s="5" t="s">
        <v>83</v>
      </c>
      <c r="C11" s="190">
        <f>'Data Sheet'!B21/'Data Sheet'!B$17</f>
        <v>0.153061599083614</v>
      </c>
      <c r="D11" s="190">
        <f>'Data Sheet'!C21/'Data Sheet'!C$17</f>
        <v>0.1596892419380064</v>
      </c>
      <c r="E11" s="190">
        <f>'Data Sheet'!D21/'Data Sheet'!D$17</f>
        <v>0.1809150454426621</v>
      </c>
      <c r="F11" s="190">
        <f>'Data Sheet'!E21/'Data Sheet'!E$17</f>
        <v>0.19521527077026574</v>
      </c>
      <c r="G11" s="190">
        <f>'Data Sheet'!F21/'Data Sheet'!F$17</f>
        <v>0.18564733334651665</v>
      </c>
      <c r="H11" s="190">
        <f>'Data Sheet'!G21/'Data Sheet'!G$17</f>
        <v>0.17975408343952207</v>
      </c>
      <c r="I11" s="190">
        <f>'Data Sheet'!H21/'Data Sheet'!H$17</f>
        <v>0.17437319599298207</v>
      </c>
      <c r="J11" s="190">
        <f>'Data Sheet'!I21/'Data Sheet'!I$17</f>
        <v>0.1603099006354555</v>
      </c>
      <c r="K11" s="190">
        <f>'Data Sheet'!J21/'Data Sheet'!J$17</f>
        <v>0.17015563157464594</v>
      </c>
      <c r="L11" s="190">
        <f>'Data Sheet'!K21/'Data Sheet'!K$17</f>
        <v>0.17054683803816434</v>
      </c>
    </row>
    <row r="12" spans="2:12" x14ac:dyDescent="0.3">
      <c r="B12" s="5" t="s">
        <v>84</v>
      </c>
      <c r="C12" s="190">
        <f>'Data Sheet'!B22/'Data Sheet'!B$17</f>
        <v>0.46374183898162191</v>
      </c>
      <c r="D12" s="190">
        <f>'Data Sheet'!C22/'Data Sheet'!C$17</f>
        <v>0.48299293592965031</v>
      </c>
      <c r="E12" s="190">
        <f>'Data Sheet'!D22/'Data Sheet'!D$17</f>
        <v>0.48828620558749797</v>
      </c>
      <c r="F12" s="190">
        <f>'Data Sheet'!E22/'Data Sheet'!E$17</f>
        <v>0.4807013118062563</v>
      </c>
      <c r="G12" s="190">
        <f>'Data Sheet'!F22/'Data Sheet'!F$17</f>
        <v>0.48901500919535684</v>
      </c>
      <c r="H12" s="190">
        <f>'Data Sheet'!G22/'Data Sheet'!G$17</f>
        <v>0.48460125440614293</v>
      </c>
      <c r="I12" s="190">
        <f>'Data Sheet'!H22/'Data Sheet'!H$17</f>
        <v>0.49419887939328766</v>
      </c>
      <c r="J12" s="190">
        <f>'Data Sheet'!I22/'Data Sheet'!I$17</f>
        <v>0.51543533344830783</v>
      </c>
      <c r="K12" s="190">
        <f>'Data Sheet'!J22/'Data Sheet'!J$17</f>
        <v>0.53858098562772183</v>
      </c>
      <c r="L12" s="190">
        <f>'Data Sheet'!K22/'Data Sheet'!K$17</f>
        <v>0.54486674026178838</v>
      </c>
    </row>
    <row r="13" spans="2:12" x14ac:dyDescent="0.3">
      <c r="B13" s="5" t="s">
        <v>85</v>
      </c>
      <c r="C13" s="190">
        <f>'Data Sheet'!B23/'Data Sheet'!B$17</f>
        <v>8.095188911281416E-2</v>
      </c>
      <c r="D13" s="190">
        <f>'Data Sheet'!C23/'Data Sheet'!C$17</f>
        <v>7.7740467483097292E-2</v>
      </c>
      <c r="E13" s="190">
        <f>'Data Sheet'!D23/'Data Sheet'!D$17</f>
        <v>7.0835182750223699E-2</v>
      </c>
      <c r="F13" s="190">
        <f>'Data Sheet'!E23/'Data Sheet'!E$17</f>
        <v>6.281533804238143E-2</v>
      </c>
      <c r="G13" s="190">
        <f>'Data Sheet'!F23/'Data Sheet'!F$17</f>
        <v>5.5567640253910498E-2</v>
      </c>
      <c r="H13" s="190">
        <f>'Data Sheet'!G23/'Data Sheet'!G$17</f>
        <v>5.8235556953017693E-2</v>
      </c>
      <c r="I13" s="190">
        <f>'Data Sheet'!H23/'Data Sheet'!H$17</f>
        <v>4.3154677684079462E-2</v>
      </c>
      <c r="J13" s="190">
        <f>'Data Sheet'!I23/'Data Sheet'!I$17</f>
        <v>2.2300640762015947E-2</v>
      </c>
      <c r="K13" s="190">
        <f>'Data Sheet'!J23/'Data Sheet'!J$17</f>
        <v>2.1786085393048535E-2</v>
      </c>
      <c r="L13" s="190">
        <f>'Data Sheet'!K23/'Data Sheet'!K$17</f>
        <v>2.6484387320611889E-2</v>
      </c>
    </row>
    <row r="14" spans="2:12" x14ac:dyDescent="0.3">
      <c r="B14" s="5" t="s">
        <v>86</v>
      </c>
      <c r="C14" s="190">
        <f>'Data Sheet'!B24/'Data Sheet'!B$17</f>
        <v>1.2723815520696772E-2</v>
      </c>
      <c r="D14" s="190">
        <f>'Data Sheet'!C24/'Data Sheet'!C$17</f>
        <v>6.5161321612742032E-3</v>
      </c>
      <c r="E14" s="190">
        <f>'Data Sheet'!D24/'Data Sheet'!D$17</f>
        <v>1.6898478093161792E-2</v>
      </c>
      <c r="F14" s="190">
        <f>'Data Sheet'!E24/'Data Sheet'!E$17</f>
        <v>1.9256643121426168E-2</v>
      </c>
      <c r="G14" s="190">
        <f>'Data Sheet'!F24/'Data Sheet'!F$17</f>
        <v>1.4396171567561154E-2</v>
      </c>
      <c r="H14" s="190">
        <f>'Data Sheet'!G24/'Data Sheet'!G$17</f>
        <v>1.3321859433696858E-2</v>
      </c>
      <c r="I14" s="190">
        <f>'Data Sheet'!H24/'Data Sheet'!H$17</f>
        <v>1.7191125700379194E-2</v>
      </c>
      <c r="J14" s="190">
        <f>'Data Sheet'!I24/'Data Sheet'!I$17</f>
        <v>9.8568566842223964E-3</v>
      </c>
      <c r="K14" s="190">
        <f>'Data Sheet'!J24/'Data Sheet'!J$17</f>
        <v>9.9823703167505346E-3</v>
      </c>
      <c r="L14" s="190">
        <f>'Data Sheet'!K24/'Data Sheet'!K$17</f>
        <v>1.2074199653051568E-2</v>
      </c>
    </row>
    <row r="15" spans="2:12" x14ac:dyDescent="0.3">
      <c r="B15" s="9" t="s">
        <v>9</v>
      </c>
      <c r="C15" s="190">
        <f>'Data Sheet'!B25/'Data Sheet'!B$17</f>
        <v>2.1074140281473856E-2</v>
      </c>
      <c r="D15" s="190">
        <f>'Data Sheet'!C25/'Data Sheet'!C$17</f>
        <v>3.0679361612502256E-2</v>
      </c>
      <c r="E15" s="190">
        <f>'Data Sheet'!D25/'Data Sheet'!D$17</f>
        <v>2.7970570344110376E-2</v>
      </c>
      <c r="F15" s="190">
        <f>'Data Sheet'!E25/'Data Sheet'!E$17</f>
        <v>2.2473091153716783E-2</v>
      </c>
      <c r="G15" s="190">
        <f>'Data Sheet'!F25/'Data Sheet'!F$17</f>
        <v>2.4323201961676127E-2</v>
      </c>
      <c r="H15" s="190">
        <f>'Data Sheet'!G25/'Data Sheet'!G$17</f>
        <v>1.5605606765187748E-2</v>
      </c>
      <c r="I15" s="190">
        <f>'Data Sheet'!H25/'Data Sheet'!H$17</f>
        <v>8.3338049691550169E-3</v>
      </c>
      <c r="J15" s="190">
        <f>'Data Sheet'!I25/'Data Sheet'!I$17</f>
        <v>1.2297854840207486E-2</v>
      </c>
      <c r="K15" s="190">
        <f>'Data Sheet'!J25/'Data Sheet'!J$17</f>
        <v>1.245753114382786E-2</v>
      </c>
      <c r="L15" s="190">
        <f>'Data Sheet'!K25/'Data Sheet'!K$17</f>
        <v>1.3385112758240026E-2</v>
      </c>
    </row>
    <row r="16" spans="2:12" x14ac:dyDescent="0.3">
      <c r="B16" s="9" t="s">
        <v>10</v>
      </c>
      <c r="C16" s="190">
        <f>'Data Sheet'!B26/'Data Sheet'!B$17</f>
        <v>2.1181782037266447E-2</v>
      </c>
      <c r="D16" s="190">
        <f>'Data Sheet'!C26/'Data Sheet'!C$17</f>
        <v>1.1000996697112521E-2</v>
      </c>
      <c r="E16" s="190">
        <f>'Data Sheet'!D26/'Data Sheet'!D$17</f>
        <v>1.31635659626785E-2</v>
      </c>
      <c r="F16" s="190">
        <f>'Data Sheet'!E26/'Data Sheet'!E$17</f>
        <v>1.7406659939455095E-2</v>
      </c>
      <c r="G16" s="190">
        <f>'Data Sheet'!F26/'Data Sheet'!F$17</f>
        <v>2.7348770986177301E-2</v>
      </c>
      <c r="H16" s="190">
        <f>'Data Sheet'!G26/'Data Sheet'!G$17</f>
        <v>3.4305856653482715E-2</v>
      </c>
      <c r="I16" s="190">
        <f>'Data Sheet'!H26/'Data Sheet'!H$17</f>
        <v>4.8389835304771069E-2</v>
      </c>
      <c r="J16" s="190">
        <f>'Data Sheet'!I26/'Data Sheet'!I$17</f>
        <v>6.1170883137213285E-2</v>
      </c>
      <c r="K16" s="190">
        <f>'Data Sheet'!J26/'Data Sheet'!J$17</f>
        <v>5.0507291216681648E-2</v>
      </c>
      <c r="L16" s="190">
        <f>'Data Sheet'!K26/'Data Sheet'!K$17</f>
        <v>4.0855149030121433E-2</v>
      </c>
    </row>
    <row r="17" spans="2:12" x14ac:dyDescent="0.3">
      <c r="B17" s="9" t="s">
        <v>11</v>
      </c>
      <c r="C17" s="190">
        <f>'Data Sheet'!B27/'Data Sheet'!B$17</f>
        <v>3.5621332480495378E-3</v>
      </c>
      <c r="D17" s="190">
        <f>'Data Sheet'!C27/'Data Sheet'!C$17</f>
        <v>2.4857484301611774E-3</v>
      </c>
      <c r="E17" s="190">
        <f>'Data Sheet'!D27/'Data Sheet'!D$17</f>
        <v>2.3734629498900631E-3</v>
      </c>
      <c r="F17" s="190">
        <f>'Data Sheet'!E27/'Data Sheet'!E$17</f>
        <v>1.8710057181298351E-3</v>
      </c>
      <c r="G17" s="190">
        <f>'Data Sheet'!F27/'Data Sheet'!F$17</f>
        <v>1.3644723051671973E-3</v>
      </c>
      <c r="H17" s="190">
        <f>'Data Sheet'!G27/'Data Sheet'!G$17</f>
        <v>2.8795075049232958E-3</v>
      </c>
      <c r="I17" s="190">
        <f>'Data Sheet'!H27/'Data Sheet'!H$17</f>
        <v>7.1452826985115171E-3</v>
      </c>
      <c r="J17" s="190">
        <f>'Data Sheet'!I27/'Data Sheet'!I$17</f>
        <v>6.7790764005890231E-3</v>
      </c>
      <c r="K17" s="190">
        <f>'Data Sheet'!J27/'Data Sheet'!J$17</f>
        <v>3.7244165275361644E-3</v>
      </c>
      <c r="L17" s="190">
        <f>'Data Sheet'!K27/'Data Sheet'!K$17</f>
        <v>3.4793407979813911E-3</v>
      </c>
    </row>
    <row r="18" spans="2:12" x14ac:dyDescent="0.3">
      <c r="B18" s="9" t="s">
        <v>12</v>
      </c>
      <c r="C18" s="190">
        <f>'Data Sheet'!B28/'Data Sheet'!B$17</f>
        <v>0.2463107810373803</v>
      </c>
      <c r="D18" s="190">
        <f>'Data Sheet'!C28/'Data Sheet'!C$17</f>
        <v>0.24841299553529825</v>
      </c>
      <c r="E18" s="190">
        <f>'Data Sheet'!D28/'Data Sheet'!D$17</f>
        <v>0.22612710584617007</v>
      </c>
      <c r="F18" s="190">
        <f>'Data Sheet'!E28/'Data Sheet'!E$17</f>
        <v>0.22161957618567105</v>
      </c>
      <c r="G18" s="190">
        <f>'Data Sheet'!F28/'Data Sheet'!F$17</f>
        <v>0.21799916945164033</v>
      </c>
      <c r="H18" s="190">
        <f>'Data Sheet'!G28/'Data Sheet'!G$17</f>
        <v>0.20888013636288413</v>
      </c>
      <c r="I18" s="190">
        <f>'Data Sheet'!H28/'Data Sheet'!H$17</f>
        <v>0.19780406361423963</v>
      </c>
      <c r="J18" s="190">
        <f>'Data Sheet'!I28/'Data Sheet'!I$17</f>
        <v>0.21031056395017181</v>
      </c>
      <c r="K18" s="190">
        <f>'Data Sheet'!J28/'Data Sheet'!J$17</f>
        <v>0.19790778858390445</v>
      </c>
      <c r="L18" s="190">
        <f>'Data Sheet'!K28/'Data Sheet'!K$17</f>
        <v>0.19208326762340325</v>
      </c>
    </row>
    <row r="19" spans="2:12" x14ac:dyDescent="0.3">
      <c r="B19" s="9" t="s">
        <v>13</v>
      </c>
      <c r="C19" s="190">
        <f>'Data Sheet'!B29/'Data Sheet'!B$17</f>
        <v>4.3852193558543112E-2</v>
      </c>
      <c r="D19" s="190">
        <f>'Data Sheet'!C29/'Data Sheet'!C$17</f>
        <v>4.9456394092621439E-2</v>
      </c>
      <c r="E19" s="190">
        <f>'Data Sheet'!D29/'Data Sheet'!D$17</f>
        <v>4.6216687210985118E-2</v>
      </c>
      <c r="F19" s="190">
        <f>'Data Sheet'!E29/'Data Sheet'!E$17</f>
        <v>4.0699630003363609E-2</v>
      </c>
      <c r="G19" s="190">
        <f>'Data Sheet'!F29/'Data Sheet'!F$17</f>
        <v>4.5521960094128816E-2</v>
      </c>
      <c r="H19" s="190">
        <f>'Data Sheet'!G29/'Data Sheet'!G$17</f>
        <v>4.1405332053552221E-2</v>
      </c>
      <c r="I19" s="190">
        <f>'Data Sheet'!H29/'Data Sheet'!H$17</f>
        <v>4.1357745203463692E-2</v>
      </c>
      <c r="J19" s="190">
        <f>'Data Sheet'!I29/'Data Sheet'!I$17</f>
        <v>6.2139322623011715E-2</v>
      </c>
      <c r="K19" s="190">
        <f>'Data Sheet'!J29/'Data Sheet'!J$17</f>
        <v>4.0022883562363547E-2</v>
      </c>
      <c r="L19" s="190">
        <f>'Data Sheet'!K29/'Data Sheet'!K$17</f>
        <v>4.576368080744362E-2</v>
      </c>
    </row>
    <row r="20" spans="2:12" x14ac:dyDescent="0.3">
      <c r="B20" s="9" t="s">
        <v>14</v>
      </c>
      <c r="C20" s="190">
        <f>'Data Sheet'!B30/'Data Sheet'!B$17</f>
        <v>0.20251303056341438</v>
      </c>
      <c r="D20" s="190">
        <f>'Data Sheet'!C30/'Data Sheet'!C$17</f>
        <v>0.19936857684839904</v>
      </c>
      <c r="E20" s="190">
        <f>'Data Sheet'!D30/'Data Sheet'!D$17</f>
        <v>0.17993450655416218</v>
      </c>
      <c r="F20" s="190">
        <f>'Data Sheet'!E30/'Data Sheet'!E$17</f>
        <v>0.18091994618230745</v>
      </c>
      <c r="G20" s="190">
        <f>'Data Sheet'!F30/'Data Sheet'!F$17</f>
        <v>0.17245743439656708</v>
      </c>
      <c r="H20" s="190">
        <f>'Data Sheet'!G30/'Data Sheet'!G$17</f>
        <v>0.16747480430933193</v>
      </c>
      <c r="I20" s="190">
        <f>'Data Sheet'!H30/'Data Sheet'!H$17</f>
        <v>0.15644631841077594</v>
      </c>
      <c r="J20" s="190">
        <f>'Data Sheet'!I30/'Data Sheet'!I$17</f>
        <v>0.14785285026333594</v>
      </c>
      <c r="K20" s="190">
        <f>'Data Sheet'!J30/'Data Sheet'!J$17</f>
        <v>0.15760469813545669</v>
      </c>
      <c r="L20" s="190">
        <f>'Data Sheet'!K30/'Data Sheet'!K$17</f>
        <v>0.14637872575303579</v>
      </c>
    </row>
    <row r="21" spans="2:12" x14ac:dyDescent="0.3">
      <c r="B21" s="9" t="s">
        <v>70</v>
      </c>
      <c r="C21" s="190">
        <f>'Data Sheet'!B31/'Data Sheet'!B$17</f>
        <v>2.1777233830870536E-2</v>
      </c>
      <c r="D21" s="190">
        <f>'Data Sheet'!C31/'Data Sheet'!C$17</f>
        <v>0.11492805961218727</v>
      </c>
      <c r="E21" s="190">
        <f>'Data Sheet'!D31/'Data Sheet'!D$17</f>
        <v>7.2477015307711917E-2</v>
      </c>
      <c r="F21" s="190">
        <f>'Data Sheet'!E31/'Data Sheet'!E$17</f>
        <v>7.1897073662966701E-2</v>
      </c>
      <c r="G21" s="190">
        <f>'Data Sheet'!F31/'Data Sheet'!F$17</f>
        <v>3.2984634855346161E-2</v>
      </c>
      <c r="H21" s="190">
        <f>'Data Sheet'!G31/'Data Sheet'!G$17</f>
        <v>1.7939000777798003E-2</v>
      </c>
      <c r="I21" s="190">
        <f>'Data Sheet'!H31/'Data Sheet'!H$17</f>
        <v>3.8414737676155983E-2</v>
      </c>
      <c r="J21" s="190">
        <f>'Data Sheet'!I31/'Data Sheet'!I$17</f>
        <v>3.6017989095106062E-2</v>
      </c>
      <c r="K21" s="190">
        <f>'Data Sheet'!J31/'Data Sheet'!J$17</f>
        <v>0.13313329675076765</v>
      </c>
      <c r="L21" s="190">
        <f>'Data Sheet'!K31/'Data Sheet'!K$17</f>
        <v>0.1284497713294433</v>
      </c>
    </row>
    <row r="22" spans="2:12" x14ac:dyDescent="0.3">
      <c r="B22" s="5" t="s">
        <v>102</v>
      </c>
      <c r="C22" s="190">
        <f>'Data Sheet'!B33/'Data Sheet'!B$17</f>
        <v>0.27110913940727349</v>
      </c>
      <c r="D22" s="190">
        <f>'Data Sheet'!C33/'Data Sheet'!C$17</f>
        <v>0.26231171606829418</v>
      </c>
      <c r="E22" s="190">
        <f>'Data Sheet'!D33/'Data Sheet'!D$17</f>
        <v>0.24168822267771584</v>
      </c>
      <c r="F22" s="190">
        <f>'Data Sheet'!E33/'Data Sheet'!E$17</f>
        <v>0.24089724184325598</v>
      </c>
      <c r="G22" s="190">
        <f>'Data Sheet'!F33/'Data Sheet'!F$17</f>
        <v>0.24669263778204037</v>
      </c>
      <c r="H22" s="190">
        <f>'Data Sheet'!G33/'Data Sheet'!G$17</f>
        <v>0.24606550052129014</v>
      </c>
      <c r="I22" s="190">
        <f>'Data Sheet'!H33/'Data Sheet'!H$17</f>
        <v>0.25333918161752222</v>
      </c>
      <c r="J22" s="190">
        <f>'Data Sheet'!I33/'Data Sheet'!I$17</f>
        <v>0.27794213242414995</v>
      </c>
      <c r="K22" s="190">
        <f>'Data Sheet'!J33/'Data Sheet'!J$17</f>
        <v>0.25185928944203806</v>
      </c>
      <c r="L22" s="190">
        <f>'Data Sheet'!K33/'Data Sheet'!K$17</f>
        <v>0.23647689638858224</v>
      </c>
    </row>
    <row r="25" spans="2:12" x14ac:dyDescent="0.3">
      <c r="B25" s="243" t="str">
        <f>"Common Size Balance Sheet" &amp; " " &amp;'Data Sheet'!D1</f>
        <v>Common Size Balance Sheet HCL Technologies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</row>
    <row r="27" spans="2:12" x14ac:dyDescent="0.3">
      <c r="B27" s="187" t="s">
        <v>220</v>
      </c>
      <c r="C27" s="188">
        <v>41729</v>
      </c>
      <c r="D27" s="188">
        <v>42094</v>
      </c>
      <c r="E27" s="188">
        <v>42460</v>
      </c>
      <c r="F27" s="188">
        <v>42825</v>
      </c>
      <c r="G27" s="188">
        <v>43190</v>
      </c>
      <c r="H27" s="188">
        <v>43555</v>
      </c>
      <c r="I27" s="188">
        <v>43921</v>
      </c>
      <c r="J27" s="188">
        <v>44286</v>
      </c>
      <c r="K27" s="188">
        <v>44651</v>
      </c>
      <c r="L27" s="188">
        <v>45016</v>
      </c>
    </row>
    <row r="28" spans="2:12" x14ac:dyDescent="0.3">
      <c r="B28" s="8"/>
      <c r="C28" s="189"/>
      <c r="D28" s="189"/>
      <c r="E28" s="189"/>
      <c r="F28" s="189"/>
      <c r="G28" s="189"/>
      <c r="H28" s="189"/>
      <c r="I28" s="189"/>
      <c r="J28" s="189"/>
      <c r="K28" s="189"/>
      <c r="L28" s="189"/>
    </row>
    <row r="29" spans="2:12" x14ac:dyDescent="0.3">
      <c r="B29" s="1" t="s">
        <v>201</v>
      </c>
      <c r="C29" s="191">
        <f>'Data Sheet'!B61/'Data Sheet'!B$61</f>
        <v>1</v>
      </c>
      <c r="D29" s="191">
        <f>'Data Sheet'!C61/'Data Sheet'!C$61</f>
        <v>1</v>
      </c>
      <c r="E29" s="191">
        <f>'Data Sheet'!D61/'Data Sheet'!D$61</f>
        <v>1</v>
      </c>
      <c r="F29" s="191">
        <f>'Data Sheet'!E61/'Data Sheet'!E$61</f>
        <v>1</v>
      </c>
      <c r="G29" s="191">
        <f>'Data Sheet'!F61/'Data Sheet'!F$61</f>
        <v>1</v>
      </c>
      <c r="H29" s="191">
        <f>'Data Sheet'!G61/'Data Sheet'!G$61</f>
        <v>1</v>
      </c>
      <c r="I29" s="191">
        <f>'Data Sheet'!H61/'Data Sheet'!H$61</f>
        <v>1</v>
      </c>
      <c r="J29" s="191">
        <f>'Data Sheet'!I61/'Data Sheet'!I$61</f>
        <v>1</v>
      </c>
      <c r="K29" s="191">
        <f>'Data Sheet'!J61/'Data Sheet'!J$61</f>
        <v>1</v>
      </c>
      <c r="L29" s="191">
        <f>'Data Sheet'!K61/'Data Sheet'!K$61</f>
        <v>1</v>
      </c>
    </row>
    <row r="30" spans="2:12" x14ac:dyDescent="0.3">
      <c r="B30" s="9" t="s">
        <v>24</v>
      </c>
      <c r="C30" s="190">
        <f>'Data Sheet'!B57/'Data Sheet'!B$61</f>
        <v>4.669828140317662E-3</v>
      </c>
      <c r="D30" s="190">
        <f>'Data Sheet'!C57/'Data Sheet'!C$61</f>
        <v>7.9785113607248985E-3</v>
      </c>
      <c r="E30" s="190">
        <f>'Data Sheet'!D57/'Data Sheet'!D$61</f>
        <v>7.1702007595206988E-3</v>
      </c>
      <c r="F30" s="190">
        <f>'Data Sheet'!E57/'Data Sheet'!E$61</f>
        <v>6.2278746558279792E-3</v>
      </c>
      <c r="G30" s="190">
        <f>'Data Sheet'!F57/'Data Sheet'!F$61</f>
        <v>5.792994227843881E-3</v>
      </c>
      <c r="H30" s="190">
        <f>'Data Sheet'!G57/'Data Sheet'!G$61</f>
        <v>4.6444669146000787E-3</v>
      </c>
      <c r="I30" s="190">
        <f>'Data Sheet'!H57/'Data Sheet'!H$61</f>
        <v>6.5564665113077916E-3</v>
      </c>
      <c r="J30" s="190">
        <f>'Data Sheet'!I57/'Data Sheet'!I$61</f>
        <v>6.3105047241623765E-3</v>
      </c>
      <c r="K30" s="190">
        <f>'Data Sheet'!J57/'Data Sheet'!J$61</f>
        <v>6.1065440109760345E-3</v>
      </c>
      <c r="L30" s="190">
        <f>'Data Sheet'!K57/'Data Sheet'!K$61</f>
        <v>5.8230563002680969E-3</v>
      </c>
    </row>
    <row r="31" spans="2:12" x14ac:dyDescent="0.3">
      <c r="B31" s="9" t="s">
        <v>25</v>
      </c>
      <c r="C31" s="190">
        <f>'Data Sheet'!B58/'Data Sheet'!B$61</f>
        <v>0.64743264523415689</v>
      </c>
      <c r="D31" s="190">
        <f>'Data Sheet'!C58/'Data Sheet'!C$61</f>
        <v>0.67934272047376243</v>
      </c>
      <c r="E31" s="190">
        <f>'Data Sheet'!D58/'Data Sheet'!D$61</f>
        <v>0.68907667905420866</v>
      </c>
      <c r="F31" s="190">
        <f>'Data Sheet'!E58/'Data Sheet'!E$61</f>
        <v>0.71377999213321097</v>
      </c>
      <c r="G31" s="190">
        <f>'Data Sheet'!F58/'Data Sheet'!F$61</f>
        <v>0.75242243014024046</v>
      </c>
      <c r="H31" s="190">
        <f>'Data Sheet'!G58/'Data Sheet'!G$61</f>
        <v>0.70429656035236254</v>
      </c>
      <c r="I31" s="190">
        <f>'Data Sheet'!H58/'Data Sheet'!H$61</f>
        <v>0.6124681534430505</v>
      </c>
      <c r="J31" s="190">
        <f>'Data Sheet'!I58/'Data Sheet'!I$61</f>
        <v>0.68997175961974266</v>
      </c>
      <c r="K31" s="190">
        <f>'Data Sheet'!J58/'Data Sheet'!J$61</f>
        <v>0.69017442448915334</v>
      </c>
      <c r="L31" s="190">
        <f>'Data Sheet'!K58/'Data Sheet'!K$61</f>
        <v>0.69557104557640748</v>
      </c>
    </row>
    <row r="32" spans="2:12" x14ac:dyDescent="0.3">
      <c r="B32" s="9" t="s">
        <v>71</v>
      </c>
      <c r="C32" s="190">
        <f>'Data Sheet'!B59/'Data Sheet'!B$61</f>
        <v>3.3957989558931395E-2</v>
      </c>
      <c r="D32" s="190">
        <f>'Data Sheet'!C59/'Data Sheet'!C$61</f>
        <v>1.8378949214164865E-2</v>
      </c>
      <c r="E32" s="190">
        <f>'Data Sheet'!D59/'Data Sheet'!D$61</f>
        <v>2.77158965547043E-2</v>
      </c>
      <c r="F32" s="190">
        <f>'Data Sheet'!E59/'Data Sheet'!E$61</f>
        <v>1.2717975612953979E-2</v>
      </c>
      <c r="G32" s="190">
        <f>'Data Sheet'!F59/'Data Sheet'!F$61</f>
        <v>1.1606826564421012E-2</v>
      </c>
      <c r="H32" s="190">
        <f>'Data Sheet'!G59/'Data Sheet'!G$61</f>
        <v>7.1894976777665431E-2</v>
      </c>
      <c r="I32" s="190">
        <f>'Data Sheet'!H59/'Data Sheet'!H$61</f>
        <v>9.6427148359675918E-2</v>
      </c>
      <c r="J32" s="190">
        <f>'Data Sheet'!I59/'Data Sheet'!I$61</f>
        <v>7.9770358060129928E-2</v>
      </c>
      <c r="K32" s="190">
        <f>'Data Sheet'!J59/'Data Sheet'!J$61</f>
        <v>7.133298096062797E-2</v>
      </c>
      <c r="L32" s="190">
        <f>'Data Sheet'!K59/'Data Sheet'!K$61</f>
        <v>5.1410187667560323E-2</v>
      </c>
    </row>
    <row r="33" spans="2:12" x14ac:dyDescent="0.3">
      <c r="B33" s="9" t="s">
        <v>72</v>
      </c>
      <c r="C33" s="190">
        <f>'Data Sheet'!B60/'Data Sheet'!B$61</f>
        <v>0.31393953706659405</v>
      </c>
      <c r="D33" s="190">
        <f>'Data Sheet'!C60/'Data Sheet'!C$61</f>
        <v>0.29429981895134782</v>
      </c>
      <c r="E33" s="190">
        <f>'Data Sheet'!D60/'Data Sheet'!D$61</f>
        <v>0.27603722363156635</v>
      </c>
      <c r="F33" s="190">
        <f>'Data Sheet'!E60/'Data Sheet'!E$61</f>
        <v>0.2672741575980071</v>
      </c>
      <c r="G33" s="190">
        <f>'Data Sheet'!F60/'Data Sheet'!F$61</f>
        <v>0.23017774906749464</v>
      </c>
      <c r="H33" s="190">
        <f>'Data Sheet'!G60/'Data Sheet'!G$61</f>
        <v>0.21916399595537198</v>
      </c>
      <c r="I33" s="190">
        <f>'Data Sheet'!H60/'Data Sheet'!H$61</f>
        <v>0.28454823168596577</v>
      </c>
      <c r="J33" s="190">
        <f>'Data Sheet'!I60/'Data Sheet'!I$61</f>
        <v>0.223947377595965</v>
      </c>
      <c r="K33" s="190">
        <f>'Data Sheet'!J60/'Data Sheet'!J$61</f>
        <v>0.23238605053924269</v>
      </c>
      <c r="L33" s="190">
        <f>'Data Sheet'!K60/'Data Sheet'!K$61</f>
        <v>0.24719571045576408</v>
      </c>
    </row>
    <row r="34" spans="2:12" x14ac:dyDescent="0.3">
      <c r="C34" s="190"/>
      <c r="D34" s="190"/>
      <c r="E34" s="190"/>
      <c r="F34" s="190"/>
      <c r="G34" s="190"/>
      <c r="H34" s="190"/>
      <c r="I34" s="190"/>
      <c r="J34" s="190"/>
      <c r="K34" s="190"/>
      <c r="L34" s="190"/>
    </row>
    <row r="35" spans="2:12" x14ac:dyDescent="0.3">
      <c r="B35" s="1" t="s">
        <v>349</v>
      </c>
      <c r="C35" s="191">
        <f>'Data Sheet'!B66/'Data Sheet'!B$66</f>
        <v>1</v>
      </c>
      <c r="D35" s="191">
        <f>'Data Sheet'!C66/'Data Sheet'!C$66</f>
        <v>1</v>
      </c>
      <c r="E35" s="191">
        <f>'Data Sheet'!D66/'Data Sheet'!D$66</f>
        <v>1</v>
      </c>
      <c r="F35" s="191">
        <f>'Data Sheet'!E66/'Data Sheet'!E$66</f>
        <v>1</v>
      </c>
      <c r="G35" s="191">
        <f>'Data Sheet'!F66/'Data Sheet'!F$66</f>
        <v>1</v>
      </c>
      <c r="H35" s="191">
        <f>'Data Sheet'!G66/'Data Sheet'!G$66</f>
        <v>1</v>
      </c>
      <c r="I35" s="191">
        <f>'Data Sheet'!H66/'Data Sheet'!H$66</f>
        <v>1</v>
      </c>
      <c r="J35" s="191">
        <f>'Data Sheet'!I66/'Data Sheet'!I$66</f>
        <v>1</v>
      </c>
      <c r="K35" s="191">
        <f>'Data Sheet'!J66/'Data Sheet'!J$66</f>
        <v>1</v>
      </c>
      <c r="L35" s="191">
        <f>'Data Sheet'!K66/'Data Sheet'!K$66</f>
        <v>1</v>
      </c>
    </row>
    <row r="36" spans="2:12" x14ac:dyDescent="0.3">
      <c r="B36" s="9" t="s">
        <v>27</v>
      </c>
      <c r="C36" s="190">
        <f>'Data Sheet'!B62/'Data Sheet'!B$66</f>
        <v>0.2482994320488304</v>
      </c>
      <c r="D36" s="190">
        <f>'Data Sheet'!C62/'Data Sheet'!C$66</f>
        <v>0.23479493495044784</v>
      </c>
      <c r="E36" s="190">
        <f>'Data Sheet'!D62/'Data Sheet'!D$66</f>
        <v>0.2469736099601938</v>
      </c>
      <c r="F36" s="190">
        <f>'Data Sheet'!E62/'Data Sheet'!E$66</f>
        <v>0.33291814168961148</v>
      </c>
      <c r="G36" s="190">
        <f>'Data Sheet'!F62/'Data Sheet'!F$66</f>
        <v>0.39077705307466293</v>
      </c>
      <c r="H36" s="190">
        <f>'Data Sheet'!G62/'Data Sheet'!G$66</f>
        <v>0.39226036435928635</v>
      </c>
      <c r="I36" s="190">
        <f>'Data Sheet'!H62/'Data Sheet'!H$66</f>
        <v>0.45267390333136115</v>
      </c>
      <c r="J36" s="190">
        <f>'Data Sheet'!I62/'Data Sheet'!I$66</f>
        <v>0.43168268504422003</v>
      </c>
      <c r="K36" s="190">
        <f>'Data Sheet'!J62/'Data Sheet'!J$66</f>
        <v>0.39447374635912774</v>
      </c>
      <c r="L36" s="190">
        <f>'Data Sheet'!K62/'Data Sheet'!K$66</f>
        <v>0.37124932975871311</v>
      </c>
    </row>
    <row r="37" spans="2:12" x14ac:dyDescent="0.3">
      <c r="B37" s="9" t="s">
        <v>28</v>
      </c>
      <c r="C37" s="190">
        <f>'Data Sheet'!B63/'Data Sheet'!B$66</f>
        <v>1.7710323222154736E-2</v>
      </c>
      <c r="D37" s="190">
        <f>'Data Sheet'!C63/'Data Sheet'!C$66</f>
        <v>1.5648323562115918E-2</v>
      </c>
      <c r="E37" s="190">
        <f>'Data Sheet'!D63/'Data Sheet'!D$66</f>
        <v>1.5528487110008491E-2</v>
      </c>
      <c r="F37" s="190">
        <f>'Data Sheet'!E63/'Data Sheet'!E$66</f>
        <v>9.7897819151260869E-3</v>
      </c>
      <c r="G37" s="190">
        <f>'Data Sheet'!F63/'Data Sheet'!F$66</f>
        <v>6.6681947946404382E-3</v>
      </c>
      <c r="H37" s="190">
        <f>'Data Sheet'!G63/'Data Sheet'!G$66</f>
        <v>4.0274897598930569E-3</v>
      </c>
      <c r="I37" s="190">
        <f>'Data Sheet'!H63/'Data Sheet'!H$66</f>
        <v>4.8298095847571212E-3</v>
      </c>
      <c r="J37" s="190">
        <f>'Data Sheet'!I63/'Data Sheet'!I$66</f>
        <v>3.6259253663695422E-3</v>
      </c>
      <c r="K37" s="190">
        <f>'Data Sheet'!J63/'Data Sheet'!J$66</f>
        <v>1.4507259252595E-3</v>
      </c>
      <c r="L37" s="190">
        <f>'Data Sheet'!K63/'Data Sheet'!K$66</f>
        <v>4.2895442359249328E-4</v>
      </c>
    </row>
    <row r="38" spans="2:12" x14ac:dyDescent="0.3">
      <c r="B38" s="9" t="s">
        <v>29</v>
      </c>
      <c r="C38" s="190">
        <f>'Data Sheet'!B64/'Data Sheet'!B$66</f>
        <v>2.2071275586905671E-2</v>
      </c>
      <c r="D38" s="190">
        <f>'Data Sheet'!C64/'Data Sheet'!C$66</f>
        <v>2.466727593136778E-2</v>
      </c>
      <c r="E38" s="190">
        <f>'Data Sheet'!D64/'Data Sheet'!D$66</f>
        <v>1.7752144095412883E-2</v>
      </c>
      <c r="F38" s="190">
        <f>'Data Sheet'!E64/'Data Sheet'!E$66</f>
        <v>2.8538962457934532E-2</v>
      </c>
      <c r="G38" s="190">
        <f>'Data Sheet'!F64/'Data Sheet'!F$66</f>
        <v>5.5429369230448645E-2</v>
      </c>
      <c r="H38" s="190">
        <f>'Data Sheet'!G64/'Data Sheet'!G$66</f>
        <v>3.9503676155546799E-2</v>
      </c>
      <c r="I38" s="190">
        <f>'Data Sheet'!H64/'Data Sheet'!H$66</f>
        <v>8.5318586314734546E-2</v>
      </c>
      <c r="J38" s="190">
        <f>'Data Sheet'!I64/'Data Sheet'!I$66</f>
        <v>7.9747114948807041E-2</v>
      </c>
      <c r="K38" s="190">
        <f>'Data Sheet'!J64/'Data Sheet'!J$66</f>
        <v>7.1422948459868879E-2</v>
      </c>
      <c r="L38" s="190">
        <f>'Data Sheet'!K64/'Data Sheet'!K$66</f>
        <v>5.8927613941018767E-2</v>
      </c>
    </row>
    <row r="39" spans="2:12" x14ac:dyDescent="0.3">
      <c r="B39" s="9" t="s">
        <v>73</v>
      </c>
      <c r="C39" s="190">
        <f>'Data Sheet'!B65/'Data Sheet'!B$66</f>
        <v>0.71191896914210928</v>
      </c>
      <c r="D39" s="190">
        <f>'Data Sheet'!C65/'Data Sheet'!C$66</f>
        <v>0.72488946555606859</v>
      </c>
      <c r="E39" s="190">
        <f>'Data Sheet'!D65/'Data Sheet'!D$66</f>
        <v>0.71974575883438485</v>
      </c>
      <c r="F39" s="190">
        <f>'Data Sheet'!E65/'Data Sheet'!E$66</f>
        <v>0.62875311393732791</v>
      </c>
      <c r="G39" s="190">
        <f>'Data Sheet'!F65/'Data Sheet'!F$66</f>
        <v>0.54712538290024793</v>
      </c>
      <c r="H39" s="190">
        <f>'Data Sheet'!G65/'Data Sheet'!G$66</f>
        <v>0.56420846972527383</v>
      </c>
      <c r="I39" s="190">
        <f>'Data Sheet'!H65/'Data Sheet'!H$66</f>
        <v>0.45717770076914716</v>
      </c>
      <c r="J39" s="190">
        <f>'Data Sheet'!I65/'Data Sheet'!I$66</f>
        <v>0.48494427464060341</v>
      </c>
      <c r="K39" s="190">
        <f>'Data Sheet'!J65/'Data Sheet'!J$66</f>
        <v>0.53265257925574383</v>
      </c>
      <c r="L39" s="190">
        <f>'Data Sheet'!K65/'Data Sheet'!K$66</f>
        <v>0.56939410187667561</v>
      </c>
    </row>
    <row r="41" spans="2:12" x14ac:dyDescent="0.3">
      <c r="B41" s="9" t="s">
        <v>78</v>
      </c>
      <c r="C41" s="190">
        <f>'Data Sheet'!B67/'Data Sheet'!B$66</f>
        <v>0.18955632963516303</v>
      </c>
      <c r="D41" s="190">
        <f>'Data Sheet'!C67/'Data Sheet'!C$66</f>
        <v>0.18552280387360698</v>
      </c>
      <c r="E41" s="190">
        <f>'Data Sheet'!D67/'Data Sheet'!D$66</f>
        <v>0.19626391056567516</v>
      </c>
      <c r="F41" s="190">
        <f>'Data Sheet'!E67/'Data Sheet'!E$66</f>
        <v>0.18139504392290548</v>
      </c>
      <c r="G41" s="190">
        <f>'Data Sheet'!F67/'Data Sheet'!F$66</f>
        <v>0.20085853007980994</v>
      </c>
      <c r="H41" s="190">
        <f>'Data Sheet'!G67/'Data Sheet'!G$66</f>
        <v>0.2006204048055665</v>
      </c>
      <c r="I41" s="190">
        <f>'Data Sheet'!H67/'Data Sheet'!H$66</f>
        <v>0.17062509810550719</v>
      </c>
      <c r="J41" s="190">
        <f>'Data Sheet'!I67/'Data Sheet'!I$66</f>
        <v>0.20366776296675074</v>
      </c>
      <c r="K41" s="190">
        <f>'Data Sheet'!J67/'Data Sheet'!J$66</f>
        <v>0.23246477210107849</v>
      </c>
      <c r="L41" s="190">
        <f>'Data Sheet'!K67/'Data Sheet'!K$66</f>
        <v>0.27352278820375336</v>
      </c>
    </row>
    <row r="42" spans="2:12" x14ac:dyDescent="0.3">
      <c r="B42" s="9" t="s">
        <v>45</v>
      </c>
      <c r="C42" s="190">
        <f>'Data Sheet'!B68/'Data Sheet'!B$66</f>
        <v>4.0794284397203577E-3</v>
      </c>
      <c r="D42" s="190">
        <f>'Data Sheet'!C68/'Data Sheet'!C$66</f>
        <v>4.4718818476666127E-3</v>
      </c>
      <c r="E42" s="190">
        <f>'Data Sheet'!D68/'Data Sheet'!D$66</f>
        <v>6.7228257830333048E-3</v>
      </c>
      <c r="F42" s="190">
        <f>'Data Sheet'!E68/'Data Sheet'!E$66</f>
        <v>6.0312049298544643E-3</v>
      </c>
      <c r="G42" s="190">
        <f>'Data Sheet'!F68/'Data Sheet'!F$66</f>
        <v>3.5841547021192356E-3</v>
      </c>
      <c r="H42" s="190">
        <f>'Data Sheet'!G68/'Data Sheet'!G$66</f>
        <v>1.5595811410649711E-3</v>
      </c>
      <c r="I42" s="190">
        <f>'Data Sheet'!H68/'Data Sheet'!H$66</f>
        <v>1.098781680532245E-3</v>
      </c>
      <c r="J42" s="190">
        <f>'Data Sheet'!I68/'Data Sheet'!I$66</f>
        <v>1.0924262321754391E-3</v>
      </c>
      <c r="K42" s="190">
        <f>'Data Sheet'!J68/'Data Sheet'!J$66</f>
        <v>1.8105959222230968E-3</v>
      </c>
      <c r="L42" s="190">
        <f>'Data Sheet'!K68/'Data Sheet'!K$66</f>
        <v>2.4450402144772119E-3</v>
      </c>
    </row>
    <row r="43" spans="2:12" x14ac:dyDescent="0.3">
      <c r="B43" s="5" t="s">
        <v>87</v>
      </c>
      <c r="C43" s="190">
        <f>'Data Sheet'!B69/'Data Sheet'!B$66</f>
        <v>0.29377555271585531</v>
      </c>
      <c r="D43" s="190">
        <f>'Data Sheet'!C69/'Data Sheet'!C$66</f>
        <v>0.27766553070294031</v>
      </c>
      <c r="E43" s="190">
        <f>'Data Sheet'!D69/'Data Sheet'!D$66</f>
        <v>0.23727650315450199</v>
      </c>
      <c r="F43" s="190">
        <f>'Data Sheet'!E69/'Data Sheet'!E$66</f>
        <v>0.19763122241160788</v>
      </c>
      <c r="G43" s="190">
        <f>'Data Sheet'!F69/'Data Sheet'!F$66</f>
        <v>8.3727520890204007E-2</v>
      </c>
      <c r="H43" s="190">
        <f>'Data Sheet'!G69/'Data Sheet'!G$66</f>
        <v>0.1349123378292687</v>
      </c>
      <c r="I43" s="190">
        <f>'Data Sheet'!H69/'Data Sheet'!H$66</f>
        <v>6.0082831234378582E-2</v>
      </c>
      <c r="J43" s="190">
        <f>'Data Sheet'!I69/'Data Sheet'!I$66</f>
        <v>0.10329238671888619</v>
      </c>
      <c r="K43" s="190">
        <f>'Data Sheet'!J69/'Data Sheet'!J$66</f>
        <v>0.14210366505100033</v>
      </c>
      <c r="L43" s="190">
        <f>'Data Sheet'!K69/'Data Sheet'!K$66</f>
        <v>0.15789812332439679</v>
      </c>
    </row>
    <row r="44" spans="2:12" x14ac:dyDescent="0.3">
      <c r="B44" s="5"/>
    </row>
    <row r="45" spans="2:12" x14ac:dyDescent="0.3">
      <c r="B45" s="5"/>
    </row>
    <row r="46" spans="2:12" x14ac:dyDescent="0.3">
      <c r="B46" s="5"/>
    </row>
  </sheetData>
  <mergeCells count="2">
    <mergeCell ref="B3:L3"/>
    <mergeCell ref="B25:L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1"/>
  <sheetViews>
    <sheetView showGridLines="0" workbookViewId="0">
      <selection activeCell="J14" sqref="J14"/>
    </sheetView>
  </sheetViews>
  <sheetFormatPr defaultRowHeight="14.4" x14ac:dyDescent="0.3"/>
  <cols>
    <col min="1" max="1" width="1.88671875" customWidth="1"/>
    <col min="2" max="2" width="10.5546875" bestFit="1" customWidth="1"/>
    <col min="3" max="3" width="12.5546875" bestFit="1" customWidth="1"/>
    <col min="4" max="4" width="7.6640625" bestFit="1" customWidth="1"/>
    <col min="6" max="6" width="12" bestFit="1" customWidth="1"/>
    <col min="7" max="7" width="7.21875" bestFit="1" customWidth="1"/>
    <col min="8" max="8" width="9" bestFit="1" customWidth="1"/>
  </cols>
  <sheetData>
    <row r="2" spans="2:17" x14ac:dyDescent="0.3">
      <c r="B2" s="133" t="s">
        <v>276</v>
      </c>
    </row>
    <row r="4" spans="2:17" x14ac:dyDescent="0.3">
      <c r="B4" s="244" t="str">
        <f>'Data Sheet'!D1 &amp;" Weekly Returns"</f>
        <v>HCL Technologies Weekly Returns</v>
      </c>
      <c r="C4" s="244"/>
      <c r="D4" s="244"/>
      <c r="F4" s="244" t="s">
        <v>275</v>
      </c>
      <c r="G4" s="244"/>
      <c r="I4" s="244" t="s">
        <v>277</v>
      </c>
      <c r="J4" s="244"/>
      <c r="K4" s="244"/>
    </row>
    <row r="6" spans="2:17" x14ac:dyDescent="0.3">
      <c r="B6" t="s">
        <v>272</v>
      </c>
      <c r="C6" t="s">
        <v>273</v>
      </c>
      <c r="D6" t="s">
        <v>274</v>
      </c>
      <c r="F6" t="s">
        <v>273</v>
      </c>
      <c r="G6" t="s">
        <v>274</v>
      </c>
      <c r="I6" s="134" t="s">
        <v>278</v>
      </c>
      <c r="K6">
        <f>N6</f>
        <v>0.94020658536493995</v>
      </c>
      <c r="M6" s="141" t="s">
        <v>307</v>
      </c>
      <c r="N6" s="141">
        <f>SLOPE(D8:D111,G8:G111)</f>
        <v>0.94020658536493995</v>
      </c>
    </row>
    <row r="7" spans="2:17" x14ac:dyDescent="0.3">
      <c r="B7" s="132">
        <v>44452</v>
      </c>
      <c r="C7" s="34">
        <v>1263.3000489999999</v>
      </c>
      <c r="D7" s="34"/>
      <c r="F7" s="34">
        <v>17585.150390999999</v>
      </c>
      <c r="G7" s="34"/>
      <c r="I7" t="s">
        <v>279</v>
      </c>
      <c r="K7" s="51">
        <v>0.75</v>
      </c>
      <c r="M7" s="141" t="s">
        <v>308</v>
      </c>
      <c r="N7" s="141">
        <f>J33</f>
        <v>0.94020658536493995</v>
      </c>
    </row>
    <row r="8" spans="2:17" x14ac:dyDescent="0.3">
      <c r="B8" s="132">
        <v>44459</v>
      </c>
      <c r="C8" s="34">
        <v>1358.1999510000001</v>
      </c>
      <c r="D8" s="35">
        <f>C8/C7-1</f>
        <v>7.512063509783018E-2</v>
      </c>
      <c r="F8" s="34">
        <v>17853.199218999998</v>
      </c>
      <c r="G8" s="35">
        <f>F8/F7-1</f>
        <v>1.5242907910368864E-2</v>
      </c>
    </row>
    <row r="9" spans="2:17" x14ac:dyDescent="0.3">
      <c r="B9" s="132">
        <v>44466</v>
      </c>
      <c r="C9" s="34">
        <v>1273.75</v>
      </c>
      <c r="D9" s="35">
        <f t="shared" ref="D9:D72" si="0">C9/C8-1</f>
        <v>-6.2177848657572254E-2</v>
      </c>
      <c r="F9" s="34">
        <v>17532.050781000002</v>
      </c>
      <c r="G9" s="35">
        <f t="shared" ref="G9:G72" si="1">F9/F8-1</f>
        <v>-1.7988285128091697E-2</v>
      </c>
      <c r="I9" t="s">
        <v>280</v>
      </c>
      <c r="K9">
        <v>1</v>
      </c>
    </row>
    <row r="10" spans="2:17" x14ac:dyDescent="0.3">
      <c r="B10" s="132">
        <v>44473</v>
      </c>
      <c r="C10" s="34">
        <v>1322.150024</v>
      </c>
      <c r="D10" s="35">
        <f t="shared" si="0"/>
        <v>3.7998056133464297E-2</v>
      </c>
      <c r="F10" s="34">
        <v>17895.199218999998</v>
      </c>
      <c r="G10" s="35">
        <f t="shared" si="1"/>
        <v>2.0713403271313213E-2</v>
      </c>
      <c r="I10" t="s">
        <v>281</v>
      </c>
      <c r="K10" s="51">
        <v>0.25</v>
      </c>
    </row>
    <row r="11" spans="2:17" x14ac:dyDescent="0.3">
      <c r="B11" s="132">
        <v>44480</v>
      </c>
      <c r="C11" s="34">
        <v>1251.150024</v>
      </c>
      <c r="D11" s="35">
        <f t="shared" si="0"/>
        <v>-5.3700411232606049E-2</v>
      </c>
      <c r="F11" s="34">
        <v>18338.550781000002</v>
      </c>
      <c r="G11" s="35">
        <f t="shared" si="1"/>
        <v>2.4774888313580767E-2</v>
      </c>
    </row>
    <row r="12" spans="2:17" x14ac:dyDescent="0.3">
      <c r="B12" s="132">
        <v>44487</v>
      </c>
      <c r="C12" s="34">
        <v>1194</v>
      </c>
      <c r="D12" s="35">
        <f t="shared" si="0"/>
        <v>-4.567799456797994E-2</v>
      </c>
      <c r="F12" s="34">
        <v>18114.900390999999</v>
      </c>
      <c r="G12" s="35">
        <f t="shared" si="1"/>
        <v>-1.2195641447944716E-2</v>
      </c>
      <c r="I12" s="135" t="s">
        <v>282</v>
      </c>
      <c r="J12" s="135"/>
      <c r="K12" s="135">
        <f>(K6*K7)+(K9*K10)</f>
        <v>0.95515493902370496</v>
      </c>
    </row>
    <row r="13" spans="2:17" x14ac:dyDescent="0.3">
      <c r="B13" s="132">
        <v>44494</v>
      </c>
      <c r="C13" s="34">
        <v>1143.75</v>
      </c>
      <c r="D13" s="35">
        <f t="shared" si="0"/>
        <v>-4.2085427135678422E-2</v>
      </c>
      <c r="F13" s="34">
        <v>17671.650390999999</v>
      </c>
      <c r="G13" s="35">
        <f t="shared" si="1"/>
        <v>-2.4468806917658736E-2</v>
      </c>
    </row>
    <row r="14" spans="2:17" x14ac:dyDescent="0.3">
      <c r="B14" s="132">
        <v>44501</v>
      </c>
      <c r="C14" s="34">
        <v>1183.099976</v>
      </c>
      <c r="D14" s="35">
        <f t="shared" si="0"/>
        <v>3.4404350601092926E-2</v>
      </c>
      <c r="F14" s="34">
        <v>17916.800781000002</v>
      </c>
      <c r="G14" s="35">
        <f t="shared" si="1"/>
        <v>1.3872523764099309E-2</v>
      </c>
    </row>
    <row r="15" spans="2:17" x14ac:dyDescent="0.3">
      <c r="B15" s="132">
        <v>44508</v>
      </c>
      <c r="C15" s="34">
        <v>1172.349976</v>
      </c>
      <c r="D15" s="35">
        <f t="shared" si="0"/>
        <v>-9.0862988911091236E-3</v>
      </c>
      <c r="F15" s="34">
        <v>18102.75</v>
      </c>
      <c r="G15" s="35">
        <f t="shared" si="1"/>
        <v>1.0378483372834646E-2</v>
      </c>
    </row>
    <row r="16" spans="2:17" x14ac:dyDescent="0.3">
      <c r="B16" s="132">
        <v>44515</v>
      </c>
      <c r="C16" s="34">
        <v>1120.1999510000001</v>
      </c>
      <c r="D16" s="35">
        <f t="shared" si="0"/>
        <v>-4.448332500328378E-2</v>
      </c>
      <c r="F16" s="34">
        <v>17764.800781000002</v>
      </c>
      <c r="G16" s="35">
        <f t="shared" si="1"/>
        <v>-1.8668391211279944E-2</v>
      </c>
      <c r="I16" s="136" t="s">
        <v>283</v>
      </c>
      <c r="J16" s="136"/>
      <c r="K16" s="136"/>
      <c r="L16" s="136"/>
      <c r="M16" s="136"/>
      <c r="N16" s="136"/>
      <c r="O16" s="136"/>
      <c r="P16" s="136"/>
      <c r="Q16" s="136"/>
    </row>
    <row r="17" spans="2:17" ht="15" thickBot="1" x14ac:dyDescent="0.35">
      <c r="B17" s="132">
        <v>44522</v>
      </c>
      <c r="C17" s="34">
        <v>1110.0500489999999</v>
      </c>
      <c r="D17" s="35">
        <f t="shared" si="0"/>
        <v>-9.0607948973210339E-3</v>
      </c>
      <c r="F17" s="34">
        <v>17026.449218999998</v>
      </c>
      <c r="G17" s="35">
        <f t="shared" si="1"/>
        <v>-4.1562614245001406E-2</v>
      </c>
      <c r="I17" s="136"/>
      <c r="J17" s="136"/>
      <c r="K17" s="136"/>
      <c r="L17" s="136"/>
      <c r="M17" s="136"/>
      <c r="N17" s="136"/>
      <c r="O17" s="136"/>
      <c r="P17" s="136"/>
      <c r="Q17" s="136"/>
    </row>
    <row r="18" spans="2:17" x14ac:dyDescent="0.3">
      <c r="B18" s="132">
        <v>44529</v>
      </c>
      <c r="C18" s="34">
        <v>1171.400024</v>
      </c>
      <c r="D18" s="35">
        <f t="shared" si="0"/>
        <v>5.5267755769451865E-2</v>
      </c>
      <c r="F18" s="34">
        <v>17196.699218999998</v>
      </c>
      <c r="G18" s="35">
        <f t="shared" si="1"/>
        <v>9.9991488424970854E-3</v>
      </c>
      <c r="I18" s="137" t="s">
        <v>284</v>
      </c>
      <c r="J18" s="137"/>
      <c r="K18" s="136"/>
      <c r="L18" s="136"/>
      <c r="M18" s="136"/>
      <c r="N18" s="136"/>
      <c r="O18" s="136"/>
      <c r="P18" s="136"/>
      <c r="Q18" s="136"/>
    </row>
    <row r="19" spans="2:17" x14ac:dyDescent="0.3">
      <c r="B19" s="132">
        <v>44536</v>
      </c>
      <c r="C19" s="34">
        <v>1162.1999510000001</v>
      </c>
      <c r="D19" s="35">
        <f t="shared" si="0"/>
        <v>-7.8539122515844939E-3</v>
      </c>
      <c r="F19" s="34">
        <v>17511.300781000002</v>
      </c>
      <c r="G19" s="35">
        <f t="shared" si="1"/>
        <v>1.8294299271828462E-2</v>
      </c>
      <c r="I19" s="138" t="s">
        <v>285</v>
      </c>
      <c r="J19" s="138">
        <v>0.50622277258411486</v>
      </c>
      <c r="K19" s="136"/>
      <c r="L19" s="136"/>
      <c r="M19" s="136"/>
      <c r="N19" s="136"/>
      <c r="O19" s="136"/>
      <c r="P19" s="136"/>
      <c r="Q19" s="136"/>
    </row>
    <row r="20" spans="2:17" x14ac:dyDescent="0.3">
      <c r="B20" s="132">
        <v>44543</v>
      </c>
      <c r="C20" s="34">
        <v>1171.400024</v>
      </c>
      <c r="D20" s="35">
        <f t="shared" si="0"/>
        <v>7.916084484501873E-3</v>
      </c>
      <c r="F20" s="34">
        <v>16985.199218999998</v>
      </c>
      <c r="G20" s="35">
        <f t="shared" si="1"/>
        <v>-3.0043545512668635E-2</v>
      </c>
      <c r="I20" s="138" t="s">
        <v>286</v>
      </c>
      <c r="J20" s="138">
        <v>0.25626149548274851</v>
      </c>
      <c r="K20" s="136"/>
      <c r="L20" s="136"/>
      <c r="M20" s="136"/>
      <c r="N20" s="136"/>
      <c r="O20" s="136"/>
      <c r="P20" s="136"/>
      <c r="Q20" s="136"/>
    </row>
    <row r="21" spans="2:17" x14ac:dyDescent="0.3">
      <c r="B21" s="132">
        <v>44550</v>
      </c>
      <c r="C21" s="34">
        <v>1265.1999510000001</v>
      </c>
      <c r="D21" s="35">
        <f t="shared" si="0"/>
        <v>8.0075059824311623E-2</v>
      </c>
      <c r="F21" s="34">
        <v>17003.75</v>
      </c>
      <c r="G21" s="35">
        <f t="shared" si="1"/>
        <v>1.0921732951623131E-3</v>
      </c>
      <c r="I21" s="138" t="s">
        <v>287</v>
      </c>
      <c r="J21" s="138">
        <v>0.24896994151689311</v>
      </c>
      <c r="K21" s="136"/>
      <c r="L21" s="136"/>
      <c r="M21" s="136"/>
      <c r="N21" s="136"/>
      <c r="O21" s="136"/>
      <c r="P21" s="136"/>
      <c r="Q21" s="136"/>
    </row>
    <row r="22" spans="2:17" x14ac:dyDescent="0.3">
      <c r="B22" s="132">
        <v>44557</v>
      </c>
      <c r="C22" s="34">
        <v>1319.099976</v>
      </c>
      <c r="D22" s="35">
        <f t="shared" si="0"/>
        <v>4.2601981574057035E-2</v>
      </c>
      <c r="F22" s="34">
        <v>17354.050781000002</v>
      </c>
      <c r="G22" s="35">
        <f t="shared" si="1"/>
        <v>2.0601383871204915E-2</v>
      </c>
      <c r="I22" s="138" t="s">
        <v>288</v>
      </c>
      <c r="J22" s="138">
        <v>3.1390358504076149E-2</v>
      </c>
      <c r="K22" s="136"/>
      <c r="L22" s="136"/>
      <c r="M22" s="136"/>
      <c r="N22" s="136"/>
      <c r="O22" s="136"/>
      <c r="P22" s="136"/>
      <c r="Q22" s="136"/>
    </row>
    <row r="23" spans="2:17" ht="15" thickBot="1" x14ac:dyDescent="0.35">
      <c r="B23" s="132">
        <v>44564</v>
      </c>
      <c r="C23" s="34">
        <v>1290.5500489999999</v>
      </c>
      <c r="D23" s="35">
        <f t="shared" si="0"/>
        <v>-2.1643489894203505E-2</v>
      </c>
      <c r="F23" s="34">
        <v>17812.699218999998</v>
      </c>
      <c r="G23" s="35">
        <f t="shared" si="1"/>
        <v>2.6428898001275014E-2</v>
      </c>
      <c r="I23" s="139" t="s">
        <v>289</v>
      </c>
      <c r="J23" s="139">
        <v>104</v>
      </c>
      <c r="K23" s="136"/>
      <c r="L23" s="136"/>
      <c r="M23" s="136"/>
      <c r="N23" s="136"/>
      <c r="O23" s="136"/>
      <c r="P23" s="136"/>
      <c r="Q23" s="136"/>
    </row>
    <row r="24" spans="2:17" x14ac:dyDescent="0.3">
      <c r="B24" s="132">
        <v>44571</v>
      </c>
      <c r="C24" s="34">
        <v>1337.1999510000001</v>
      </c>
      <c r="D24" s="35">
        <f t="shared" si="0"/>
        <v>3.6147301715379054E-2</v>
      </c>
      <c r="F24" s="34">
        <v>18255.75</v>
      </c>
      <c r="G24" s="35">
        <f t="shared" si="1"/>
        <v>2.4872748119354027E-2</v>
      </c>
      <c r="I24" s="136"/>
      <c r="J24" s="136"/>
      <c r="K24" s="136"/>
      <c r="L24" s="136"/>
      <c r="M24" s="136"/>
      <c r="N24" s="136"/>
      <c r="O24" s="136"/>
      <c r="P24" s="136"/>
      <c r="Q24" s="136"/>
    </row>
    <row r="25" spans="2:17" ht="15" thickBot="1" x14ac:dyDescent="0.35">
      <c r="B25" s="132">
        <v>44578</v>
      </c>
      <c r="C25" s="34">
        <v>1167.9499510000001</v>
      </c>
      <c r="D25" s="35">
        <f t="shared" si="0"/>
        <v>-0.12657045034546222</v>
      </c>
      <c r="F25" s="34">
        <v>17617.150390999999</v>
      </c>
      <c r="G25" s="35">
        <f t="shared" si="1"/>
        <v>-3.4980738068827621E-2</v>
      </c>
      <c r="I25" s="136" t="s">
        <v>290</v>
      </c>
      <c r="J25" s="136"/>
      <c r="K25" s="136"/>
      <c r="L25" s="136"/>
      <c r="M25" s="136"/>
      <c r="N25" s="136"/>
      <c r="O25" s="136"/>
      <c r="P25" s="136"/>
      <c r="Q25" s="136"/>
    </row>
    <row r="26" spans="2:17" x14ac:dyDescent="0.3">
      <c r="B26" s="132">
        <v>44585</v>
      </c>
      <c r="C26" s="34">
        <v>1080.4499510000001</v>
      </c>
      <c r="D26" s="35">
        <f t="shared" si="0"/>
        <v>-7.4917593793366266E-2</v>
      </c>
      <c r="F26" s="34">
        <v>17101.949218999998</v>
      </c>
      <c r="G26" s="35">
        <f t="shared" si="1"/>
        <v>-2.9244296640800638E-2</v>
      </c>
      <c r="I26" s="140"/>
      <c r="J26" s="140" t="s">
        <v>294</v>
      </c>
      <c r="K26" s="140" t="s">
        <v>295</v>
      </c>
      <c r="L26" s="140" t="s">
        <v>296</v>
      </c>
      <c r="M26" s="140" t="s">
        <v>297</v>
      </c>
      <c r="N26" s="140" t="s">
        <v>298</v>
      </c>
      <c r="O26" s="136"/>
      <c r="P26" s="136"/>
      <c r="Q26" s="136"/>
    </row>
    <row r="27" spans="2:17" x14ac:dyDescent="0.3">
      <c r="B27" s="132">
        <v>44592</v>
      </c>
      <c r="C27" s="34">
        <v>1163.8000489999999</v>
      </c>
      <c r="D27" s="35">
        <f t="shared" si="0"/>
        <v>7.7143876884677498E-2</v>
      </c>
      <c r="F27" s="34">
        <v>17516.300781000002</v>
      </c>
      <c r="G27" s="35">
        <f t="shared" si="1"/>
        <v>2.4228323724623468E-2</v>
      </c>
      <c r="I27" s="138" t="s">
        <v>291</v>
      </c>
      <c r="J27" s="138">
        <v>1</v>
      </c>
      <c r="K27" s="138">
        <v>3.4630264873135266E-2</v>
      </c>
      <c r="L27" s="138">
        <v>3.4630264873135266E-2</v>
      </c>
      <c r="M27" s="138">
        <v>35.144976870878203</v>
      </c>
      <c r="N27" s="138">
        <v>4.20031452747686E-8</v>
      </c>
      <c r="O27" s="136"/>
      <c r="P27" s="136"/>
      <c r="Q27" s="136"/>
    </row>
    <row r="28" spans="2:17" x14ac:dyDescent="0.3">
      <c r="B28" s="132">
        <v>44599</v>
      </c>
      <c r="C28" s="34">
        <v>1163.6999510000001</v>
      </c>
      <c r="D28" s="35">
        <f t="shared" si="0"/>
        <v>-8.6009620025251365E-5</v>
      </c>
      <c r="F28" s="34">
        <v>17374.75</v>
      </c>
      <c r="G28" s="35">
        <f t="shared" si="1"/>
        <v>-8.0810887395552644E-3</v>
      </c>
      <c r="I28" s="138" t="s">
        <v>292</v>
      </c>
      <c r="J28" s="138">
        <v>102</v>
      </c>
      <c r="K28" s="138">
        <v>0.10050616991547141</v>
      </c>
      <c r="L28" s="138">
        <v>9.8535460701442562E-4</v>
      </c>
      <c r="M28" s="138"/>
      <c r="N28" s="138"/>
      <c r="O28" s="136"/>
      <c r="P28" s="136"/>
      <c r="Q28" s="136"/>
    </row>
    <row r="29" spans="2:17" ht="15" thickBot="1" x14ac:dyDescent="0.35">
      <c r="B29" s="132">
        <v>44606</v>
      </c>
      <c r="C29" s="34">
        <v>1165</v>
      </c>
      <c r="D29" s="35">
        <f t="shared" si="0"/>
        <v>1.1171685612625382E-3</v>
      </c>
      <c r="F29" s="34">
        <v>17276.300781000002</v>
      </c>
      <c r="G29" s="35">
        <f t="shared" si="1"/>
        <v>-5.66622362911684E-3</v>
      </c>
      <c r="I29" s="139" t="s">
        <v>26</v>
      </c>
      <c r="J29" s="139">
        <v>103</v>
      </c>
      <c r="K29" s="139">
        <v>0.13513643478860668</v>
      </c>
      <c r="L29" s="139"/>
      <c r="M29" s="139"/>
      <c r="N29" s="139"/>
      <c r="O29" s="136"/>
      <c r="P29" s="136"/>
      <c r="Q29" s="136"/>
    </row>
    <row r="30" spans="2:17" ht="15" thickBot="1" x14ac:dyDescent="0.35">
      <c r="B30" s="132">
        <v>44613</v>
      </c>
      <c r="C30" s="34">
        <v>1129.6999510000001</v>
      </c>
      <c r="D30" s="35">
        <f t="shared" si="0"/>
        <v>-3.0300471244635196E-2</v>
      </c>
      <c r="F30" s="34">
        <v>16658.400390999999</v>
      </c>
      <c r="G30" s="35">
        <f t="shared" si="1"/>
        <v>-3.5765780987070617E-2</v>
      </c>
      <c r="I30" s="136"/>
      <c r="J30" s="136"/>
      <c r="K30" s="136"/>
      <c r="L30" s="136"/>
      <c r="M30" s="136"/>
      <c r="N30" s="136"/>
      <c r="O30" s="136"/>
      <c r="P30" s="136"/>
      <c r="Q30" s="136"/>
    </row>
    <row r="31" spans="2:17" x14ac:dyDescent="0.3">
      <c r="B31" s="132">
        <v>44620</v>
      </c>
      <c r="C31" s="34">
        <v>1138.4499510000001</v>
      </c>
      <c r="D31" s="35">
        <f t="shared" si="0"/>
        <v>7.7454194737767157E-3</v>
      </c>
      <c r="F31" s="34">
        <v>16245.349609000001</v>
      </c>
      <c r="G31" s="35">
        <f t="shared" si="1"/>
        <v>-2.479534482933643E-2</v>
      </c>
      <c r="I31" s="140"/>
      <c r="J31" s="140" t="s">
        <v>299</v>
      </c>
      <c r="K31" s="140" t="s">
        <v>288</v>
      </c>
      <c r="L31" s="140" t="s">
        <v>300</v>
      </c>
      <c r="M31" s="140" t="s">
        <v>301</v>
      </c>
      <c r="N31" s="140" t="s">
        <v>302</v>
      </c>
      <c r="O31" s="140" t="s">
        <v>303</v>
      </c>
      <c r="P31" s="140" t="s">
        <v>304</v>
      </c>
      <c r="Q31" s="140" t="s">
        <v>305</v>
      </c>
    </row>
    <row r="32" spans="2:17" x14ac:dyDescent="0.3">
      <c r="B32" s="132">
        <v>44627</v>
      </c>
      <c r="C32" s="34">
        <v>1193.4499510000001</v>
      </c>
      <c r="D32" s="35">
        <f t="shared" si="0"/>
        <v>4.831130253173499E-2</v>
      </c>
      <c r="F32" s="34">
        <v>16630.449218999998</v>
      </c>
      <c r="G32" s="35">
        <f t="shared" si="1"/>
        <v>2.3705221449137115E-2</v>
      </c>
      <c r="I32" s="138" t="s">
        <v>293</v>
      </c>
      <c r="J32" s="138">
        <v>-4.5865980665703537E-4</v>
      </c>
      <c r="K32" s="138">
        <v>3.0874959658780802E-3</v>
      </c>
      <c r="L32" s="138">
        <v>-0.14855397763300171</v>
      </c>
      <c r="M32" s="138">
        <v>0.88219888557945958</v>
      </c>
      <c r="N32" s="138">
        <v>-6.5826934158082304E-3</v>
      </c>
      <c r="O32" s="138">
        <v>5.6653738024941593E-3</v>
      </c>
      <c r="P32" s="138">
        <v>-6.5826934158082304E-3</v>
      </c>
      <c r="Q32" s="138">
        <v>5.6653738024941593E-3</v>
      </c>
    </row>
    <row r="33" spans="2:17" ht="15" thickBot="1" x14ac:dyDescent="0.35">
      <c r="B33" s="132">
        <v>44634</v>
      </c>
      <c r="C33" s="34">
        <v>1196.900024</v>
      </c>
      <c r="D33" s="35">
        <f t="shared" si="0"/>
        <v>2.8908401203662226E-3</v>
      </c>
      <c r="F33" s="34">
        <v>17287.050781000002</v>
      </c>
      <c r="G33" s="35">
        <f t="shared" si="1"/>
        <v>3.9481889716475482E-2</v>
      </c>
      <c r="I33" s="139" t="s">
        <v>306</v>
      </c>
      <c r="J33" s="139">
        <v>0.94020658536493995</v>
      </c>
      <c r="K33" s="139">
        <v>0.15859579117993428</v>
      </c>
      <c r="L33" s="139">
        <v>5.9283199028795917</v>
      </c>
      <c r="M33" s="139">
        <v>4.2003145274767514E-8</v>
      </c>
      <c r="N33" s="139">
        <v>0.62563258553151146</v>
      </c>
      <c r="O33" s="139">
        <v>1.2547805851983684</v>
      </c>
      <c r="P33" s="139">
        <v>0.62563258553151146</v>
      </c>
      <c r="Q33" s="139">
        <v>1.2547805851983684</v>
      </c>
    </row>
    <row r="34" spans="2:17" x14ac:dyDescent="0.3">
      <c r="B34" s="132">
        <v>44641</v>
      </c>
      <c r="C34" s="34">
        <v>1179.349976</v>
      </c>
      <c r="D34" s="35">
        <f t="shared" si="0"/>
        <v>-1.4662918913936007E-2</v>
      </c>
      <c r="F34" s="34">
        <v>17153</v>
      </c>
      <c r="G34" s="35">
        <f t="shared" si="1"/>
        <v>-7.7544043051771538E-3</v>
      </c>
    </row>
    <row r="35" spans="2:17" x14ac:dyDescent="0.3">
      <c r="B35" s="132">
        <v>44648</v>
      </c>
      <c r="C35" s="34">
        <v>1169.650024</v>
      </c>
      <c r="D35" s="35">
        <f t="shared" si="0"/>
        <v>-8.2248290985676986E-3</v>
      </c>
      <c r="F35" s="34">
        <v>17670.449218999998</v>
      </c>
      <c r="G35" s="35">
        <f t="shared" si="1"/>
        <v>3.0166689150585846E-2</v>
      </c>
    </row>
    <row r="36" spans="2:17" x14ac:dyDescent="0.3">
      <c r="B36" s="132">
        <v>44655</v>
      </c>
      <c r="C36" s="34">
        <v>1165.349976</v>
      </c>
      <c r="D36" s="35">
        <f t="shared" si="0"/>
        <v>-3.6763543895760309E-3</v>
      </c>
      <c r="F36" s="34">
        <v>17784.349609000001</v>
      </c>
      <c r="G36" s="35">
        <f t="shared" si="1"/>
        <v>6.4458117950692007E-3</v>
      </c>
    </row>
    <row r="37" spans="2:17" x14ac:dyDescent="0.3">
      <c r="B37" s="132">
        <v>44662</v>
      </c>
      <c r="C37" s="34">
        <v>1125.099976</v>
      </c>
      <c r="D37" s="35">
        <f t="shared" si="0"/>
        <v>-3.4538980416986775E-2</v>
      </c>
      <c r="F37" s="34">
        <v>17475.650390999999</v>
      </c>
      <c r="G37" s="35">
        <f t="shared" si="1"/>
        <v>-1.7357914390289553E-2</v>
      </c>
    </row>
    <row r="38" spans="2:17" x14ac:dyDescent="0.3">
      <c r="B38" s="132">
        <v>44669</v>
      </c>
      <c r="C38" s="34">
        <v>1102.0500489999999</v>
      </c>
      <c r="D38" s="35">
        <f t="shared" si="0"/>
        <v>-2.0487003370089907E-2</v>
      </c>
      <c r="F38" s="34">
        <v>17171.949218999998</v>
      </c>
      <c r="G38" s="35">
        <f t="shared" si="1"/>
        <v>-1.7378533285170805E-2</v>
      </c>
    </row>
    <row r="39" spans="2:17" x14ac:dyDescent="0.3">
      <c r="B39" s="132">
        <v>44676</v>
      </c>
      <c r="C39" s="34">
        <v>1079.25</v>
      </c>
      <c r="D39" s="35">
        <f t="shared" si="0"/>
        <v>-2.0688760025634689E-2</v>
      </c>
      <c r="F39" s="34">
        <v>17102.550781000002</v>
      </c>
      <c r="G39" s="35">
        <f t="shared" si="1"/>
        <v>-4.041383835634127E-3</v>
      </c>
    </row>
    <row r="40" spans="2:17" x14ac:dyDescent="0.3">
      <c r="B40" s="132">
        <v>44683</v>
      </c>
      <c r="C40" s="34">
        <v>1050.1999510000001</v>
      </c>
      <c r="D40" s="35">
        <f t="shared" si="0"/>
        <v>-2.6916885800324253E-2</v>
      </c>
      <c r="F40" s="34">
        <v>16411.25</v>
      </c>
      <c r="G40" s="35">
        <f t="shared" si="1"/>
        <v>-4.0420916730619982E-2</v>
      </c>
    </row>
    <row r="41" spans="2:17" x14ac:dyDescent="0.3">
      <c r="B41" s="132">
        <v>44690</v>
      </c>
      <c r="C41" s="34">
        <v>1052.150024</v>
      </c>
      <c r="D41" s="35">
        <f t="shared" si="0"/>
        <v>1.8568587802190173E-3</v>
      </c>
      <c r="F41" s="34">
        <v>15782.150390999999</v>
      </c>
      <c r="G41" s="35">
        <f t="shared" si="1"/>
        <v>-3.8333436453652281E-2</v>
      </c>
    </row>
    <row r="42" spans="2:17" x14ac:dyDescent="0.3">
      <c r="B42" s="132">
        <v>44697</v>
      </c>
      <c r="C42" s="34">
        <v>1028.849976</v>
      </c>
      <c r="D42" s="35">
        <f t="shared" si="0"/>
        <v>-2.2145176513344911E-2</v>
      </c>
      <c r="F42" s="34">
        <v>16266.150390999999</v>
      </c>
      <c r="G42" s="35">
        <f t="shared" si="1"/>
        <v>3.0667557209187901E-2</v>
      </c>
    </row>
    <row r="43" spans="2:17" x14ac:dyDescent="0.3">
      <c r="B43" s="132">
        <v>44704</v>
      </c>
      <c r="C43" s="34">
        <v>1003.900024</v>
      </c>
      <c r="D43" s="35">
        <f t="shared" si="0"/>
        <v>-2.4250330545762644E-2</v>
      </c>
      <c r="F43" s="34">
        <v>16352.450194999999</v>
      </c>
      <c r="G43" s="35">
        <f t="shared" si="1"/>
        <v>5.3054842064996777E-3</v>
      </c>
    </row>
    <row r="44" spans="2:17" x14ac:dyDescent="0.3">
      <c r="B44" s="132">
        <v>44711</v>
      </c>
      <c r="C44" s="34">
        <v>1043</v>
      </c>
      <c r="D44" s="35">
        <f t="shared" si="0"/>
        <v>3.8948077562751315E-2</v>
      </c>
      <c r="F44" s="34">
        <v>16584.300781000002</v>
      </c>
      <c r="G44" s="35">
        <f t="shared" si="1"/>
        <v>1.4178339223494207E-2</v>
      </c>
    </row>
    <row r="45" spans="2:17" x14ac:dyDescent="0.3">
      <c r="B45" s="132">
        <v>44718</v>
      </c>
      <c r="C45" s="34">
        <v>1015.349976</v>
      </c>
      <c r="D45" s="35">
        <f t="shared" si="0"/>
        <v>-2.6510090124640451E-2</v>
      </c>
      <c r="F45" s="34">
        <v>16201.799805000001</v>
      </c>
      <c r="G45" s="35">
        <f t="shared" si="1"/>
        <v>-2.3064039964724836E-2</v>
      </c>
    </row>
    <row r="46" spans="2:17" x14ac:dyDescent="0.3">
      <c r="B46" s="132">
        <v>44725</v>
      </c>
      <c r="C46" s="34">
        <v>958.75</v>
      </c>
      <c r="D46" s="35">
        <f t="shared" si="0"/>
        <v>-5.5744302297595194E-2</v>
      </c>
      <c r="F46" s="34">
        <v>15293.5</v>
      </c>
      <c r="G46" s="35">
        <f t="shared" si="1"/>
        <v>-5.606166079892505E-2</v>
      </c>
    </row>
    <row r="47" spans="2:17" x14ac:dyDescent="0.3">
      <c r="B47" s="132">
        <v>44732</v>
      </c>
      <c r="C47" s="34">
        <v>966.70001200000002</v>
      </c>
      <c r="D47" s="35">
        <f t="shared" si="0"/>
        <v>8.2920594524120705E-3</v>
      </c>
      <c r="F47" s="34">
        <v>15699.25</v>
      </c>
      <c r="G47" s="35">
        <f t="shared" si="1"/>
        <v>2.6530879131657192E-2</v>
      </c>
    </row>
    <row r="48" spans="2:17" x14ac:dyDescent="0.3">
      <c r="B48" s="132">
        <v>44739</v>
      </c>
      <c r="C48" s="34">
        <v>975.34997599999997</v>
      </c>
      <c r="D48" s="35">
        <f t="shared" si="0"/>
        <v>8.9479299603028029E-3</v>
      </c>
      <c r="F48" s="34">
        <v>15752.049805000001</v>
      </c>
      <c r="G48" s="35">
        <f t="shared" si="1"/>
        <v>3.3632055671448668E-3</v>
      </c>
    </row>
    <row r="49" spans="2:7" x14ac:dyDescent="0.3">
      <c r="B49" s="132">
        <v>44746</v>
      </c>
      <c r="C49" s="34">
        <v>983.54998799999998</v>
      </c>
      <c r="D49" s="35">
        <f t="shared" si="0"/>
        <v>8.4072509373804838E-3</v>
      </c>
      <c r="F49" s="34">
        <v>16220.599609000001</v>
      </c>
      <c r="G49" s="35">
        <f t="shared" si="1"/>
        <v>2.9745322659611828E-2</v>
      </c>
    </row>
    <row r="50" spans="2:7" x14ac:dyDescent="0.3">
      <c r="B50" s="132">
        <v>44753</v>
      </c>
      <c r="C50" s="34">
        <v>883.15002400000003</v>
      </c>
      <c r="D50" s="35">
        <f t="shared" si="0"/>
        <v>-0.10207916753083213</v>
      </c>
      <c r="F50" s="34">
        <v>16049.200194999999</v>
      </c>
      <c r="G50" s="35">
        <f t="shared" si="1"/>
        <v>-1.0566774233481513E-2</v>
      </c>
    </row>
    <row r="51" spans="2:7" x14ac:dyDescent="0.3">
      <c r="B51" s="132">
        <v>44760</v>
      </c>
      <c r="C51" s="34">
        <v>920.25</v>
      </c>
      <c r="D51" s="35">
        <f t="shared" si="0"/>
        <v>4.2008690473635646E-2</v>
      </c>
      <c r="F51" s="34">
        <v>16719.449218999998</v>
      </c>
      <c r="G51" s="35">
        <f t="shared" si="1"/>
        <v>4.1762144895470144E-2</v>
      </c>
    </row>
    <row r="52" spans="2:7" x14ac:dyDescent="0.3">
      <c r="B52" s="132">
        <v>44767</v>
      </c>
      <c r="C52" s="34">
        <v>948.40002400000003</v>
      </c>
      <c r="D52" s="35">
        <f t="shared" si="0"/>
        <v>3.0589539798967724E-2</v>
      </c>
      <c r="F52" s="34">
        <v>17158.25</v>
      </c>
      <c r="G52" s="35">
        <f t="shared" si="1"/>
        <v>2.6244930395275645E-2</v>
      </c>
    </row>
    <row r="53" spans="2:7" x14ac:dyDescent="0.3">
      <c r="B53" s="132">
        <v>44774</v>
      </c>
      <c r="C53" s="34">
        <v>957.75</v>
      </c>
      <c r="D53" s="35">
        <f t="shared" si="0"/>
        <v>9.8586838500542839E-3</v>
      </c>
      <c r="F53" s="34">
        <v>17397.5</v>
      </c>
      <c r="G53" s="35">
        <f t="shared" si="1"/>
        <v>1.3943729692713402E-2</v>
      </c>
    </row>
    <row r="54" spans="2:7" x14ac:dyDescent="0.3">
      <c r="B54" s="132">
        <v>44781</v>
      </c>
      <c r="C54" s="34">
        <v>956.40002400000003</v>
      </c>
      <c r="D54" s="35">
        <f t="shared" si="0"/>
        <v>-1.4095285826154491E-3</v>
      </c>
      <c r="F54" s="34">
        <v>17698.150390999999</v>
      </c>
      <c r="G54" s="35">
        <f t="shared" si="1"/>
        <v>1.7281241040379314E-2</v>
      </c>
    </row>
    <row r="55" spans="2:7" x14ac:dyDescent="0.3">
      <c r="B55" s="132">
        <v>44788</v>
      </c>
      <c r="C55" s="34">
        <v>970.04998799999998</v>
      </c>
      <c r="D55" s="35">
        <f t="shared" si="0"/>
        <v>1.4272233017007974E-2</v>
      </c>
      <c r="F55" s="34">
        <v>17758.449218999998</v>
      </c>
      <c r="G55" s="35">
        <f t="shared" si="1"/>
        <v>3.4070694771959342E-3</v>
      </c>
    </row>
    <row r="56" spans="2:7" x14ac:dyDescent="0.3">
      <c r="B56" s="132">
        <v>44795</v>
      </c>
      <c r="C56" s="34">
        <v>945.65002400000003</v>
      </c>
      <c r="D56" s="35">
        <f t="shared" si="0"/>
        <v>-2.5153305810875382E-2</v>
      </c>
      <c r="F56" s="34">
        <v>17558.900390999999</v>
      </c>
      <c r="G56" s="35">
        <f t="shared" si="1"/>
        <v>-1.1236838619134604E-2</v>
      </c>
    </row>
    <row r="57" spans="2:7" x14ac:dyDescent="0.3">
      <c r="B57" s="132">
        <v>44802</v>
      </c>
      <c r="C57" s="34">
        <v>924.45001200000002</v>
      </c>
      <c r="D57" s="35">
        <f t="shared" si="0"/>
        <v>-2.2418454461964887E-2</v>
      </c>
      <c r="F57" s="34">
        <v>17539.449218999998</v>
      </c>
      <c r="G57" s="35">
        <f t="shared" si="1"/>
        <v>-1.1077670905844661E-3</v>
      </c>
    </row>
    <row r="58" spans="2:7" x14ac:dyDescent="0.3">
      <c r="B58" s="132">
        <v>44809</v>
      </c>
      <c r="C58" s="34">
        <v>948.5</v>
      </c>
      <c r="D58" s="35">
        <f t="shared" si="0"/>
        <v>2.6015455338649573E-2</v>
      </c>
      <c r="F58" s="34">
        <v>17833.349609000001</v>
      </c>
      <c r="G58" s="35">
        <f t="shared" si="1"/>
        <v>1.6756534730955508E-2</v>
      </c>
    </row>
    <row r="59" spans="2:7" x14ac:dyDescent="0.3">
      <c r="B59" s="132">
        <v>44816</v>
      </c>
      <c r="C59" s="34">
        <v>896.90002400000003</v>
      </c>
      <c r="D59" s="35">
        <f t="shared" si="0"/>
        <v>-5.4401661570901427E-2</v>
      </c>
      <c r="F59" s="34">
        <v>17530.849609000001</v>
      </c>
      <c r="G59" s="35">
        <f t="shared" si="1"/>
        <v>-1.6962601341440453E-2</v>
      </c>
    </row>
    <row r="60" spans="2:7" x14ac:dyDescent="0.3">
      <c r="B60" s="132">
        <v>44823</v>
      </c>
      <c r="C60" s="34">
        <v>895.84997599999997</v>
      </c>
      <c r="D60" s="35">
        <f t="shared" si="0"/>
        <v>-1.1707525609343516E-3</v>
      </c>
      <c r="F60" s="34">
        <v>17327.349609000001</v>
      </c>
      <c r="G60" s="35">
        <f t="shared" si="1"/>
        <v>-1.1608108251383698E-2</v>
      </c>
    </row>
    <row r="61" spans="2:7" x14ac:dyDescent="0.3">
      <c r="B61" s="132">
        <v>44830</v>
      </c>
      <c r="C61" s="34">
        <v>932.34997599999997</v>
      </c>
      <c r="D61" s="35">
        <f t="shared" si="0"/>
        <v>4.0743429120770447E-2</v>
      </c>
      <c r="F61" s="34">
        <v>17094.349609000001</v>
      </c>
      <c r="G61" s="35">
        <f t="shared" si="1"/>
        <v>-1.3446949779265527E-2</v>
      </c>
    </row>
    <row r="62" spans="2:7" x14ac:dyDescent="0.3">
      <c r="B62" s="132">
        <v>44837</v>
      </c>
      <c r="C62" s="34">
        <v>957.70001200000002</v>
      </c>
      <c r="D62" s="35">
        <f t="shared" si="0"/>
        <v>2.718939953080457E-2</v>
      </c>
      <c r="F62" s="34">
        <v>17314.650390999999</v>
      </c>
      <c r="G62" s="35">
        <f t="shared" si="1"/>
        <v>1.2887345060733635E-2</v>
      </c>
    </row>
    <row r="63" spans="2:7" x14ac:dyDescent="0.3">
      <c r="B63" s="132">
        <v>44844</v>
      </c>
      <c r="C63" s="34">
        <v>1002.549988</v>
      </c>
      <c r="D63" s="35">
        <f t="shared" si="0"/>
        <v>4.6830923502170663E-2</v>
      </c>
      <c r="F63" s="34">
        <v>17185.699218999998</v>
      </c>
      <c r="G63" s="35">
        <f t="shared" si="1"/>
        <v>-7.4475180894804094E-3</v>
      </c>
    </row>
    <row r="64" spans="2:7" x14ac:dyDescent="0.3">
      <c r="B64" s="132">
        <v>44851</v>
      </c>
      <c r="C64" s="34">
        <v>1027.1999510000001</v>
      </c>
      <c r="D64" s="35">
        <f t="shared" si="0"/>
        <v>2.4587265767340494E-2</v>
      </c>
      <c r="F64" s="34">
        <v>17576.300781000002</v>
      </c>
      <c r="G64" s="35">
        <f t="shared" si="1"/>
        <v>2.2728290366455628E-2</v>
      </c>
    </row>
    <row r="65" spans="2:7" x14ac:dyDescent="0.3">
      <c r="B65" s="132">
        <v>44858</v>
      </c>
      <c r="C65" s="34">
        <v>1030</v>
      </c>
      <c r="D65" s="35">
        <f t="shared" si="0"/>
        <v>2.7259045303438256E-3</v>
      </c>
      <c r="F65" s="34">
        <v>17786.800781000002</v>
      </c>
      <c r="G65" s="35">
        <f t="shared" si="1"/>
        <v>1.197635399068453E-2</v>
      </c>
    </row>
    <row r="66" spans="2:7" x14ac:dyDescent="0.3">
      <c r="B66" s="132">
        <v>44865</v>
      </c>
      <c r="C66" s="34">
        <v>1045.349976</v>
      </c>
      <c r="D66" s="35">
        <f t="shared" si="0"/>
        <v>1.4902889320388413E-2</v>
      </c>
      <c r="F66" s="34">
        <v>18117.150390999999</v>
      </c>
      <c r="G66" s="35">
        <f t="shared" si="1"/>
        <v>1.8572739081492262E-2</v>
      </c>
    </row>
    <row r="67" spans="2:7" x14ac:dyDescent="0.3">
      <c r="B67" s="132">
        <v>44872</v>
      </c>
      <c r="C67" s="34">
        <v>1090.650024</v>
      </c>
      <c r="D67" s="35">
        <f t="shared" si="0"/>
        <v>4.3334815171986119E-2</v>
      </c>
      <c r="F67" s="34">
        <v>18349.699218999998</v>
      </c>
      <c r="G67" s="35">
        <f t="shared" si="1"/>
        <v>1.2835839134808014E-2</v>
      </c>
    </row>
    <row r="68" spans="2:7" x14ac:dyDescent="0.3">
      <c r="B68" s="132">
        <v>44879</v>
      </c>
      <c r="C68" s="34">
        <v>1103.150024</v>
      </c>
      <c r="D68" s="35">
        <f t="shared" si="0"/>
        <v>1.1461055081771976E-2</v>
      </c>
      <c r="F68" s="34">
        <v>18307.650390999999</v>
      </c>
      <c r="G68" s="35">
        <f t="shared" si="1"/>
        <v>-2.2915268254892762E-3</v>
      </c>
    </row>
    <row r="69" spans="2:7" x14ac:dyDescent="0.3">
      <c r="B69" s="132">
        <v>44886</v>
      </c>
      <c r="C69" s="34">
        <v>1128.1999510000001</v>
      </c>
      <c r="D69" s="35">
        <f t="shared" si="0"/>
        <v>2.2707634007176569E-2</v>
      </c>
      <c r="F69" s="34">
        <v>18512.75</v>
      </c>
      <c r="G69" s="35">
        <f t="shared" si="1"/>
        <v>1.1202945469224623E-2</v>
      </c>
    </row>
    <row r="70" spans="2:7" x14ac:dyDescent="0.3">
      <c r="B70" s="132">
        <v>44893</v>
      </c>
      <c r="C70" s="34">
        <v>1135.5500489999999</v>
      </c>
      <c r="D70" s="35">
        <f t="shared" si="0"/>
        <v>6.5148894869964113E-3</v>
      </c>
      <c r="F70" s="34">
        <v>18696.099609000001</v>
      </c>
      <c r="G70" s="35">
        <f t="shared" si="1"/>
        <v>9.9039639707769744E-3</v>
      </c>
    </row>
    <row r="71" spans="2:7" x14ac:dyDescent="0.3">
      <c r="B71" s="132">
        <v>44900</v>
      </c>
      <c r="C71" s="34">
        <v>1027.5</v>
      </c>
      <c r="D71" s="35">
        <f t="shared" si="0"/>
        <v>-9.515216796930448E-2</v>
      </c>
      <c r="F71" s="34">
        <v>18496.599609000001</v>
      </c>
      <c r="G71" s="35">
        <f t="shared" si="1"/>
        <v>-1.0670674855838058E-2</v>
      </c>
    </row>
    <row r="72" spans="2:7" x14ac:dyDescent="0.3">
      <c r="B72" s="132">
        <v>44907</v>
      </c>
      <c r="C72" s="34">
        <v>1029.650024</v>
      </c>
      <c r="D72" s="35">
        <f t="shared" si="0"/>
        <v>2.0924807785889232E-3</v>
      </c>
      <c r="F72" s="34">
        <v>18269</v>
      </c>
      <c r="G72" s="35">
        <f t="shared" si="1"/>
        <v>-1.2304943276668867E-2</v>
      </c>
    </row>
    <row r="73" spans="2:7" x14ac:dyDescent="0.3">
      <c r="B73" s="132">
        <v>44914</v>
      </c>
      <c r="C73" s="34">
        <v>1030.599976</v>
      </c>
      <c r="D73" s="35">
        <f t="shared" ref="D73:D111" si="2">C73/C72-1</f>
        <v>9.225969774755427E-4</v>
      </c>
      <c r="F73" s="34">
        <v>17806.800781000002</v>
      </c>
      <c r="G73" s="35">
        <f t="shared" ref="G73:G111" si="3">F73/F72-1</f>
        <v>-2.529964524604511E-2</v>
      </c>
    </row>
    <row r="74" spans="2:7" x14ac:dyDescent="0.3">
      <c r="B74" s="132">
        <v>44921</v>
      </c>
      <c r="C74" s="34">
        <v>1039.3000489999999</v>
      </c>
      <c r="D74" s="35">
        <f t="shared" si="2"/>
        <v>8.4417554847682208E-3</v>
      </c>
      <c r="F74" s="34">
        <v>18105.300781000002</v>
      </c>
      <c r="G74" s="35">
        <f t="shared" si="3"/>
        <v>1.6763258244484991E-2</v>
      </c>
    </row>
    <row r="75" spans="2:7" x14ac:dyDescent="0.3">
      <c r="B75" s="132">
        <v>44928</v>
      </c>
      <c r="C75" s="34">
        <v>1032.8000489999999</v>
      </c>
      <c r="D75" s="35">
        <f t="shared" si="2"/>
        <v>-6.2542092692617901E-3</v>
      </c>
      <c r="F75" s="34">
        <v>17859.449218999998</v>
      </c>
      <c r="G75" s="35">
        <f t="shared" si="3"/>
        <v>-1.3578982474458767E-2</v>
      </c>
    </row>
    <row r="76" spans="2:7" x14ac:dyDescent="0.3">
      <c r="B76" s="132">
        <v>44935</v>
      </c>
      <c r="C76" s="34">
        <v>1077.8000489999999</v>
      </c>
      <c r="D76" s="35">
        <f t="shared" si="2"/>
        <v>4.3570873223302886E-2</v>
      </c>
      <c r="F76" s="34">
        <v>17956.599609000001</v>
      </c>
      <c r="G76" s="35">
        <f t="shared" si="3"/>
        <v>5.4397192661825855E-3</v>
      </c>
    </row>
    <row r="77" spans="2:7" x14ac:dyDescent="0.3">
      <c r="B77" s="132">
        <v>44942</v>
      </c>
      <c r="C77" s="34">
        <v>1107.8000489999999</v>
      </c>
      <c r="D77" s="35">
        <f t="shared" si="2"/>
        <v>2.7834476374198003E-2</v>
      </c>
      <c r="F77" s="34">
        <v>18027.650390999999</v>
      </c>
      <c r="G77" s="35">
        <f t="shared" si="3"/>
        <v>3.9568060516528281E-3</v>
      </c>
    </row>
    <row r="78" spans="2:7" x14ac:dyDescent="0.3">
      <c r="B78" s="132">
        <v>44949</v>
      </c>
      <c r="C78" s="34">
        <v>1115.599976</v>
      </c>
      <c r="D78" s="35">
        <f t="shared" si="2"/>
        <v>7.0409159189339654E-3</v>
      </c>
      <c r="F78" s="34">
        <v>17604.349609000001</v>
      </c>
      <c r="G78" s="35">
        <f t="shared" si="3"/>
        <v>-2.3480640727941093E-2</v>
      </c>
    </row>
    <row r="79" spans="2:7" x14ac:dyDescent="0.3">
      <c r="B79" s="132">
        <v>44956</v>
      </c>
      <c r="C79" s="34">
        <v>1146.150024</v>
      </c>
      <c r="D79" s="35">
        <f t="shared" si="2"/>
        <v>2.7384410771984502E-2</v>
      </c>
      <c r="F79" s="34">
        <v>17854.050781000002</v>
      </c>
      <c r="G79" s="35">
        <f t="shared" si="3"/>
        <v>1.4184061186352848E-2</v>
      </c>
    </row>
    <row r="80" spans="2:7" x14ac:dyDescent="0.3">
      <c r="B80" s="132">
        <v>44963</v>
      </c>
      <c r="C80" s="34">
        <v>1115.650024</v>
      </c>
      <c r="D80" s="35">
        <f t="shared" si="2"/>
        <v>-2.661082699589068E-2</v>
      </c>
      <c r="F80" s="34">
        <v>17856.5</v>
      </c>
      <c r="G80" s="35">
        <f t="shared" si="3"/>
        <v>1.371800175793414E-4</v>
      </c>
    </row>
    <row r="81" spans="2:7" x14ac:dyDescent="0.3">
      <c r="B81" s="132">
        <v>44970</v>
      </c>
      <c r="C81" s="34">
        <v>1109.5500489999999</v>
      </c>
      <c r="D81" s="35">
        <f t="shared" si="2"/>
        <v>-5.4676420640672463E-3</v>
      </c>
      <c r="F81" s="34">
        <v>17944.199218999998</v>
      </c>
      <c r="G81" s="35">
        <f t="shared" si="3"/>
        <v>4.9113330719905424E-3</v>
      </c>
    </row>
    <row r="82" spans="2:7" x14ac:dyDescent="0.3">
      <c r="B82" s="132">
        <v>44977</v>
      </c>
      <c r="C82" s="34">
        <v>1094.849976</v>
      </c>
      <c r="D82" s="35">
        <f t="shared" si="2"/>
        <v>-1.3248679510445394E-2</v>
      </c>
      <c r="F82" s="34">
        <v>17465.800781000002</v>
      </c>
      <c r="G82" s="35">
        <f t="shared" si="3"/>
        <v>-2.6660339208308015E-2</v>
      </c>
    </row>
    <row r="83" spans="2:7" x14ac:dyDescent="0.3">
      <c r="B83" s="132">
        <v>44984</v>
      </c>
      <c r="C83" s="34">
        <v>1119</v>
      </c>
      <c r="D83" s="35">
        <f t="shared" si="2"/>
        <v>2.2057838543533936E-2</v>
      </c>
      <c r="F83" s="34">
        <v>17594.349609000001</v>
      </c>
      <c r="G83" s="35">
        <f t="shared" si="3"/>
        <v>7.3600305884538031E-3</v>
      </c>
    </row>
    <row r="84" spans="2:7" x14ac:dyDescent="0.3">
      <c r="B84" s="132">
        <v>44991</v>
      </c>
      <c r="C84" s="34">
        <v>1116.3000489999999</v>
      </c>
      <c r="D84" s="35">
        <f t="shared" si="2"/>
        <v>-2.4128248436103839E-3</v>
      </c>
      <c r="F84" s="34">
        <v>17412.900390999999</v>
      </c>
      <c r="G84" s="35">
        <f t="shared" si="3"/>
        <v>-1.0312925571695164E-2</v>
      </c>
    </row>
    <row r="85" spans="2:7" x14ac:dyDescent="0.3">
      <c r="B85" s="132">
        <v>44998</v>
      </c>
      <c r="C85" s="34">
        <v>1108.4499510000001</v>
      </c>
      <c r="D85" s="35">
        <f t="shared" si="2"/>
        <v>-7.0322472950100634E-3</v>
      </c>
      <c r="F85" s="34">
        <v>17100.050781000002</v>
      </c>
      <c r="G85" s="35">
        <f t="shared" si="3"/>
        <v>-1.7966542217268788E-2</v>
      </c>
    </row>
    <row r="86" spans="2:7" x14ac:dyDescent="0.3">
      <c r="B86" s="132">
        <v>45005</v>
      </c>
      <c r="C86" s="34">
        <v>1051.75</v>
      </c>
      <c r="D86" s="35">
        <f t="shared" si="2"/>
        <v>-5.1152468317444133E-2</v>
      </c>
      <c r="F86" s="34">
        <v>16945.050781000002</v>
      </c>
      <c r="G86" s="35">
        <f t="shared" si="3"/>
        <v>-9.0643005675878907E-3</v>
      </c>
    </row>
    <row r="87" spans="2:7" x14ac:dyDescent="0.3">
      <c r="B87" s="132">
        <v>45012</v>
      </c>
      <c r="C87" s="34">
        <v>1085.25</v>
      </c>
      <c r="D87" s="35">
        <f t="shared" si="2"/>
        <v>3.1851675778464372E-2</v>
      </c>
      <c r="F87" s="34">
        <v>17359.75</v>
      </c>
      <c r="G87" s="35">
        <f t="shared" si="3"/>
        <v>2.4473176525678486E-2</v>
      </c>
    </row>
    <row r="88" spans="2:7" x14ac:dyDescent="0.3">
      <c r="B88" s="132">
        <v>45019</v>
      </c>
      <c r="C88" s="34">
        <v>1091.849976</v>
      </c>
      <c r="D88" s="35">
        <f t="shared" si="2"/>
        <v>6.0815259156876689E-3</v>
      </c>
      <c r="F88" s="34">
        <v>17599.150390999999</v>
      </c>
      <c r="G88" s="35">
        <f t="shared" si="3"/>
        <v>1.3790543700226143E-2</v>
      </c>
    </row>
    <row r="89" spans="2:7" x14ac:dyDescent="0.3">
      <c r="B89" s="132">
        <v>45026</v>
      </c>
      <c r="C89" s="34">
        <v>1071.849976</v>
      </c>
      <c r="D89" s="35">
        <f t="shared" si="2"/>
        <v>-1.8317534862500207E-2</v>
      </c>
      <c r="F89" s="34">
        <v>17828</v>
      </c>
      <c r="G89" s="35">
        <f t="shared" si="3"/>
        <v>1.3003446411653519E-2</v>
      </c>
    </row>
    <row r="90" spans="2:7" x14ac:dyDescent="0.3">
      <c r="B90" s="132">
        <v>45033</v>
      </c>
      <c r="C90" s="34">
        <v>1048.9499510000001</v>
      </c>
      <c r="D90" s="35">
        <f t="shared" si="2"/>
        <v>-2.1364953596826775E-2</v>
      </c>
      <c r="F90" s="34">
        <v>17624.050781000002</v>
      </c>
      <c r="G90" s="35">
        <f t="shared" si="3"/>
        <v>-1.1439826060130054E-2</v>
      </c>
    </row>
    <row r="91" spans="2:7" x14ac:dyDescent="0.3">
      <c r="B91" s="132">
        <v>45040</v>
      </c>
      <c r="C91" s="34">
        <v>1064.099976</v>
      </c>
      <c r="D91" s="35">
        <f t="shared" si="2"/>
        <v>1.4443038951054588E-2</v>
      </c>
      <c r="F91" s="34">
        <v>18065</v>
      </c>
      <c r="G91" s="35">
        <f t="shared" si="3"/>
        <v>2.5019742877464557E-2</v>
      </c>
    </row>
    <row r="92" spans="2:7" x14ac:dyDescent="0.3">
      <c r="B92" s="132">
        <v>45047</v>
      </c>
      <c r="C92" s="34">
        <v>1055.5500489999999</v>
      </c>
      <c r="D92" s="35">
        <f t="shared" si="2"/>
        <v>-8.0348906990296287E-3</v>
      </c>
      <c r="F92" s="34">
        <v>18069</v>
      </c>
      <c r="G92" s="35">
        <f t="shared" si="3"/>
        <v>2.2142264046509652E-4</v>
      </c>
    </row>
    <row r="93" spans="2:7" x14ac:dyDescent="0.3">
      <c r="B93" s="132">
        <v>45054</v>
      </c>
      <c r="C93" s="34">
        <v>1095.5</v>
      </c>
      <c r="D93" s="35">
        <f t="shared" si="2"/>
        <v>3.7847519440549204E-2</v>
      </c>
      <c r="F93" s="34">
        <v>18314.800781000002</v>
      </c>
      <c r="G93" s="35">
        <f t="shared" si="3"/>
        <v>1.3603452376999448E-2</v>
      </c>
    </row>
    <row r="94" spans="2:7" x14ac:dyDescent="0.3">
      <c r="B94" s="132">
        <v>45061</v>
      </c>
      <c r="C94" s="34">
        <v>1095.349976</v>
      </c>
      <c r="D94" s="35">
        <f t="shared" si="2"/>
        <v>-1.3694568690103548E-4</v>
      </c>
      <c r="F94" s="34">
        <v>18203.400390999999</v>
      </c>
      <c r="G94" s="35">
        <f t="shared" si="3"/>
        <v>-6.0825335384249168E-3</v>
      </c>
    </row>
    <row r="95" spans="2:7" x14ac:dyDescent="0.3">
      <c r="B95" s="132">
        <v>45068</v>
      </c>
      <c r="C95" s="34">
        <v>1139.1999510000001</v>
      </c>
      <c r="D95" s="35">
        <f t="shared" si="2"/>
        <v>4.0032844260545319E-2</v>
      </c>
      <c r="F95" s="34">
        <v>18499.349609000001</v>
      </c>
      <c r="G95" s="35">
        <f t="shared" si="3"/>
        <v>1.6257908502980811E-2</v>
      </c>
    </row>
    <row r="96" spans="2:7" x14ac:dyDescent="0.3">
      <c r="B96" s="132">
        <v>45075</v>
      </c>
      <c r="C96" s="34">
        <v>1137.0500489999999</v>
      </c>
      <c r="D96" s="35">
        <f t="shared" si="2"/>
        <v>-1.887203381735536E-3</v>
      </c>
      <c r="F96" s="34">
        <v>18534.099609000001</v>
      </c>
      <c r="G96" s="35">
        <f t="shared" si="3"/>
        <v>1.8784444174779757E-3</v>
      </c>
    </row>
    <row r="97" spans="2:7" x14ac:dyDescent="0.3">
      <c r="B97" s="132">
        <v>45082</v>
      </c>
      <c r="C97" s="34">
        <v>1109.75</v>
      </c>
      <c r="D97" s="35">
        <f t="shared" si="2"/>
        <v>-2.4009540322353917E-2</v>
      </c>
      <c r="F97" s="34">
        <v>18563.400390999999</v>
      </c>
      <c r="G97" s="35">
        <f t="shared" si="3"/>
        <v>1.5809120819534339E-3</v>
      </c>
    </row>
    <row r="98" spans="2:7" x14ac:dyDescent="0.3">
      <c r="B98" s="132">
        <v>45089</v>
      </c>
      <c r="C98" s="34">
        <v>1148.1999510000001</v>
      </c>
      <c r="D98" s="35">
        <f t="shared" si="2"/>
        <v>3.4647398963730591E-2</v>
      </c>
      <c r="F98" s="34">
        <v>18826</v>
      </c>
      <c r="G98" s="35">
        <f t="shared" si="3"/>
        <v>1.4146094113625551E-2</v>
      </c>
    </row>
    <row r="99" spans="2:7" x14ac:dyDescent="0.3">
      <c r="B99" s="132">
        <v>45096</v>
      </c>
      <c r="C99" s="34">
        <v>1165.150024</v>
      </c>
      <c r="D99" s="35">
        <f t="shared" si="2"/>
        <v>1.4762300751918422E-2</v>
      </c>
      <c r="F99" s="34">
        <v>18665.5</v>
      </c>
      <c r="G99" s="35">
        <f t="shared" si="3"/>
        <v>-8.5254435355359703E-3</v>
      </c>
    </row>
    <row r="100" spans="2:7" x14ac:dyDescent="0.3">
      <c r="B100" s="132">
        <v>45103</v>
      </c>
      <c r="C100" s="34">
        <v>1187.9499510000001</v>
      </c>
      <c r="D100" s="35">
        <f t="shared" si="2"/>
        <v>1.9568232871615132E-2</v>
      </c>
      <c r="F100" s="34">
        <v>19189.050781000002</v>
      </c>
      <c r="G100" s="35">
        <f t="shared" si="3"/>
        <v>2.804911633762841E-2</v>
      </c>
    </row>
    <row r="101" spans="2:7" x14ac:dyDescent="0.3">
      <c r="B101" s="132">
        <v>45110</v>
      </c>
      <c r="C101" s="34">
        <v>1157.599976</v>
      </c>
      <c r="D101" s="35">
        <f t="shared" si="2"/>
        <v>-2.5548193317784018E-2</v>
      </c>
      <c r="F101" s="34">
        <v>19331.800781000002</v>
      </c>
      <c r="G101" s="35">
        <f t="shared" si="3"/>
        <v>7.4391381642151533E-3</v>
      </c>
    </row>
    <row r="102" spans="2:7" x14ac:dyDescent="0.3">
      <c r="B102" s="132">
        <v>45117</v>
      </c>
      <c r="C102" s="34">
        <v>1150.9499510000001</v>
      </c>
      <c r="D102" s="35">
        <f t="shared" si="2"/>
        <v>-5.744665806731053E-3</v>
      </c>
      <c r="F102" s="34">
        <v>19564.5</v>
      </c>
      <c r="G102" s="35">
        <f t="shared" si="3"/>
        <v>1.2037120681933855E-2</v>
      </c>
    </row>
    <row r="103" spans="2:7" x14ac:dyDescent="0.3">
      <c r="B103" s="132">
        <v>45124</v>
      </c>
      <c r="C103" s="34">
        <v>1115.4499510000001</v>
      </c>
      <c r="D103" s="35">
        <f t="shared" si="2"/>
        <v>-3.084408663396343E-2</v>
      </c>
      <c r="F103" s="34">
        <v>19745</v>
      </c>
      <c r="G103" s="35">
        <f t="shared" si="3"/>
        <v>9.225893838329613E-3</v>
      </c>
    </row>
    <row r="104" spans="2:7" x14ac:dyDescent="0.3">
      <c r="B104" s="132">
        <v>45131</v>
      </c>
      <c r="C104" s="34">
        <v>1103.5500489999999</v>
      </c>
      <c r="D104" s="35">
        <f t="shared" si="2"/>
        <v>-1.066825274350669E-2</v>
      </c>
      <c r="F104" s="34">
        <v>19646.050781000002</v>
      </c>
      <c r="G104" s="35">
        <f t="shared" si="3"/>
        <v>-5.0113557356291638E-3</v>
      </c>
    </row>
    <row r="105" spans="2:7" x14ac:dyDescent="0.3">
      <c r="B105" s="132">
        <v>45138</v>
      </c>
      <c r="C105" s="34">
        <v>1144.349976</v>
      </c>
      <c r="D105" s="35">
        <f t="shared" si="2"/>
        <v>3.6971523889624658E-2</v>
      </c>
      <c r="F105" s="34">
        <v>19517</v>
      </c>
      <c r="G105" s="35">
        <f t="shared" si="3"/>
        <v>-6.568789953694365E-3</v>
      </c>
    </row>
    <row r="106" spans="2:7" x14ac:dyDescent="0.3">
      <c r="B106" s="132">
        <v>45145</v>
      </c>
      <c r="C106" s="34">
        <v>1171.4499510000001</v>
      </c>
      <c r="D106" s="35">
        <f t="shared" si="2"/>
        <v>2.3681544604672755E-2</v>
      </c>
      <c r="F106" s="34">
        <v>19428.300781000002</v>
      </c>
      <c r="G106" s="35">
        <f t="shared" si="3"/>
        <v>-4.5447158374749552E-3</v>
      </c>
    </row>
    <row r="107" spans="2:7" x14ac:dyDescent="0.3">
      <c r="B107" s="132">
        <v>45152</v>
      </c>
      <c r="C107" s="34">
        <v>1173.6999510000001</v>
      </c>
      <c r="D107" s="35">
        <f t="shared" si="2"/>
        <v>1.9206966529634606E-3</v>
      </c>
      <c r="F107" s="34">
        <v>19310.150390999999</v>
      </c>
      <c r="G107" s="35">
        <f t="shared" si="3"/>
        <v>-6.0813547891717112E-3</v>
      </c>
    </row>
    <row r="108" spans="2:7" x14ac:dyDescent="0.3">
      <c r="B108" s="132">
        <v>45159</v>
      </c>
      <c r="C108" s="34">
        <v>1153.9499510000001</v>
      </c>
      <c r="D108" s="35">
        <f t="shared" si="2"/>
        <v>-1.6827128588676188E-2</v>
      </c>
      <c r="F108" s="34">
        <v>19265.800781000002</v>
      </c>
      <c r="G108" s="35">
        <f t="shared" si="3"/>
        <v>-2.2966993576947203E-3</v>
      </c>
    </row>
    <row r="109" spans="2:7" x14ac:dyDescent="0.3">
      <c r="B109" s="132">
        <v>45166</v>
      </c>
      <c r="C109" s="34">
        <v>1185.8000489999999</v>
      </c>
      <c r="D109" s="35">
        <f t="shared" si="2"/>
        <v>2.7600935354604283E-2</v>
      </c>
      <c r="F109" s="34">
        <v>19435.300781000002</v>
      </c>
      <c r="G109" s="35">
        <f t="shared" si="3"/>
        <v>8.797973254616176E-3</v>
      </c>
    </row>
    <row r="110" spans="2:7" x14ac:dyDescent="0.3">
      <c r="B110" s="132">
        <v>45173</v>
      </c>
      <c r="C110" s="34">
        <v>1262.0500489999999</v>
      </c>
      <c r="D110" s="35">
        <f t="shared" si="2"/>
        <v>6.430257787921545E-2</v>
      </c>
      <c r="F110" s="34">
        <v>19819.949218999998</v>
      </c>
      <c r="G110" s="35">
        <f t="shared" si="3"/>
        <v>1.9791226404688889E-2</v>
      </c>
    </row>
    <row r="111" spans="2:7" x14ac:dyDescent="0.3">
      <c r="B111" s="132">
        <v>45180</v>
      </c>
      <c r="C111" s="34">
        <v>1304.599976</v>
      </c>
      <c r="D111" s="35">
        <f t="shared" si="2"/>
        <v>3.3714928368898667E-2</v>
      </c>
      <c r="F111" s="34">
        <v>20192.349609000001</v>
      </c>
      <c r="G111" s="35">
        <f t="shared" si="3"/>
        <v>1.8789169734249711E-2</v>
      </c>
    </row>
  </sheetData>
  <mergeCells count="3">
    <mergeCell ref="B4:D4"/>
    <mergeCell ref="F4:G4"/>
    <mergeCell ref="I4:K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47"/>
  <sheetViews>
    <sheetView showGridLines="0" topLeftCell="A34" workbookViewId="0">
      <selection activeCell="E30" sqref="E30"/>
    </sheetView>
  </sheetViews>
  <sheetFormatPr defaultRowHeight="14.4" x14ac:dyDescent="0.3"/>
  <cols>
    <col min="1" max="1" width="1.88671875" customWidth="1"/>
    <col min="2" max="2" width="18.88671875" customWidth="1"/>
    <col min="3" max="3" width="10" bestFit="1" customWidth="1"/>
    <col min="4" max="4" width="9.5546875" bestFit="1" customWidth="1"/>
    <col min="5" max="5" width="10.6640625" bestFit="1" customWidth="1"/>
    <col min="6" max="6" width="9.21875" bestFit="1" customWidth="1"/>
    <col min="7" max="7" width="22.88671875" customWidth="1"/>
    <col min="9" max="9" width="9.5546875" bestFit="1" customWidth="1"/>
  </cols>
  <sheetData>
    <row r="6" spans="2:10" ht="18" x14ac:dyDescent="0.35">
      <c r="B6" s="142" t="s">
        <v>309</v>
      </c>
      <c r="C6" s="143"/>
      <c r="D6" s="143"/>
      <c r="E6" s="143"/>
      <c r="F6" s="144"/>
      <c r="G6" s="144"/>
      <c r="H6" s="144"/>
      <c r="I6" s="144"/>
      <c r="J6" s="144"/>
    </row>
    <row r="8" spans="2:10" x14ac:dyDescent="0.3">
      <c r="B8" s="145" t="s">
        <v>310</v>
      </c>
    </row>
    <row r="10" spans="2:10" x14ac:dyDescent="0.3">
      <c r="B10" s="133" t="s">
        <v>311</v>
      </c>
    </row>
    <row r="11" spans="2:10" x14ac:dyDescent="0.3">
      <c r="B11" s="146"/>
      <c r="C11" s="146"/>
      <c r="D11" s="146"/>
      <c r="E11" s="146"/>
      <c r="F11" s="147"/>
      <c r="G11" s="147" t="s">
        <v>312</v>
      </c>
      <c r="H11" s="147" t="s">
        <v>312</v>
      </c>
      <c r="I11" s="147" t="s">
        <v>313</v>
      </c>
      <c r="J11" s="147" t="s">
        <v>314</v>
      </c>
    </row>
    <row r="12" spans="2:10" ht="16.2" x14ac:dyDescent="0.3">
      <c r="B12" s="148" t="s">
        <v>261</v>
      </c>
      <c r="C12" s="148" t="s">
        <v>315</v>
      </c>
      <c r="D12" s="149" t="s">
        <v>316</v>
      </c>
      <c r="E12" s="149" t="s">
        <v>317</v>
      </c>
      <c r="F12" s="149" t="s">
        <v>318</v>
      </c>
      <c r="G12" s="149" t="s">
        <v>319</v>
      </c>
      <c r="H12" s="149" t="s">
        <v>320</v>
      </c>
      <c r="I12" s="149" t="s">
        <v>321</v>
      </c>
      <c r="J12" s="149" t="s">
        <v>322</v>
      </c>
    </row>
    <row r="13" spans="2:10" x14ac:dyDescent="0.3">
      <c r="B13" s="150"/>
      <c r="C13" s="150"/>
      <c r="D13" s="150"/>
      <c r="E13" s="150"/>
      <c r="F13" s="150"/>
      <c r="G13" s="150"/>
      <c r="H13" s="150"/>
      <c r="I13" s="150"/>
      <c r="J13" s="150"/>
    </row>
    <row r="14" spans="2:10" x14ac:dyDescent="0.3">
      <c r="B14" s="182" t="s">
        <v>256</v>
      </c>
      <c r="C14" s="151" t="s">
        <v>323</v>
      </c>
      <c r="D14" s="152">
        <f>'Wacc data'!F4</f>
        <v>7688</v>
      </c>
      <c r="E14" s="152">
        <f>'Wacc data'!E4</f>
        <v>1316636.46</v>
      </c>
      <c r="F14" s="153">
        <v>0.3</v>
      </c>
      <c r="G14" s="154">
        <f>D14/E14</f>
        <v>5.8391213015626196E-3</v>
      </c>
      <c r="H14" s="154">
        <f>D14/(D14+E14)</f>
        <v>5.8052238950566538E-3</v>
      </c>
      <c r="I14" s="183">
        <v>0.911810661416668</v>
      </c>
      <c r="J14" s="156">
        <f>I14/(1+(1-F14)*G14)</f>
        <v>0.908098911627501</v>
      </c>
    </row>
    <row r="15" spans="2:10" x14ac:dyDescent="0.3">
      <c r="B15" s="182" t="s">
        <v>257</v>
      </c>
      <c r="C15" s="151" t="s">
        <v>323</v>
      </c>
      <c r="D15" s="152">
        <f>'Wacc data'!F5</f>
        <v>8483</v>
      </c>
      <c r="E15" s="152">
        <f>'Wacc data'!E5</f>
        <v>627368.09</v>
      </c>
      <c r="F15" s="153">
        <v>0.3</v>
      </c>
      <c r="G15" s="154">
        <f t="shared" ref="G15:G18" si="0">D15/E15</f>
        <v>1.3521567537807032E-2</v>
      </c>
      <c r="H15" s="154">
        <f t="shared" ref="H15:H18" si="1">D15/(D15+E15)</f>
        <v>1.3341173953165671E-2</v>
      </c>
      <c r="I15" s="184">
        <v>1.02548296113617</v>
      </c>
      <c r="J15" s="156">
        <f t="shared" ref="J15:J18" si="2">I15/(1+(1-F15)*G15)</f>
        <v>1.015867674774414</v>
      </c>
    </row>
    <row r="16" spans="2:10" x14ac:dyDescent="0.3">
      <c r="B16" s="182" t="s">
        <v>247</v>
      </c>
      <c r="C16" s="151" t="s">
        <v>323</v>
      </c>
      <c r="D16" s="152">
        <f>'Wacc data'!F6</f>
        <v>4794</v>
      </c>
      <c r="E16" s="152">
        <f>'Wacc data'!E6</f>
        <v>354024.75</v>
      </c>
      <c r="F16" s="153">
        <v>0.3</v>
      </c>
      <c r="G16" s="154">
        <f t="shared" si="0"/>
        <v>1.354142612910538E-2</v>
      </c>
      <c r="H16" s="154">
        <f t="shared" si="1"/>
        <v>1.3360505826409573E-2</v>
      </c>
      <c r="I16" s="155">
        <f>'Beta Regression'!K6</f>
        <v>0.94020658536493995</v>
      </c>
      <c r="J16" s="156">
        <f>I16/(1+(1-F16)*G16)</f>
        <v>0.93137805437978227</v>
      </c>
    </row>
    <row r="17" spans="2:10" x14ac:dyDescent="0.3">
      <c r="B17" s="182" t="s">
        <v>258</v>
      </c>
      <c r="C17" s="151" t="s">
        <v>323</v>
      </c>
      <c r="D17" s="152">
        <f>'Wacc data'!F7</f>
        <v>17466.599999999999</v>
      </c>
      <c r="E17" s="152">
        <f>'Wacc data'!E7</f>
        <v>242172.99</v>
      </c>
      <c r="F17" s="153">
        <v>0.3</v>
      </c>
      <c r="G17" s="154">
        <f t="shared" si="0"/>
        <v>7.2124475978927294E-2</v>
      </c>
      <c r="H17" s="154">
        <f t="shared" si="1"/>
        <v>6.7272483368195121E-2</v>
      </c>
      <c r="I17" s="185">
        <v>1.045269003979546</v>
      </c>
      <c r="J17" s="156">
        <f t="shared" si="2"/>
        <v>0.99503265766818039</v>
      </c>
    </row>
    <row r="18" spans="2:10" x14ac:dyDescent="0.3">
      <c r="B18" s="182" t="s">
        <v>259</v>
      </c>
      <c r="C18" s="151" t="s">
        <v>323</v>
      </c>
      <c r="D18" s="152">
        <f>'Wacc data'!F8</f>
        <v>1578.6</v>
      </c>
      <c r="E18" s="152">
        <f>'Wacc data'!E8</f>
        <v>163718.59</v>
      </c>
      <c r="F18" s="153">
        <v>0.3</v>
      </c>
      <c r="G18" s="154">
        <f t="shared" si="0"/>
        <v>9.6421548707449779E-3</v>
      </c>
      <c r="H18" s="154">
        <f t="shared" si="1"/>
        <v>9.5500716013381705E-3</v>
      </c>
      <c r="I18" s="186">
        <v>1.180739285716697</v>
      </c>
      <c r="J18" s="156">
        <f t="shared" si="2"/>
        <v>1.1728233049570069</v>
      </c>
    </row>
    <row r="19" spans="2:10" x14ac:dyDescent="0.3">
      <c r="F19" s="51"/>
    </row>
    <row r="20" spans="2:10" x14ac:dyDescent="0.3">
      <c r="E20" s="157" t="s">
        <v>324</v>
      </c>
      <c r="F20" s="158">
        <f>AVERAGE(F14:F18)</f>
        <v>0.3</v>
      </c>
      <c r="G20" s="158">
        <f t="shared" ref="G20:J20" si="3">AVERAGE(G14:G18)</f>
        <v>2.293374916362946E-2</v>
      </c>
      <c r="H20" s="158">
        <f t="shared" si="3"/>
        <v>2.1865891728833037E-2</v>
      </c>
      <c r="I20" s="159">
        <f>AVERAGE(I14:I18)</f>
        <v>1.0207016995228042</v>
      </c>
      <c r="J20" s="159">
        <f t="shared" si="3"/>
        <v>1.0046401206813769</v>
      </c>
    </row>
    <row r="21" spans="2:10" x14ac:dyDescent="0.3">
      <c r="E21" s="160" t="s">
        <v>187</v>
      </c>
      <c r="F21" s="161">
        <f>MEDIAN(F14:F18)</f>
        <v>0.3</v>
      </c>
      <c r="G21" s="161">
        <f t="shared" ref="G21:J21" si="4">MEDIAN(G14:G18)</f>
        <v>1.3521567537807032E-2</v>
      </c>
      <c r="H21" s="161">
        <f t="shared" si="4"/>
        <v>1.3341173953165671E-2</v>
      </c>
      <c r="I21" s="162">
        <f>MEDIAN(I14:I18)</f>
        <v>1.02548296113617</v>
      </c>
      <c r="J21" s="162">
        <f t="shared" si="4"/>
        <v>0.99503265766818039</v>
      </c>
    </row>
    <row r="22" spans="2:10" x14ac:dyDescent="0.3">
      <c r="G22" s="34"/>
    </row>
    <row r="23" spans="2:10" x14ac:dyDescent="0.3">
      <c r="G23" s="34"/>
    </row>
    <row r="24" spans="2:10" x14ac:dyDescent="0.3">
      <c r="B24" s="160" t="s">
        <v>325</v>
      </c>
      <c r="C24" s="163"/>
      <c r="D24" s="163"/>
      <c r="E24" s="163"/>
      <c r="G24" s="160" t="s">
        <v>326</v>
      </c>
      <c r="H24" s="163"/>
      <c r="I24" s="163"/>
      <c r="J24" s="163"/>
    </row>
    <row r="25" spans="2:10" x14ac:dyDescent="0.3">
      <c r="B25" s="34"/>
      <c r="G25" s="34"/>
    </row>
    <row r="26" spans="2:10" x14ac:dyDescent="0.3">
      <c r="B26" t="s">
        <v>327</v>
      </c>
      <c r="E26" s="164">
        <f>375/D16</f>
        <v>7.8222778473091364E-2</v>
      </c>
      <c r="G26" t="s">
        <v>328</v>
      </c>
      <c r="J26" s="165">
        <v>7.152E-2</v>
      </c>
    </row>
    <row r="27" spans="2:10" x14ac:dyDescent="0.3">
      <c r="B27" t="s">
        <v>329</v>
      </c>
      <c r="E27" s="51">
        <f>F21</f>
        <v>0.3</v>
      </c>
      <c r="G27" t="s">
        <v>330</v>
      </c>
      <c r="J27" s="166">
        <f>Rm!G11-WACC!J26</f>
        <v>8.2914782608695642E-2</v>
      </c>
    </row>
    <row r="28" spans="2:10" ht="16.2" x14ac:dyDescent="0.3">
      <c r="B28" s="167" t="s">
        <v>331</v>
      </c>
      <c r="C28" s="167"/>
      <c r="D28" s="167"/>
      <c r="E28" s="168">
        <f>E26*(1-E27)</f>
        <v>5.4755944931163952E-2</v>
      </c>
      <c r="G28" t="s">
        <v>332</v>
      </c>
      <c r="J28" s="169">
        <f>J37</f>
        <v>1.2868693588639457</v>
      </c>
    </row>
    <row r="29" spans="2:10" x14ac:dyDescent="0.3">
      <c r="G29" s="167" t="s">
        <v>326</v>
      </c>
      <c r="H29" s="167"/>
      <c r="I29" s="167"/>
      <c r="J29" s="170">
        <f>J26+(J27*J28)</f>
        <v>0.17822049313599558</v>
      </c>
    </row>
    <row r="32" spans="2:10" x14ac:dyDescent="0.3">
      <c r="B32" s="160" t="s">
        <v>333</v>
      </c>
      <c r="C32" s="163"/>
      <c r="D32" s="163"/>
      <c r="E32" s="163"/>
      <c r="G32" s="160" t="s">
        <v>334</v>
      </c>
      <c r="H32" s="163"/>
      <c r="I32" s="163"/>
      <c r="J32" s="163"/>
    </row>
    <row r="33" spans="2:10" x14ac:dyDescent="0.3">
      <c r="G33" s="133"/>
    </row>
    <row r="34" spans="2:10" x14ac:dyDescent="0.3">
      <c r="D34" s="171" t="s">
        <v>335</v>
      </c>
      <c r="E34" s="171" t="s">
        <v>336</v>
      </c>
      <c r="G34" s="34" t="s">
        <v>337</v>
      </c>
      <c r="J34" s="34">
        <f>J21</f>
        <v>0.99503265766818039</v>
      </c>
    </row>
    <row r="35" spans="2:10" x14ac:dyDescent="0.3">
      <c r="B35" t="s">
        <v>316</v>
      </c>
      <c r="C35" s="152">
        <f>D16</f>
        <v>4794</v>
      </c>
      <c r="D35" s="35">
        <f>C35/$C$37</f>
        <v>1.3360505826409573E-2</v>
      </c>
      <c r="E35" s="172">
        <f>H20</f>
        <v>2.1865891728833037E-2</v>
      </c>
      <c r="G35" t="s">
        <v>338</v>
      </c>
      <c r="J35" s="42">
        <f>E39</f>
        <v>2.2354697115593458E-2</v>
      </c>
    </row>
    <row r="36" spans="2:10" x14ac:dyDescent="0.3">
      <c r="B36" t="s">
        <v>79</v>
      </c>
      <c r="C36" s="152">
        <f>E16</f>
        <v>354024.75</v>
      </c>
      <c r="D36" s="35">
        <f>C36/$C$37</f>
        <v>0.98663949417359043</v>
      </c>
      <c r="E36" s="51">
        <f>E37-E35</f>
        <v>0.97813410827116698</v>
      </c>
      <c r="G36" t="s">
        <v>329</v>
      </c>
      <c r="J36" s="51">
        <f>E27</f>
        <v>0.3</v>
      </c>
    </row>
    <row r="37" spans="2:10" x14ac:dyDescent="0.3">
      <c r="B37" t="s">
        <v>339</v>
      </c>
      <c r="C37" s="167">
        <f>SUM(C35:C36)</f>
        <v>358818.75</v>
      </c>
      <c r="D37" s="173">
        <f>C37/$C$37</f>
        <v>1</v>
      </c>
      <c r="E37" s="174">
        <f>D37</f>
        <v>1</v>
      </c>
      <c r="G37" s="167" t="s">
        <v>340</v>
      </c>
      <c r="H37" s="167"/>
      <c r="I37" s="167"/>
      <c r="J37" s="175">
        <f>J34*(1+(1-J35)*J36)</f>
        <v>1.2868693588639457</v>
      </c>
    </row>
    <row r="39" spans="2:10" x14ac:dyDescent="0.3">
      <c r="B39" t="s">
        <v>341</v>
      </c>
      <c r="D39" s="176">
        <f>D35/D36</f>
        <v>1.354142612910538E-2</v>
      </c>
      <c r="E39" s="176">
        <f>E35/E36</f>
        <v>2.2354697115593458E-2</v>
      </c>
      <c r="G39" s="160" t="s">
        <v>309</v>
      </c>
      <c r="H39" s="163"/>
      <c r="I39" s="163"/>
      <c r="J39" s="163"/>
    </row>
    <row r="40" spans="2:10" x14ac:dyDescent="0.3">
      <c r="G40" s="34"/>
    </row>
    <row r="41" spans="2:10" x14ac:dyDescent="0.3">
      <c r="B41" s="177" t="s">
        <v>342</v>
      </c>
      <c r="G41" s="18" t="s">
        <v>326</v>
      </c>
      <c r="H41" s="18"/>
      <c r="I41" s="18"/>
      <c r="J41" s="178">
        <f>J29</f>
        <v>0.17822049313599558</v>
      </c>
    </row>
    <row r="42" spans="2:10" x14ac:dyDescent="0.3">
      <c r="B42" s="177" t="s">
        <v>343</v>
      </c>
      <c r="G42" s="18" t="s">
        <v>344</v>
      </c>
      <c r="H42" s="18"/>
      <c r="I42" s="18"/>
      <c r="J42" s="179">
        <f>E36</f>
        <v>0.97813410827116698</v>
      </c>
    </row>
    <row r="43" spans="2:10" x14ac:dyDescent="0.3">
      <c r="B43" s="177" t="s">
        <v>345</v>
      </c>
      <c r="G43" s="18"/>
      <c r="H43" s="18"/>
      <c r="I43" s="18"/>
      <c r="J43" s="178"/>
    </row>
    <row r="44" spans="2:10" x14ac:dyDescent="0.3">
      <c r="B44" s="177" t="s">
        <v>346</v>
      </c>
      <c r="G44" s="18" t="s">
        <v>325</v>
      </c>
      <c r="J44" s="51">
        <f>E28</f>
        <v>5.4755944931163952E-2</v>
      </c>
    </row>
    <row r="45" spans="2:10" x14ac:dyDescent="0.3">
      <c r="G45" s="18" t="s">
        <v>347</v>
      </c>
      <c r="J45" s="51">
        <f>E35</f>
        <v>2.1865891728833037E-2</v>
      </c>
    </row>
    <row r="47" spans="2:10" x14ac:dyDescent="0.3">
      <c r="G47" s="180" t="s">
        <v>348</v>
      </c>
      <c r="H47" s="180"/>
      <c r="I47" s="180"/>
      <c r="J47" s="181">
        <f>(J41*J42)+(J44*J45)</f>
        <v>0.17552083069259947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5:H29"/>
  <sheetViews>
    <sheetView showGridLines="0" workbookViewId="0">
      <selection activeCell="G12" sqref="G12"/>
    </sheetView>
  </sheetViews>
  <sheetFormatPr defaultRowHeight="14.4" x14ac:dyDescent="0.3"/>
  <cols>
    <col min="1" max="1" width="1.88671875" customWidth="1"/>
  </cols>
  <sheetData>
    <row r="5" spans="2:8" x14ac:dyDescent="0.3">
      <c r="B5" s="62" t="s">
        <v>266</v>
      </c>
      <c r="C5" s="66"/>
      <c r="D5" s="66"/>
      <c r="E5" s="66"/>
      <c r="F5" s="66"/>
      <c r="G5" s="66"/>
      <c r="H5" s="66"/>
    </row>
    <row r="6" spans="2:8" x14ac:dyDescent="0.3">
      <c r="B6" s="126" t="s">
        <v>190</v>
      </c>
      <c r="C6" s="126" t="s">
        <v>267</v>
      </c>
      <c r="D6" s="116"/>
      <c r="E6" s="116"/>
      <c r="F6" s="116"/>
      <c r="G6" s="116"/>
      <c r="H6" s="116"/>
    </row>
    <row r="7" spans="2:8" x14ac:dyDescent="0.3">
      <c r="B7" s="116">
        <v>2000</v>
      </c>
      <c r="C7" s="127">
        <v>-0.14649999999999999</v>
      </c>
      <c r="D7" s="116"/>
      <c r="E7" s="116"/>
      <c r="F7" s="116"/>
      <c r="G7" s="116"/>
      <c r="H7" s="116"/>
    </row>
    <row r="8" spans="2:8" x14ac:dyDescent="0.3">
      <c r="B8" s="116">
        <v>2001</v>
      </c>
      <c r="C8" s="127">
        <v>-0.1618</v>
      </c>
      <c r="D8" s="116"/>
      <c r="E8" s="116"/>
      <c r="F8" s="116"/>
      <c r="G8" s="116"/>
      <c r="H8" s="116"/>
    </row>
    <row r="9" spans="2:8" x14ac:dyDescent="0.3">
      <c r="B9" s="116">
        <v>2002</v>
      </c>
      <c r="C9" s="127">
        <v>3.2500000000000001E-2</v>
      </c>
      <c r="D9" s="116"/>
      <c r="E9" s="116" t="s">
        <v>268</v>
      </c>
      <c r="F9" s="116"/>
      <c r="G9" s="128">
        <f>AVERAGE(C7:C29)</f>
        <v>0.15443478260869564</v>
      </c>
      <c r="H9" s="116"/>
    </row>
    <row r="10" spans="2:8" ht="16.2" x14ac:dyDescent="0.3">
      <c r="B10" s="116">
        <v>2003</v>
      </c>
      <c r="C10" s="127">
        <v>0.71900000000000008</v>
      </c>
      <c r="D10" s="116"/>
      <c r="E10" s="116" t="s">
        <v>269</v>
      </c>
      <c r="F10" s="116"/>
      <c r="G10" s="129" t="s">
        <v>271</v>
      </c>
      <c r="H10" s="116"/>
    </row>
    <row r="11" spans="2:8" x14ac:dyDescent="0.3">
      <c r="B11" s="116">
        <v>2004</v>
      </c>
      <c r="C11" s="127">
        <v>0.10679999999999999</v>
      </c>
      <c r="D11" s="116"/>
      <c r="E11" s="130" t="s">
        <v>270</v>
      </c>
      <c r="F11" s="130"/>
      <c r="G11" s="131">
        <f>SUM(G9:G10)</f>
        <v>0.15443478260869564</v>
      </c>
      <c r="H11" s="116"/>
    </row>
    <row r="12" spans="2:8" x14ac:dyDescent="0.3">
      <c r="B12" s="116">
        <v>2005</v>
      </c>
      <c r="C12" s="127">
        <v>0.36340000000000006</v>
      </c>
      <c r="D12" s="116"/>
      <c r="E12" s="116"/>
      <c r="F12" s="116"/>
      <c r="G12" s="116"/>
      <c r="H12" s="116"/>
    </row>
    <row r="13" spans="2:8" x14ac:dyDescent="0.3">
      <c r="B13" s="116">
        <v>2006</v>
      </c>
      <c r="C13" s="127">
        <v>0.39829999999999999</v>
      </c>
      <c r="D13" s="116"/>
      <c r="E13" s="116"/>
      <c r="F13" s="116"/>
      <c r="G13" s="116"/>
      <c r="H13" s="116"/>
    </row>
    <row r="14" spans="2:8" x14ac:dyDescent="0.3">
      <c r="B14" s="116">
        <v>2007</v>
      </c>
      <c r="C14" s="127">
        <v>0.54770000000000008</v>
      </c>
      <c r="D14" s="116"/>
      <c r="E14" s="116"/>
      <c r="F14" s="116"/>
      <c r="G14" s="116"/>
      <c r="H14" s="116"/>
    </row>
    <row r="15" spans="2:8" x14ac:dyDescent="0.3">
      <c r="B15" s="116">
        <v>2008</v>
      </c>
      <c r="C15" s="127">
        <v>-0.51790000000000003</v>
      </c>
      <c r="D15" s="116"/>
      <c r="E15" s="116"/>
      <c r="F15" s="116"/>
      <c r="G15" s="116"/>
      <c r="H15" s="116"/>
    </row>
    <row r="16" spans="2:8" x14ac:dyDescent="0.3">
      <c r="B16" s="116">
        <v>2009</v>
      </c>
      <c r="C16" s="127">
        <v>0.75760000000000005</v>
      </c>
      <c r="D16" s="116"/>
      <c r="E16" s="116"/>
      <c r="F16" s="116"/>
      <c r="G16" s="116"/>
      <c r="H16" s="116"/>
    </row>
    <row r="17" spans="2:8" x14ac:dyDescent="0.3">
      <c r="B17" s="116">
        <v>2010</v>
      </c>
      <c r="C17" s="127">
        <v>0.17949999999999999</v>
      </c>
      <c r="D17" s="116"/>
      <c r="E17" s="116"/>
      <c r="F17" s="116"/>
      <c r="G17" s="116"/>
      <c r="H17" s="116"/>
    </row>
    <row r="18" spans="2:8" x14ac:dyDescent="0.3">
      <c r="B18" s="116">
        <v>2011</v>
      </c>
      <c r="C18" s="127">
        <v>-0.2462</v>
      </c>
      <c r="D18" s="116"/>
      <c r="E18" s="116"/>
      <c r="F18" s="116"/>
      <c r="G18" s="116"/>
      <c r="H18" s="116"/>
    </row>
    <row r="19" spans="2:8" x14ac:dyDescent="0.3">
      <c r="B19" s="116">
        <v>2012</v>
      </c>
      <c r="C19" s="127">
        <v>0.27699999999999997</v>
      </c>
      <c r="D19" s="116"/>
      <c r="E19" s="116"/>
      <c r="F19" s="116"/>
      <c r="G19" s="116"/>
      <c r="H19" s="116"/>
    </row>
    <row r="20" spans="2:8" x14ac:dyDescent="0.3">
      <c r="B20" s="116">
        <v>2013</v>
      </c>
      <c r="C20" s="127">
        <v>6.7599999999999993E-2</v>
      </c>
      <c r="D20" s="116"/>
      <c r="E20" s="116"/>
      <c r="F20" s="116"/>
      <c r="G20" s="116"/>
      <c r="H20" s="116"/>
    </row>
    <row r="21" spans="2:8" x14ac:dyDescent="0.3">
      <c r="B21" s="116">
        <v>2014</v>
      </c>
      <c r="C21" s="127">
        <v>0.31390000000000001</v>
      </c>
      <c r="D21" s="116"/>
      <c r="E21" s="116"/>
      <c r="F21" s="116"/>
      <c r="G21" s="116"/>
      <c r="H21" s="116"/>
    </row>
    <row r="22" spans="2:8" x14ac:dyDescent="0.3">
      <c r="B22" s="116">
        <v>2015</v>
      </c>
      <c r="C22" s="127">
        <v>-4.0599999999999997E-2</v>
      </c>
      <c r="D22" s="116"/>
      <c r="E22" s="116"/>
      <c r="F22" s="116"/>
      <c r="G22" s="116"/>
      <c r="H22" s="116"/>
    </row>
    <row r="23" spans="2:8" x14ac:dyDescent="0.3">
      <c r="B23" s="116">
        <v>2016</v>
      </c>
      <c r="C23" s="127">
        <v>3.0099999999999998E-2</v>
      </c>
      <c r="D23" s="116"/>
      <c r="E23" s="116"/>
      <c r="F23" s="116"/>
      <c r="G23" s="116"/>
      <c r="H23" s="116"/>
    </row>
    <row r="24" spans="2:8" x14ac:dyDescent="0.3">
      <c r="B24" s="116">
        <v>2017</v>
      </c>
      <c r="C24" s="127">
        <v>0.28649999999999998</v>
      </c>
      <c r="D24" s="116"/>
      <c r="E24" s="116"/>
      <c r="F24" s="116"/>
      <c r="G24" s="116"/>
      <c r="H24" s="116"/>
    </row>
    <row r="25" spans="2:8" x14ac:dyDescent="0.3">
      <c r="B25" s="116">
        <v>2018</v>
      </c>
      <c r="C25" s="127">
        <v>3.15E-2</v>
      </c>
      <c r="D25" s="116"/>
      <c r="E25" s="116"/>
      <c r="F25" s="116"/>
      <c r="G25" s="116"/>
      <c r="H25" s="116"/>
    </row>
    <row r="26" spans="2:8" x14ac:dyDescent="0.3">
      <c r="B26" s="116">
        <v>2019</v>
      </c>
      <c r="C26" s="127">
        <v>0.1202</v>
      </c>
      <c r="D26" s="116"/>
      <c r="E26" s="116"/>
      <c r="F26" s="116"/>
      <c r="G26" s="116"/>
      <c r="H26" s="116"/>
    </row>
    <row r="27" spans="2:8" x14ac:dyDescent="0.3">
      <c r="B27" s="116">
        <v>2020</v>
      </c>
      <c r="C27" s="127">
        <v>0.14899999999999999</v>
      </c>
      <c r="D27" s="116"/>
      <c r="E27" s="116"/>
      <c r="F27" s="116"/>
      <c r="G27" s="116"/>
      <c r="H27" s="116"/>
    </row>
    <row r="28" spans="2:8" x14ac:dyDescent="0.3">
      <c r="B28" s="116">
        <v>2021</v>
      </c>
      <c r="C28" s="127">
        <v>0.2412</v>
      </c>
      <c r="D28" s="116"/>
      <c r="E28" s="116"/>
      <c r="F28" s="116"/>
      <c r="G28" s="116"/>
      <c r="H28" s="116"/>
    </row>
    <row r="29" spans="2:8" x14ac:dyDescent="0.3">
      <c r="B29" s="116">
        <v>2022</v>
      </c>
      <c r="C29" s="127">
        <v>4.3200000000000002E-2</v>
      </c>
      <c r="D29" s="116"/>
      <c r="E29" s="116"/>
      <c r="F29" s="116"/>
      <c r="G29" s="116"/>
      <c r="H29" s="11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8"/>
  <sheetViews>
    <sheetView showGridLines="0" workbookViewId="0">
      <selection activeCell="I4" sqref="I4"/>
    </sheetView>
  </sheetViews>
  <sheetFormatPr defaultRowHeight="14.4" x14ac:dyDescent="0.3"/>
  <cols>
    <col min="1" max="1" width="1.88671875" customWidth="1"/>
    <col min="3" max="3" width="15.21875" customWidth="1"/>
    <col min="5" max="5" width="13.6640625" bestFit="1" customWidth="1"/>
    <col min="6" max="6" width="10.109375" bestFit="1" customWidth="1"/>
    <col min="7" max="7" width="8.5546875" bestFit="1" customWidth="1"/>
  </cols>
  <sheetData>
    <row r="2" spans="2:7" x14ac:dyDescent="0.3">
      <c r="B2" s="245" t="s">
        <v>255</v>
      </c>
      <c r="C2" s="245"/>
      <c r="D2" s="245"/>
      <c r="E2" s="125"/>
      <c r="F2" s="125"/>
      <c r="G2" s="125"/>
    </row>
    <row r="3" spans="2:7" x14ac:dyDescent="0.3"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265</v>
      </c>
    </row>
    <row r="4" spans="2:7" x14ac:dyDescent="0.3">
      <c r="B4">
        <v>1</v>
      </c>
      <c r="C4" t="s">
        <v>256</v>
      </c>
      <c r="D4">
        <v>3598.3</v>
      </c>
      <c r="E4">
        <v>1316636.46</v>
      </c>
      <c r="F4">
        <v>7688</v>
      </c>
      <c r="G4">
        <v>0.09</v>
      </c>
    </row>
    <row r="5" spans="2:7" x14ac:dyDescent="0.3">
      <c r="B5">
        <f>B4+1</f>
        <v>2</v>
      </c>
      <c r="C5" t="s">
        <v>257</v>
      </c>
      <c r="D5">
        <v>1511.6</v>
      </c>
      <c r="E5">
        <v>627368.09</v>
      </c>
      <c r="F5">
        <v>8483</v>
      </c>
      <c r="G5">
        <v>0.11</v>
      </c>
    </row>
    <row r="6" spans="2:7" x14ac:dyDescent="0.3">
      <c r="B6">
        <f t="shared" ref="B6:B8" si="0">B5+1</f>
        <v>3</v>
      </c>
      <c r="C6" t="s">
        <v>247</v>
      </c>
      <c r="D6">
        <v>1304.5999999999999</v>
      </c>
      <c r="E6">
        <v>354024.75</v>
      </c>
      <c r="F6">
        <v>4794</v>
      </c>
      <c r="G6">
        <v>7.0000000000000007E-2</v>
      </c>
    </row>
    <row r="7" spans="2:7" x14ac:dyDescent="0.3">
      <c r="B7">
        <f t="shared" si="0"/>
        <v>4</v>
      </c>
      <c r="C7" t="s">
        <v>258</v>
      </c>
      <c r="D7">
        <v>441.05</v>
      </c>
      <c r="E7">
        <v>242172.99</v>
      </c>
      <c r="F7">
        <v>17466.599999999999</v>
      </c>
      <c r="G7">
        <v>0.22</v>
      </c>
    </row>
    <row r="8" spans="2:7" x14ac:dyDescent="0.3">
      <c r="B8">
        <f t="shared" si="0"/>
        <v>5</v>
      </c>
      <c r="C8" t="s">
        <v>259</v>
      </c>
      <c r="D8">
        <v>5532.8</v>
      </c>
      <c r="E8">
        <v>163718.59</v>
      </c>
      <c r="F8">
        <v>1578.6</v>
      </c>
      <c r="G8">
        <v>0.09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93"/>
  <sheetViews>
    <sheetView zoomScaleNormal="100" zoomScalePageLayoutView="120" workbookViewId="0">
      <pane xSplit="1" ySplit="1" topLeftCell="D18" activePane="bottomRight" state="frozen"/>
      <selection activeCell="C4" sqref="C4"/>
      <selection pane="topRight" activeCell="C4" sqref="C4"/>
      <selection pane="bottomLeft" activeCell="C4" sqref="C4"/>
      <selection pane="bottomRight" activeCell="K33" sqref="K33"/>
    </sheetView>
  </sheetViews>
  <sheetFormatPr defaultColWidth="8.77734375" defaultRowHeight="14.4" x14ac:dyDescent="0.3"/>
  <cols>
    <col min="1" max="1" width="27.6640625" style="5" bestFit="1" customWidth="1"/>
    <col min="2" max="3" width="13.44140625" style="5" bestFit="1" customWidth="1"/>
    <col min="4" max="4" width="16.6640625" style="5" bestFit="1" customWidth="1"/>
    <col min="5" max="11" width="13.44140625" style="5" bestFit="1" customWidth="1"/>
    <col min="12" max="16384" width="8.77734375" style="5"/>
  </cols>
  <sheetData>
    <row r="1" spans="1:11" s="1" customFormat="1" ht="15" x14ac:dyDescent="0.2">
      <c r="A1" s="1" t="s">
        <v>0</v>
      </c>
      <c r="B1" s="1" t="s">
        <v>63</v>
      </c>
      <c r="D1" s="1" t="s">
        <v>247</v>
      </c>
      <c r="E1" s="246" t="str">
        <f>IF(B2&lt;&gt;B3, "A NEW VERSION OF THE WORKSHEET IS AVAILABLE", "")</f>
        <v/>
      </c>
      <c r="F1" s="246"/>
      <c r="G1" s="246"/>
      <c r="H1" s="246"/>
      <c r="I1" s="246"/>
      <c r="J1" s="246"/>
      <c r="K1" s="246"/>
    </row>
    <row r="2" spans="1:11" ht="15" x14ac:dyDescent="0.2">
      <c r="A2" s="1" t="s">
        <v>61</v>
      </c>
      <c r="B2" s="5">
        <v>2.1</v>
      </c>
      <c r="E2" s="247" t="s">
        <v>36</v>
      </c>
      <c r="F2" s="247"/>
      <c r="G2" s="247"/>
      <c r="H2" s="247"/>
      <c r="I2" s="247"/>
      <c r="J2" s="247"/>
      <c r="K2" s="247"/>
    </row>
    <row r="3" spans="1:11" ht="15" x14ac:dyDescent="0.2">
      <c r="A3" s="1" t="s">
        <v>62</v>
      </c>
      <c r="B3" s="5">
        <v>2.1</v>
      </c>
    </row>
    <row r="4" spans="1:11" ht="15" x14ac:dyDescent="0.2">
      <c r="A4" s="1"/>
    </row>
    <row r="5" spans="1:11" ht="15" x14ac:dyDescent="0.2">
      <c r="A5" s="1" t="s">
        <v>64</v>
      </c>
    </row>
    <row r="6" spans="1:11" ht="15" x14ac:dyDescent="0.2">
      <c r="A6" s="5" t="s">
        <v>42</v>
      </c>
      <c r="B6" s="5">
        <f>IF(B9&gt;0, B9/B8, 0)</f>
        <v>271.36651080791052</v>
      </c>
      <c r="D6" s="5">
        <v>270.8</v>
      </c>
    </row>
    <row r="7" spans="1:11" ht="15" x14ac:dyDescent="0.2">
      <c r="A7" s="5" t="s">
        <v>31</v>
      </c>
      <c r="B7">
        <v>2</v>
      </c>
    </row>
    <row r="8" spans="1:11" ht="15" x14ac:dyDescent="0.2">
      <c r="A8" s="5" t="s">
        <v>43</v>
      </c>
      <c r="B8">
        <v>1304.5999999999999</v>
      </c>
    </row>
    <row r="9" spans="1:11" ht="15" x14ac:dyDescent="0.2">
      <c r="A9" s="5" t="s">
        <v>79</v>
      </c>
      <c r="B9">
        <v>354024.75</v>
      </c>
    </row>
    <row r="15" spans="1:11" x14ac:dyDescent="0.3">
      <c r="A15" s="1" t="s">
        <v>37</v>
      </c>
    </row>
    <row r="16" spans="1:11" s="24" customFormat="1" x14ac:dyDescent="0.3">
      <c r="A16" s="23" t="s">
        <v>38</v>
      </c>
      <c r="B16" s="16">
        <v>41820</v>
      </c>
      <c r="C16" s="16">
        <v>42185</v>
      </c>
      <c r="D16" s="16">
        <v>42460</v>
      </c>
      <c r="E16" s="16">
        <v>42825</v>
      </c>
      <c r="F16" s="16">
        <v>43190</v>
      </c>
      <c r="G16" s="16">
        <v>43555</v>
      </c>
      <c r="H16" s="16">
        <v>43921</v>
      </c>
      <c r="I16" s="16">
        <v>44286</v>
      </c>
      <c r="J16" s="16">
        <v>44651</v>
      </c>
      <c r="K16" s="16">
        <v>45016</v>
      </c>
    </row>
    <row r="17" spans="1:11" s="9" customFormat="1" x14ac:dyDescent="0.3">
      <c r="A17" s="9" t="s">
        <v>6</v>
      </c>
      <c r="B17">
        <v>32143.66</v>
      </c>
      <c r="C17">
        <v>36701.22</v>
      </c>
      <c r="D17">
        <v>31135.94</v>
      </c>
      <c r="E17">
        <v>47568</v>
      </c>
      <c r="F17">
        <v>50569</v>
      </c>
      <c r="G17">
        <v>60427</v>
      </c>
      <c r="H17">
        <v>70676</v>
      </c>
      <c r="I17">
        <v>75379</v>
      </c>
      <c r="J17">
        <v>85651</v>
      </c>
      <c r="K17">
        <v>101456</v>
      </c>
    </row>
    <row r="18" spans="1:11" s="9" customFormat="1" x14ac:dyDescent="0.3">
      <c r="A18" s="5" t="s">
        <v>80</v>
      </c>
      <c r="B18">
        <v>920.92</v>
      </c>
      <c r="C18">
        <v>1306.3800000000001</v>
      </c>
      <c r="D18">
        <v>812.73</v>
      </c>
      <c r="E18">
        <v>826</v>
      </c>
      <c r="F18">
        <v>1251</v>
      </c>
      <c r="G18">
        <v>1615</v>
      </c>
      <c r="H18">
        <v>1536</v>
      </c>
      <c r="I18">
        <v>1698</v>
      </c>
      <c r="J18">
        <v>1473</v>
      </c>
      <c r="K18">
        <v>2072</v>
      </c>
    </row>
    <row r="19" spans="1:11" s="9" customFormat="1" x14ac:dyDescent="0.3">
      <c r="A19" s="5" t="s">
        <v>81</v>
      </c>
      <c r="B19">
        <v>-108.06</v>
      </c>
      <c r="C19">
        <v>35.65</v>
      </c>
      <c r="D19">
        <v>108.75</v>
      </c>
      <c r="E19">
        <v>11</v>
      </c>
      <c r="F19">
        <v>-104</v>
      </c>
      <c r="G19">
        <v>-81</v>
      </c>
      <c r="H19"/>
      <c r="I19">
        <v>3</v>
      </c>
      <c r="J19">
        <v>67</v>
      </c>
      <c r="K19">
        <v>67</v>
      </c>
    </row>
    <row r="20" spans="1:11" s="9" customFormat="1" x14ac:dyDescent="0.3">
      <c r="A20" s="5" t="s">
        <v>82</v>
      </c>
      <c r="B20">
        <v>241.99</v>
      </c>
      <c r="C20">
        <v>264.88</v>
      </c>
      <c r="D20">
        <v>210.53</v>
      </c>
      <c r="E20">
        <v>307</v>
      </c>
      <c r="F20">
        <v>313</v>
      </c>
      <c r="G20">
        <v>336</v>
      </c>
      <c r="H20">
        <v>307</v>
      </c>
      <c r="I20">
        <v>275</v>
      </c>
      <c r="J20">
        <v>291</v>
      </c>
      <c r="K20">
        <v>328</v>
      </c>
    </row>
    <row r="21" spans="1:11" s="9" customFormat="1" x14ac:dyDescent="0.3">
      <c r="A21" s="5" t="s">
        <v>83</v>
      </c>
      <c r="B21">
        <v>4919.96</v>
      </c>
      <c r="C21">
        <v>5860.79</v>
      </c>
      <c r="D21">
        <v>5632.96</v>
      </c>
      <c r="E21">
        <v>9286</v>
      </c>
      <c r="F21">
        <v>9388</v>
      </c>
      <c r="G21">
        <v>10862</v>
      </c>
      <c r="H21">
        <v>12324</v>
      </c>
      <c r="I21">
        <v>12084</v>
      </c>
      <c r="J21">
        <v>14574</v>
      </c>
      <c r="K21">
        <v>17303</v>
      </c>
    </row>
    <row r="22" spans="1:11" s="9" customFormat="1" x14ac:dyDescent="0.3">
      <c r="A22" s="5" t="s">
        <v>84</v>
      </c>
      <c r="B22">
        <v>14906.36</v>
      </c>
      <c r="C22">
        <v>17726.43</v>
      </c>
      <c r="D22">
        <v>15203.25</v>
      </c>
      <c r="E22">
        <v>22866</v>
      </c>
      <c r="F22">
        <v>24729</v>
      </c>
      <c r="G22">
        <v>29283</v>
      </c>
      <c r="H22">
        <v>34928</v>
      </c>
      <c r="I22">
        <v>38853</v>
      </c>
      <c r="J22">
        <v>46130</v>
      </c>
      <c r="K22">
        <v>55280</v>
      </c>
    </row>
    <row r="23" spans="1:11" s="9" customFormat="1" x14ac:dyDescent="0.3">
      <c r="A23" s="5" t="s">
        <v>85</v>
      </c>
      <c r="B23">
        <v>2602.09</v>
      </c>
      <c r="C23">
        <v>2853.17</v>
      </c>
      <c r="D23">
        <v>2205.52</v>
      </c>
      <c r="E23">
        <v>2988</v>
      </c>
      <c r="F23">
        <v>2810</v>
      </c>
      <c r="G23">
        <v>3519</v>
      </c>
      <c r="H23">
        <v>3050</v>
      </c>
      <c r="I23">
        <v>1681</v>
      </c>
      <c r="J23">
        <v>1866</v>
      </c>
      <c r="K23">
        <v>2687</v>
      </c>
    </row>
    <row r="24" spans="1:11" s="9" customFormat="1" x14ac:dyDescent="0.3">
      <c r="A24" s="5" t="s">
        <v>86</v>
      </c>
      <c r="B24">
        <v>408.99</v>
      </c>
      <c r="C24">
        <v>239.15</v>
      </c>
      <c r="D24">
        <v>526.15</v>
      </c>
      <c r="E24">
        <v>916</v>
      </c>
      <c r="F24">
        <v>728</v>
      </c>
      <c r="G24">
        <v>805</v>
      </c>
      <c r="H24">
        <v>1215</v>
      </c>
      <c r="I24">
        <v>743</v>
      </c>
      <c r="J24">
        <v>855</v>
      </c>
      <c r="K24">
        <v>1225</v>
      </c>
    </row>
    <row r="25" spans="1:11" s="9" customFormat="1" x14ac:dyDescent="0.3">
      <c r="A25" s="9" t="s">
        <v>9</v>
      </c>
      <c r="B25">
        <v>677.4</v>
      </c>
      <c r="C25">
        <v>1125.97</v>
      </c>
      <c r="D25">
        <v>870.89</v>
      </c>
      <c r="E25">
        <v>1069</v>
      </c>
      <c r="F25">
        <v>1230</v>
      </c>
      <c r="G25">
        <v>943</v>
      </c>
      <c r="H25">
        <v>589</v>
      </c>
      <c r="I25">
        <v>927</v>
      </c>
      <c r="J25">
        <v>1067</v>
      </c>
      <c r="K25">
        <v>1358</v>
      </c>
    </row>
    <row r="26" spans="1:11" s="9" customFormat="1" x14ac:dyDescent="0.3">
      <c r="A26" s="9" t="s">
        <v>10</v>
      </c>
      <c r="B26">
        <v>680.86</v>
      </c>
      <c r="C26">
        <v>403.75</v>
      </c>
      <c r="D26">
        <v>409.86</v>
      </c>
      <c r="E26">
        <v>828</v>
      </c>
      <c r="F26">
        <v>1383</v>
      </c>
      <c r="G26">
        <v>2073</v>
      </c>
      <c r="H26">
        <v>3420</v>
      </c>
      <c r="I26">
        <v>4611</v>
      </c>
      <c r="J26">
        <v>4326</v>
      </c>
      <c r="K26">
        <v>4145</v>
      </c>
    </row>
    <row r="27" spans="1:11" s="9" customFormat="1" x14ac:dyDescent="0.3">
      <c r="A27" s="9" t="s">
        <v>11</v>
      </c>
      <c r="B27">
        <v>114.5</v>
      </c>
      <c r="C27">
        <v>91.23</v>
      </c>
      <c r="D27">
        <v>73.900000000000006</v>
      </c>
      <c r="E27">
        <v>89</v>
      </c>
      <c r="F27">
        <v>69</v>
      </c>
      <c r="G27">
        <v>174</v>
      </c>
      <c r="H27">
        <v>505</v>
      </c>
      <c r="I27">
        <v>511</v>
      </c>
      <c r="J27">
        <v>319</v>
      </c>
      <c r="K27">
        <v>353</v>
      </c>
    </row>
    <row r="28" spans="1:11" s="9" customFormat="1" x14ac:dyDescent="0.3">
      <c r="A28" s="9" t="s">
        <v>12</v>
      </c>
      <c r="B28">
        <v>7917.33</v>
      </c>
      <c r="C28">
        <v>9117.06</v>
      </c>
      <c r="D28">
        <v>7040.68</v>
      </c>
      <c r="E28">
        <v>10542</v>
      </c>
      <c r="F28">
        <v>11024</v>
      </c>
      <c r="G28">
        <v>12622</v>
      </c>
      <c r="H28">
        <v>13980</v>
      </c>
      <c r="I28">
        <v>15853</v>
      </c>
      <c r="J28">
        <v>16951</v>
      </c>
      <c r="K28">
        <v>19488</v>
      </c>
    </row>
    <row r="29" spans="1:11" s="9" customFormat="1" x14ac:dyDescent="0.3">
      <c r="A29" s="9" t="s">
        <v>13</v>
      </c>
      <c r="B29">
        <v>1409.57</v>
      </c>
      <c r="C29">
        <v>1815.11</v>
      </c>
      <c r="D29">
        <v>1439</v>
      </c>
      <c r="E29">
        <v>1936</v>
      </c>
      <c r="F29">
        <v>2302</v>
      </c>
      <c r="G29">
        <v>2502</v>
      </c>
      <c r="H29">
        <v>2923</v>
      </c>
      <c r="I29">
        <v>4684</v>
      </c>
      <c r="J29">
        <v>3428</v>
      </c>
      <c r="K29">
        <v>4643</v>
      </c>
    </row>
    <row r="30" spans="1:11" s="9" customFormat="1" x14ac:dyDescent="0.3">
      <c r="A30" s="9" t="s">
        <v>14</v>
      </c>
      <c r="B30">
        <v>6509.51</v>
      </c>
      <c r="C30">
        <v>7317.07</v>
      </c>
      <c r="D30">
        <v>5602.43</v>
      </c>
      <c r="E30">
        <v>8606</v>
      </c>
      <c r="F30">
        <v>8721</v>
      </c>
      <c r="G30">
        <v>10120</v>
      </c>
      <c r="H30">
        <v>11057</v>
      </c>
      <c r="I30">
        <v>11145</v>
      </c>
      <c r="J30">
        <v>13499</v>
      </c>
      <c r="K30">
        <v>14851</v>
      </c>
    </row>
    <row r="31" spans="1:11" s="9" customFormat="1" x14ac:dyDescent="0.3">
      <c r="A31" s="9" t="s">
        <v>70</v>
      </c>
      <c r="B31">
        <v>700</v>
      </c>
      <c r="C31">
        <v>4218</v>
      </c>
      <c r="D31">
        <v>2256.64</v>
      </c>
      <c r="E31">
        <v>3420</v>
      </c>
      <c r="F31">
        <v>1668</v>
      </c>
      <c r="G31">
        <v>1084</v>
      </c>
      <c r="H31">
        <v>2715</v>
      </c>
      <c r="I31">
        <v>2715</v>
      </c>
      <c r="J31">
        <v>11403</v>
      </c>
      <c r="K31">
        <v>13032</v>
      </c>
    </row>
    <row r="32" spans="1:11" s="9" customFormat="1" x14ac:dyDescent="0.3"/>
    <row r="33" spans="1:11" x14ac:dyDescent="0.3">
      <c r="A33" s="5" t="s">
        <v>102</v>
      </c>
      <c r="B33" s="5">
        <f>B30+B29+B27+B26</f>
        <v>8714.44</v>
      </c>
      <c r="C33" s="5">
        <f t="shared" ref="C33:K33" si="0">C30+C29+C27+C26</f>
        <v>9627.16</v>
      </c>
      <c r="D33" s="5">
        <f t="shared" si="0"/>
        <v>7525.19</v>
      </c>
      <c r="E33" s="5">
        <f t="shared" si="0"/>
        <v>11459</v>
      </c>
      <c r="F33" s="5">
        <f t="shared" si="0"/>
        <v>12475</v>
      </c>
      <c r="G33" s="5">
        <f t="shared" si="0"/>
        <v>14869</v>
      </c>
      <c r="H33" s="5">
        <f t="shared" si="0"/>
        <v>17905</v>
      </c>
      <c r="I33" s="5">
        <f t="shared" si="0"/>
        <v>20951</v>
      </c>
      <c r="J33" s="5">
        <f t="shared" si="0"/>
        <v>21572</v>
      </c>
      <c r="K33" s="5">
        <f t="shared" si="0"/>
        <v>23992</v>
      </c>
    </row>
    <row r="34" spans="1:11" x14ac:dyDescent="0.3">
      <c r="A34" s="9"/>
    </row>
    <row r="35" spans="1:11" x14ac:dyDescent="0.3">
      <c r="A35" s="9"/>
    </row>
    <row r="36" spans="1:11" x14ac:dyDescent="0.3">
      <c r="A36" s="9"/>
    </row>
    <row r="37" spans="1:11" x14ac:dyDescent="0.3">
      <c r="A37" s="9"/>
    </row>
    <row r="38" spans="1:11" x14ac:dyDescent="0.3">
      <c r="A38" s="9"/>
    </row>
    <row r="39" spans="1:11" x14ac:dyDescent="0.3">
      <c r="A39" s="9"/>
    </row>
    <row r="40" spans="1:11" x14ac:dyDescent="0.3">
      <c r="A40" s="1" t="s">
        <v>39</v>
      </c>
    </row>
    <row r="41" spans="1:11" s="24" customFormat="1" x14ac:dyDescent="0.3">
      <c r="A41" s="23" t="s">
        <v>38</v>
      </c>
      <c r="B41" s="16">
        <v>44286</v>
      </c>
      <c r="C41" s="16">
        <v>44377</v>
      </c>
      <c r="D41" s="16">
        <v>44469</v>
      </c>
      <c r="E41" s="16">
        <v>44561</v>
      </c>
      <c r="F41" s="16">
        <v>44651</v>
      </c>
      <c r="G41" s="16">
        <v>44742</v>
      </c>
      <c r="H41" s="16">
        <v>44834</v>
      </c>
      <c r="I41" s="16">
        <v>44926</v>
      </c>
      <c r="J41" s="16">
        <v>45016</v>
      </c>
      <c r="K41" s="16">
        <v>45107</v>
      </c>
    </row>
    <row r="42" spans="1:11" s="9" customFormat="1" x14ac:dyDescent="0.3">
      <c r="A42" s="9" t="s">
        <v>6</v>
      </c>
      <c r="B42">
        <v>19641</v>
      </c>
      <c r="C42">
        <v>20068</v>
      </c>
      <c r="D42">
        <v>20655</v>
      </c>
      <c r="E42">
        <v>22331</v>
      </c>
      <c r="F42">
        <v>22597</v>
      </c>
      <c r="G42">
        <v>23464</v>
      </c>
      <c r="H42">
        <v>24686</v>
      </c>
      <c r="I42">
        <v>26700</v>
      </c>
      <c r="J42">
        <v>26606</v>
      </c>
      <c r="K42">
        <v>26296</v>
      </c>
    </row>
    <row r="43" spans="1:11" s="9" customFormat="1" x14ac:dyDescent="0.3">
      <c r="A43" s="9" t="s">
        <v>7</v>
      </c>
      <c r="B43">
        <v>15092</v>
      </c>
      <c r="C43">
        <v>15006</v>
      </c>
      <c r="D43">
        <v>15633</v>
      </c>
      <c r="E43">
        <v>16938</v>
      </c>
      <c r="F43">
        <v>17545</v>
      </c>
      <c r="G43">
        <v>18489</v>
      </c>
      <c r="H43">
        <v>19261</v>
      </c>
      <c r="I43">
        <v>20335</v>
      </c>
      <c r="J43">
        <v>20743</v>
      </c>
      <c r="K43">
        <v>20931</v>
      </c>
    </row>
    <row r="44" spans="1:11" s="9" customFormat="1" x14ac:dyDescent="0.3">
      <c r="A44" s="9" t="s">
        <v>9</v>
      </c>
      <c r="B44">
        <v>244</v>
      </c>
      <c r="C44">
        <v>255</v>
      </c>
      <c r="D44">
        <v>240</v>
      </c>
      <c r="E44">
        <v>255</v>
      </c>
      <c r="F44">
        <v>317</v>
      </c>
      <c r="G44">
        <v>409</v>
      </c>
      <c r="H44">
        <v>236</v>
      </c>
      <c r="I44">
        <v>260</v>
      </c>
      <c r="J44">
        <v>453</v>
      </c>
      <c r="K44">
        <v>344</v>
      </c>
    </row>
    <row r="45" spans="1:11" s="9" customFormat="1" x14ac:dyDescent="0.3">
      <c r="A45" s="9" t="s">
        <v>10</v>
      </c>
      <c r="B45">
        <v>1267</v>
      </c>
      <c r="C45">
        <v>1128</v>
      </c>
      <c r="D45">
        <v>1078</v>
      </c>
      <c r="E45">
        <v>1136</v>
      </c>
      <c r="F45">
        <v>984</v>
      </c>
      <c r="G45">
        <v>983</v>
      </c>
      <c r="H45">
        <v>998</v>
      </c>
      <c r="I45">
        <v>1137</v>
      </c>
      <c r="J45">
        <v>1027</v>
      </c>
      <c r="K45">
        <v>927</v>
      </c>
    </row>
    <row r="46" spans="1:11" s="9" customFormat="1" x14ac:dyDescent="0.3">
      <c r="A46" s="9" t="s">
        <v>11</v>
      </c>
      <c r="B46">
        <v>159</v>
      </c>
      <c r="C46">
        <v>89</v>
      </c>
      <c r="D46">
        <v>83</v>
      </c>
      <c r="E46">
        <v>82</v>
      </c>
      <c r="F46">
        <v>65</v>
      </c>
      <c r="G46">
        <v>64</v>
      </c>
      <c r="H46">
        <v>79</v>
      </c>
      <c r="I46">
        <v>116</v>
      </c>
      <c r="J46">
        <v>94</v>
      </c>
      <c r="K46">
        <v>86</v>
      </c>
    </row>
    <row r="47" spans="1:11" s="9" customFormat="1" x14ac:dyDescent="0.3">
      <c r="A47" s="9" t="s">
        <v>12</v>
      </c>
      <c r="B47">
        <v>3367</v>
      </c>
      <c r="C47">
        <v>4100</v>
      </c>
      <c r="D47">
        <v>4101</v>
      </c>
      <c r="E47">
        <v>4430</v>
      </c>
      <c r="F47">
        <v>4320</v>
      </c>
      <c r="G47">
        <v>4337</v>
      </c>
      <c r="H47">
        <v>4584</v>
      </c>
      <c r="I47">
        <v>5372</v>
      </c>
      <c r="J47">
        <v>5195</v>
      </c>
      <c r="K47">
        <v>4696</v>
      </c>
    </row>
    <row r="48" spans="1:11" s="9" customFormat="1" x14ac:dyDescent="0.3">
      <c r="A48" s="9" t="s">
        <v>13</v>
      </c>
      <c r="B48">
        <v>2256</v>
      </c>
      <c r="C48">
        <v>887</v>
      </c>
      <c r="D48">
        <v>838</v>
      </c>
      <c r="E48">
        <v>982</v>
      </c>
      <c r="F48">
        <v>721</v>
      </c>
      <c r="G48">
        <v>1056</v>
      </c>
      <c r="H48">
        <v>1097</v>
      </c>
      <c r="I48">
        <v>1276</v>
      </c>
      <c r="J48">
        <v>1214</v>
      </c>
      <c r="K48">
        <v>1165</v>
      </c>
    </row>
    <row r="49" spans="1:11" s="9" customFormat="1" x14ac:dyDescent="0.3">
      <c r="A49" s="9" t="s">
        <v>14</v>
      </c>
      <c r="B49">
        <v>1102</v>
      </c>
      <c r="C49">
        <v>3205</v>
      </c>
      <c r="D49">
        <v>3259</v>
      </c>
      <c r="E49">
        <v>3442</v>
      </c>
      <c r="F49">
        <v>3593</v>
      </c>
      <c r="G49">
        <v>3283</v>
      </c>
      <c r="H49">
        <v>3489</v>
      </c>
      <c r="I49">
        <v>4096</v>
      </c>
      <c r="J49">
        <v>3983</v>
      </c>
      <c r="K49">
        <v>3534</v>
      </c>
    </row>
    <row r="50" spans="1:11" x14ac:dyDescent="0.3">
      <c r="A50" s="9" t="s">
        <v>8</v>
      </c>
      <c r="B50">
        <v>4549</v>
      </c>
      <c r="C50">
        <v>5062</v>
      </c>
      <c r="D50">
        <v>5022</v>
      </c>
      <c r="E50">
        <v>5393</v>
      </c>
      <c r="F50">
        <v>5052</v>
      </c>
      <c r="G50">
        <v>4975</v>
      </c>
      <c r="H50">
        <v>5425</v>
      </c>
      <c r="I50">
        <v>6365</v>
      </c>
      <c r="J50">
        <v>5863</v>
      </c>
      <c r="K50">
        <v>5365</v>
      </c>
    </row>
    <row r="51" spans="1:11" x14ac:dyDescent="0.3">
      <c r="A51" s="9"/>
    </row>
    <row r="52" spans="1:11" x14ac:dyDescent="0.3">
      <c r="A52" s="9"/>
    </row>
    <row r="53" spans="1:11" x14ac:dyDescent="0.3">
      <c r="A53" s="9"/>
    </row>
    <row r="54" spans="1:11" x14ac:dyDescent="0.3">
      <c r="A54" s="9"/>
    </row>
    <row r="55" spans="1:11" x14ac:dyDescent="0.3">
      <c r="A55" s="1" t="s">
        <v>40</v>
      </c>
    </row>
    <row r="56" spans="1:11" s="24" customFormat="1" x14ac:dyDescent="0.3">
      <c r="A56" s="23" t="s">
        <v>38</v>
      </c>
      <c r="B56" s="16">
        <v>41820</v>
      </c>
      <c r="C56" s="16">
        <v>42185</v>
      </c>
      <c r="D56" s="16">
        <v>42460</v>
      </c>
      <c r="E56" s="16">
        <v>42825</v>
      </c>
      <c r="F56" s="16">
        <v>43190</v>
      </c>
      <c r="G56" s="16">
        <v>43555</v>
      </c>
      <c r="H56" s="16">
        <v>43921</v>
      </c>
      <c r="I56" s="16">
        <v>44286</v>
      </c>
      <c r="J56" s="16">
        <v>44651</v>
      </c>
      <c r="K56" s="16">
        <v>45016</v>
      </c>
    </row>
    <row r="57" spans="1:11" x14ac:dyDescent="0.3">
      <c r="A57" s="9" t="s">
        <v>24</v>
      </c>
      <c r="B57">
        <v>140</v>
      </c>
      <c r="C57">
        <v>281.2</v>
      </c>
      <c r="D57">
        <v>282.08</v>
      </c>
      <c r="E57">
        <v>285</v>
      </c>
      <c r="F57">
        <v>278</v>
      </c>
      <c r="G57">
        <v>271</v>
      </c>
      <c r="H57">
        <v>543</v>
      </c>
      <c r="I57">
        <v>543</v>
      </c>
      <c r="J57">
        <v>543</v>
      </c>
      <c r="K57">
        <v>543</v>
      </c>
    </row>
    <row r="58" spans="1:11" x14ac:dyDescent="0.3">
      <c r="A58" s="9" t="s">
        <v>25</v>
      </c>
      <c r="B58">
        <v>19409.830000000002</v>
      </c>
      <c r="C58">
        <v>23943.21</v>
      </c>
      <c r="D58">
        <v>27108.69</v>
      </c>
      <c r="E58">
        <v>32664</v>
      </c>
      <c r="F58">
        <v>36108</v>
      </c>
      <c r="G58">
        <v>41095</v>
      </c>
      <c r="H58">
        <v>50724</v>
      </c>
      <c r="I58">
        <v>59370</v>
      </c>
      <c r="J58">
        <v>61371</v>
      </c>
      <c r="K58">
        <v>64862</v>
      </c>
    </row>
    <row r="59" spans="1:11" x14ac:dyDescent="0.3">
      <c r="A59" s="9" t="s">
        <v>71</v>
      </c>
      <c r="B59">
        <v>1018.05</v>
      </c>
      <c r="C59">
        <v>647.76</v>
      </c>
      <c r="D59">
        <v>1090.3599999999999</v>
      </c>
      <c r="E59">
        <v>582</v>
      </c>
      <c r="F59">
        <v>557</v>
      </c>
      <c r="G59">
        <v>4195</v>
      </c>
      <c r="H59">
        <v>7986</v>
      </c>
      <c r="I59">
        <v>6864</v>
      </c>
      <c r="J59">
        <v>6343</v>
      </c>
      <c r="K59">
        <v>4794</v>
      </c>
    </row>
    <row r="60" spans="1:11" x14ac:dyDescent="0.3">
      <c r="A60" s="9" t="s">
        <v>72</v>
      </c>
      <c r="B60">
        <v>9411.81</v>
      </c>
      <c r="C60">
        <v>10372.5</v>
      </c>
      <c r="D60">
        <v>10859.47</v>
      </c>
      <c r="E60">
        <v>12231</v>
      </c>
      <c r="F60">
        <v>11046</v>
      </c>
      <c r="G60">
        <v>12788</v>
      </c>
      <c r="H60">
        <v>23566</v>
      </c>
      <c r="I60">
        <v>19270</v>
      </c>
      <c r="J60">
        <v>20664</v>
      </c>
      <c r="K60">
        <v>23051</v>
      </c>
    </row>
    <row r="61" spans="1:11" s="1" customFormat="1" x14ac:dyDescent="0.3">
      <c r="A61" s="1" t="s">
        <v>26</v>
      </c>
      <c r="B61">
        <v>29979.69</v>
      </c>
      <c r="C61">
        <v>35244.67</v>
      </c>
      <c r="D61">
        <v>39340.6</v>
      </c>
      <c r="E61">
        <v>45762</v>
      </c>
      <c r="F61">
        <v>47989</v>
      </c>
      <c r="G61">
        <v>58349</v>
      </c>
      <c r="H61">
        <v>82819</v>
      </c>
      <c r="I61">
        <v>86047</v>
      </c>
      <c r="J61">
        <v>88921</v>
      </c>
      <c r="K61">
        <v>93250</v>
      </c>
    </row>
    <row r="62" spans="1:11" x14ac:dyDescent="0.3">
      <c r="A62" s="9" t="s">
        <v>27</v>
      </c>
      <c r="B62">
        <v>7443.94</v>
      </c>
      <c r="C62">
        <v>8275.27</v>
      </c>
      <c r="D62">
        <v>9716.09</v>
      </c>
      <c r="E62">
        <v>15235</v>
      </c>
      <c r="F62">
        <v>18753</v>
      </c>
      <c r="G62">
        <v>22888</v>
      </c>
      <c r="H62">
        <v>37490</v>
      </c>
      <c r="I62">
        <v>37145</v>
      </c>
      <c r="J62">
        <v>35077</v>
      </c>
      <c r="K62">
        <v>34619</v>
      </c>
    </row>
    <row r="63" spans="1:11" x14ac:dyDescent="0.3">
      <c r="A63" s="9" t="s">
        <v>28</v>
      </c>
      <c r="B63">
        <v>530.95000000000005</v>
      </c>
      <c r="C63">
        <v>551.52</v>
      </c>
      <c r="D63">
        <v>610.9</v>
      </c>
      <c r="E63">
        <v>448</v>
      </c>
      <c r="F63">
        <v>320</v>
      </c>
      <c r="G63">
        <v>235</v>
      </c>
      <c r="H63">
        <v>400</v>
      </c>
      <c r="I63">
        <v>312</v>
      </c>
      <c r="J63">
        <v>129</v>
      </c>
      <c r="K63">
        <v>40</v>
      </c>
    </row>
    <row r="64" spans="1:11" x14ac:dyDescent="0.3">
      <c r="A64" s="9" t="s">
        <v>29</v>
      </c>
      <c r="B64">
        <v>661.69</v>
      </c>
      <c r="C64">
        <v>869.39</v>
      </c>
      <c r="D64">
        <v>698.38</v>
      </c>
      <c r="E64">
        <v>1306</v>
      </c>
      <c r="F64">
        <v>2660</v>
      </c>
      <c r="G64">
        <v>2305</v>
      </c>
      <c r="H64">
        <v>7066</v>
      </c>
      <c r="I64">
        <v>6862</v>
      </c>
      <c r="J64">
        <v>6351</v>
      </c>
      <c r="K64">
        <v>5495</v>
      </c>
    </row>
    <row r="65" spans="1:11" x14ac:dyDescent="0.3">
      <c r="A65" s="9" t="s">
        <v>73</v>
      </c>
      <c r="B65">
        <v>21343.11</v>
      </c>
      <c r="C65">
        <v>25548.49</v>
      </c>
      <c r="D65">
        <v>28315.23</v>
      </c>
      <c r="E65">
        <v>28773</v>
      </c>
      <c r="F65">
        <v>26256</v>
      </c>
      <c r="G65">
        <v>32921</v>
      </c>
      <c r="H65">
        <v>37863</v>
      </c>
      <c r="I65">
        <v>41728</v>
      </c>
      <c r="J65">
        <v>47364</v>
      </c>
      <c r="K65">
        <v>53096</v>
      </c>
    </row>
    <row r="66" spans="1:11" s="1" customFormat="1" x14ac:dyDescent="0.3">
      <c r="A66" s="1" t="s">
        <v>26</v>
      </c>
      <c r="B66">
        <v>29979.69</v>
      </c>
      <c r="C66">
        <v>35244.67</v>
      </c>
      <c r="D66">
        <v>39340.6</v>
      </c>
      <c r="E66">
        <v>45762</v>
      </c>
      <c r="F66">
        <v>47989</v>
      </c>
      <c r="G66">
        <v>58349</v>
      </c>
      <c r="H66">
        <v>82819</v>
      </c>
      <c r="I66">
        <v>86047</v>
      </c>
      <c r="J66">
        <v>88921</v>
      </c>
      <c r="K66">
        <v>93250</v>
      </c>
    </row>
    <row r="67" spans="1:11" s="9" customFormat="1" x14ac:dyDescent="0.3">
      <c r="A67" s="9" t="s">
        <v>78</v>
      </c>
      <c r="B67">
        <v>5682.84</v>
      </c>
      <c r="C67">
        <v>6538.69</v>
      </c>
      <c r="D67">
        <v>7721.14</v>
      </c>
      <c r="E67">
        <v>8301</v>
      </c>
      <c r="F67">
        <v>9639</v>
      </c>
      <c r="G67">
        <v>11706</v>
      </c>
      <c r="H67">
        <v>14131</v>
      </c>
      <c r="I67">
        <v>17525</v>
      </c>
      <c r="J67">
        <v>20671</v>
      </c>
      <c r="K67">
        <v>25506</v>
      </c>
    </row>
    <row r="68" spans="1:11" x14ac:dyDescent="0.3">
      <c r="A68" s="9" t="s">
        <v>45</v>
      </c>
      <c r="B68">
        <v>122.3</v>
      </c>
      <c r="C68">
        <v>157.61000000000001</v>
      </c>
      <c r="D68">
        <v>264.48</v>
      </c>
      <c r="E68">
        <v>276</v>
      </c>
      <c r="F68">
        <v>172</v>
      </c>
      <c r="G68">
        <v>91</v>
      </c>
      <c r="H68">
        <v>91</v>
      </c>
      <c r="I68">
        <v>94</v>
      </c>
      <c r="J68">
        <v>161</v>
      </c>
      <c r="K68">
        <v>228</v>
      </c>
    </row>
    <row r="69" spans="1:11" x14ac:dyDescent="0.3">
      <c r="A69" s="5" t="s">
        <v>87</v>
      </c>
      <c r="B69">
        <v>8807.2999999999993</v>
      </c>
      <c r="C69">
        <v>9786.23</v>
      </c>
      <c r="D69">
        <v>9334.6</v>
      </c>
      <c r="E69">
        <v>9044</v>
      </c>
      <c r="F69">
        <v>4018</v>
      </c>
      <c r="G69">
        <v>7872</v>
      </c>
      <c r="H69">
        <v>4976</v>
      </c>
      <c r="I69">
        <v>8888</v>
      </c>
      <c r="J69">
        <v>12636</v>
      </c>
      <c r="K69">
        <v>14724</v>
      </c>
    </row>
    <row r="70" spans="1:11" x14ac:dyDescent="0.3">
      <c r="A70" s="5" t="s">
        <v>74</v>
      </c>
      <c r="B70">
        <v>699976400</v>
      </c>
      <c r="C70">
        <v>1405978400</v>
      </c>
      <c r="D70">
        <v>1410381314</v>
      </c>
      <c r="E70">
        <v>1426783424</v>
      </c>
      <c r="F70">
        <v>1392246384</v>
      </c>
      <c r="G70">
        <v>1356278868</v>
      </c>
      <c r="H70">
        <v>2713665096</v>
      </c>
      <c r="I70">
        <v>2713665096</v>
      </c>
      <c r="J70">
        <v>2713665096</v>
      </c>
      <c r="K70">
        <v>2713665096</v>
      </c>
    </row>
    <row r="71" spans="1:11" x14ac:dyDescent="0.3">
      <c r="A71" s="5" t="s">
        <v>75</v>
      </c>
      <c r="C71">
        <v>702848000</v>
      </c>
    </row>
    <row r="72" spans="1:11" x14ac:dyDescent="0.3">
      <c r="A72" s="5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">
      <c r="A74" s="9"/>
    </row>
    <row r="75" spans="1:11" x14ac:dyDescent="0.3">
      <c r="A75" s="9"/>
    </row>
    <row r="76" spans="1:11" x14ac:dyDescent="0.3">
      <c r="A76" s="9"/>
    </row>
    <row r="77" spans="1:11" x14ac:dyDescent="0.3">
      <c r="A77" s="9"/>
    </row>
    <row r="78" spans="1:11" x14ac:dyDescent="0.3">
      <c r="A78" s="9"/>
    </row>
    <row r="79" spans="1:11" x14ac:dyDescent="0.3">
      <c r="A79" s="9"/>
    </row>
    <row r="80" spans="1:11" x14ac:dyDescent="0.3">
      <c r="A80" s="1" t="s">
        <v>41</v>
      </c>
    </row>
    <row r="81" spans="1:11" s="24" customFormat="1" x14ac:dyDescent="0.3">
      <c r="A81" s="23" t="s">
        <v>38</v>
      </c>
      <c r="B81" s="16">
        <v>41820</v>
      </c>
      <c r="C81" s="16">
        <v>42185</v>
      </c>
      <c r="D81" s="16">
        <v>42460</v>
      </c>
      <c r="E81" s="16">
        <v>42825</v>
      </c>
      <c r="F81" s="16">
        <v>43190</v>
      </c>
      <c r="G81" s="16">
        <v>43555</v>
      </c>
      <c r="H81" s="16">
        <v>43921</v>
      </c>
      <c r="I81" s="16">
        <v>44286</v>
      </c>
      <c r="J81" s="16">
        <v>44651</v>
      </c>
      <c r="K81" s="16">
        <v>45016</v>
      </c>
    </row>
    <row r="82" spans="1:11" s="1" customFormat="1" x14ac:dyDescent="0.3">
      <c r="A82" s="9" t="s">
        <v>32</v>
      </c>
      <c r="B82">
        <v>6456.78</v>
      </c>
      <c r="C82">
        <v>5539.2</v>
      </c>
      <c r="D82">
        <v>3822.62</v>
      </c>
      <c r="E82">
        <v>8995</v>
      </c>
      <c r="F82">
        <v>8328</v>
      </c>
      <c r="G82">
        <v>8971</v>
      </c>
      <c r="H82">
        <v>13359</v>
      </c>
      <c r="I82">
        <v>19618</v>
      </c>
      <c r="J82">
        <v>16900</v>
      </c>
      <c r="K82">
        <v>18009</v>
      </c>
    </row>
    <row r="83" spans="1:11" s="9" customFormat="1" x14ac:dyDescent="0.3">
      <c r="A83" s="9" t="s">
        <v>33</v>
      </c>
      <c r="B83">
        <v>-4842.28</v>
      </c>
      <c r="C83">
        <v>-2087.5700000000002</v>
      </c>
      <c r="D83">
        <v>-2208.4299999999998</v>
      </c>
      <c r="E83">
        <v>-3890</v>
      </c>
      <c r="F83">
        <v>-2236</v>
      </c>
      <c r="G83">
        <v>-3256</v>
      </c>
      <c r="H83">
        <v>-12332</v>
      </c>
      <c r="I83">
        <v>-5665</v>
      </c>
      <c r="J83">
        <v>1597</v>
      </c>
      <c r="K83">
        <v>-3573</v>
      </c>
    </row>
    <row r="84" spans="1:11" s="9" customFormat="1" x14ac:dyDescent="0.3">
      <c r="A84" s="9" t="s">
        <v>34</v>
      </c>
      <c r="B84">
        <v>-1307.97</v>
      </c>
      <c r="C84">
        <v>-3140.34</v>
      </c>
      <c r="D84">
        <v>-2237.09</v>
      </c>
      <c r="E84">
        <v>-4517</v>
      </c>
      <c r="F84">
        <v>-5714</v>
      </c>
      <c r="G84">
        <v>-1471</v>
      </c>
      <c r="H84">
        <v>-3168</v>
      </c>
      <c r="I84">
        <v>-11192</v>
      </c>
      <c r="J84">
        <v>-14508</v>
      </c>
      <c r="K84">
        <v>-15881</v>
      </c>
    </row>
    <row r="85" spans="1:11" s="1" customFormat="1" x14ac:dyDescent="0.3">
      <c r="A85" s="9" t="s">
        <v>35</v>
      </c>
      <c r="B85">
        <v>306.52999999999997</v>
      </c>
      <c r="C85">
        <v>311.29000000000002</v>
      </c>
      <c r="D85">
        <v>-622.9</v>
      </c>
      <c r="E85">
        <v>588</v>
      </c>
      <c r="F85">
        <v>378</v>
      </c>
      <c r="G85">
        <v>4244</v>
      </c>
      <c r="H85">
        <v>-2141</v>
      </c>
      <c r="I85">
        <v>2761</v>
      </c>
      <c r="J85">
        <v>3989</v>
      </c>
      <c r="K85">
        <v>-1445</v>
      </c>
    </row>
    <row r="86" spans="1:11" x14ac:dyDescent="0.3">
      <c r="A86" s="9"/>
    </row>
    <row r="87" spans="1:11" x14ac:dyDescent="0.3">
      <c r="A87" s="9"/>
    </row>
    <row r="88" spans="1:11" x14ac:dyDescent="0.3">
      <c r="A88" s="9"/>
    </row>
    <row r="89" spans="1:11" x14ac:dyDescent="0.3">
      <c r="A89" s="9"/>
    </row>
    <row r="90" spans="1:11" s="1" customFormat="1" x14ac:dyDescent="0.3">
      <c r="A90" s="1" t="s">
        <v>77</v>
      </c>
      <c r="B90">
        <v>375.04</v>
      </c>
      <c r="C90">
        <v>459.88</v>
      </c>
      <c r="D90">
        <v>407.05</v>
      </c>
      <c r="E90">
        <v>437.38</v>
      </c>
      <c r="F90">
        <v>484.3</v>
      </c>
      <c r="G90">
        <v>543.73</v>
      </c>
      <c r="H90">
        <v>436.4</v>
      </c>
      <c r="I90">
        <v>982.65</v>
      </c>
      <c r="J90">
        <v>1163.75</v>
      </c>
      <c r="K90">
        <v>1085.25</v>
      </c>
    </row>
    <row r="92" spans="1:11" s="1" customFormat="1" x14ac:dyDescent="0.3">
      <c r="A92" s="1" t="s">
        <v>76</v>
      </c>
    </row>
    <row r="93" spans="1:11" x14ac:dyDescent="0.3">
      <c r="A93" s="5" t="s">
        <v>89</v>
      </c>
      <c r="B93" s="31">
        <v>280</v>
      </c>
      <c r="C93" s="31">
        <v>281.2</v>
      </c>
      <c r="D93" s="31">
        <v>282.08</v>
      </c>
      <c r="E93" s="31">
        <v>285.36</v>
      </c>
      <c r="F93" s="31">
        <v>278.45</v>
      </c>
      <c r="G93" s="31">
        <v>271.26</v>
      </c>
      <c r="H93" s="31">
        <v>271.37</v>
      </c>
      <c r="I93" s="31">
        <v>271.37</v>
      </c>
      <c r="J93" s="31">
        <v>271.37</v>
      </c>
      <c r="K93" s="31">
        <v>271.37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34"/>
  <sheetViews>
    <sheetView topLeftCell="A7" zoomScale="90" zoomScaleNormal="90" workbookViewId="0">
      <selection activeCell="N25" sqref="N25:N32"/>
    </sheetView>
  </sheetViews>
  <sheetFormatPr defaultRowHeight="14.4" x14ac:dyDescent="0.3"/>
  <cols>
    <col min="2" max="2" width="25.77734375" bestFit="1" customWidth="1"/>
    <col min="3" max="6" width="0" hidden="1" customWidth="1"/>
  </cols>
  <sheetData>
    <row r="1" spans="2:14" x14ac:dyDescent="0.3">
      <c r="G1" s="95">
        <v>42430</v>
      </c>
      <c r="H1" s="95">
        <v>42795</v>
      </c>
      <c r="I1" s="95">
        <v>43160</v>
      </c>
      <c r="J1" s="95">
        <v>43525</v>
      </c>
      <c r="K1" s="95">
        <v>43891</v>
      </c>
      <c r="L1" s="95">
        <v>44256</v>
      </c>
      <c r="M1" s="95">
        <v>44621</v>
      </c>
      <c r="N1" s="95">
        <v>44986</v>
      </c>
    </row>
    <row r="2" spans="2:14" x14ac:dyDescent="0.3">
      <c r="B2" s="92" t="s">
        <v>233</v>
      </c>
      <c r="C2" s="93">
        <v>2418</v>
      </c>
      <c r="D2" s="93">
        <v>4492</v>
      </c>
      <c r="E2" s="93">
        <v>6457</v>
      </c>
      <c r="F2" s="93">
        <v>5539</v>
      </c>
      <c r="G2" s="93">
        <v>3823</v>
      </c>
      <c r="H2" s="93">
        <v>8995</v>
      </c>
      <c r="I2" s="93">
        <v>8328</v>
      </c>
      <c r="J2" s="93">
        <v>8971</v>
      </c>
      <c r="K2" s="93">
        <v>13359</v>
      </c>
      <c r="L2" s="93">
        <v>19618</v>
      </c>
      <c r="M2" s="93">
        <v>16900</v>
      </c>
      <c r="N2" s="93">
        <v>18009</v>
      </c>
    </row>
    <row r="3" spans="2:14" x14ac:dyDescent="0.3">
      <c r="B3" s="92" t="s">
        <v>122</v>
      </c>
      <c r="C3" s="93">
        <v>4150</v>
      </c>
      <c r="D3" s="93">
        <v>5905</v>
      </c>
      <c r="E3" s="93">
        <v>8146</v>
      </c>
      <c r="F3" s="93">
        <v>8502</v>
      </c>
      <c r="G3" s="93">
        <v>6735</v>
      </c>
      <c r="H3" s="93">
        <v>10681</v>
      </c>
      <c r="I3" s="93">
        <v>11918</v>
      </c>
      <c r="J3" s="93">
        <v>14058</v>
      </c>
      <c r="K3" s="93">
        <v>17477</v>
      </c>
      <c r="L3" s="93">
        <v>20022</v>
      </c>
      <c r="M3" s="93">
        <v>20892</v>
      </c>
      <c r="N3" s="93">
        <v>23012</v>
      </c>
    </row>
    <row r="4" spans="2:14" x14ac:dyDescent="0.3">
      <c r="B4" s="58" t="s">
        <v>78</v>
      </c>
      <c r="C4" s="59">
        <v>-946</v>
      </c>
      <c r="D4" s="59">
        <v>-639</v>
      </c>
      <c r="E4" s="61">
        <v>-1188</v>
      </c>
      <c r="F4" s="59">
        <v>-887</v>
      </c>
      <c r="G4" s="61">
        <v>-1087</v>
      </c>
      <c r="H4" s="59">
        <v>-743</v>
      </c>
      <c r="I4" s="61">
        <v>-1126</v>
      </c>
      <c r="J4" s="61">
        <v>-1458</v>
      </c>
      <c r="K4" s="61">
        <v>-1957</v>
      </c>
      <c r="L4" s="59">
        <v>585</v>
      </c>
      <c r="M4" s="61">
        <v>-2809</v>
      </c>
      <c r="N4" s="61">
        <v>-3240</v>
      </c>
    </row>
    <row r="5" spans="2:14" x14ac:dyDescent="0.3">
      <c r="B5" s="58" t="s">
        <v>45</v>
      </c>
      <c r="C5" s="59">
        <v>-51</v>
      </c>
      <c r="D5" s="59">
        <v>2</v>
      </c>
      <c r="E5" s="59">
        <v>113</v>
      </c>
      <c r="F5" s="59">
        <v>-41</v>
      </c>
      <c r="G5" s="59">
        <v>-87</v>
      </c>
      <c r="H5" s="59">
        <v>-20</v>
      </c>
      <c r="I5" s="59">
        <v>117</v>
      </c>
      <c r="J5" s="59">
        <v>108</v>
      </c>
      <c r="K5" s="59">
        <v>24</v>
      </c>
      <c r="L5" s="59">
        <v>72</v>
      </c>
      <c r="M5" s="59">
        <v>207</v>
      </c>
      <c r="N5" s="59">
        <v>-37</v>
      </c>
    </row>
    <row r="6" spans="2:14" x14ac:dyDescent="0.3">
      <c r="B6" s="58" t="s">
        <v>123</v>
      </c>
      <c r="C6" s="61">
        <v>1049</v>
      </c>
      <c r="D6" s="59">
        <v>0</v>
      </c>
      <c r="E6" s="59">
        <v>0</v>
      </c>
      <c r="F6" s="59">
        <v>0</v>
      </c>
      <c r="G6" s="59">
        <v>48</v>
      </c>
      <c r="H6" s="59">
        <v>56</v>
      </c>
      <c r="I6" s="59">
        <v>243</v>
      </c>
      <c r="J6" s="59">
        <v>377</v>
      </c>
      <c r="K6" s="59">
        <v>-208</v>
      </c>
      <c r="L6" s="59">
        <v>608</v>
      </c>
      <c r="M6" s="59">
        <v>718</v>
      </c>
      <c r="N6" s="59">
        <v>-175</v>
      </c>
    </row>
    <row r="7" spans="2:14" x14ac:dyDescent="0.3">
      <c r="B7" s="58" t="s">
        <v>124</v>
      </c>
      <c r="C7" s="59">
        <v>-327</v>
      </c>
      <c r="D7" s="59">
        <v>-367</v>
      </c>
      <c r="E7" s="59">
        <v>-173</v>
      </c>
      <c r="F7" s="59">
        <v>123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</row>
    <row r="8" spans="2:14" x14ac:dyDescent="0.3">
      <c r="B8" s="58" t="s">
        <v>125</v>
      </c>
      <c r="C8" s="59">
        <v>-555</v>
      </c>
      <c r="D8" s="59">
        <v>855</v>
      </c>
      <c r="E8" s="61">
        <v>1004</v>
      </c>
      <c r="F8" s="59">
        <v>-383</v>
      </c>
      <c r="G8" s="59">
        <v>-377</v>
      </c>
      <c r="H8" s="61">
        <v>1028</v>
      </c>
      <c r="I8" s="59">
        <v>-468</v>
      </c>
      <c r="J8" s="61">
        <v>-1493</v>
      </c>
      <c r="K8" s="59">
        <v>581</v>
      </c>
      <c r="L8" s="61">
        <v>1776</v>
      </c>
      <c r="M8" s="61">
        <v>1335</v>
      </c>
      <c r="N8" s="61">
        <v>2147</v>
      </c>
    </row>
    <row r="9" spans="2:14" x14ac:dyDescent="0.3">
      <c r="B9" s="92" t="s">
        <v>126</v>
      </c>
      <c r="C9" s="94">
        <v>-831</v>
      </c>
      <c r="D9" s="94">
        <v>-149</v>
      </c>
      <c r="E9" s="94">
        <v>-244</v>
      </c>
      <c r="F9" s="93">
        <v>-1188</v>
      </c>
      <c r="G9" s="93">
        <v>-1503</v>
      </c>
      <c r="H9" s="94">
        <v>321</v>
      </c>
      <c r="I9" s="93">
        <v>-1234</v>
      </c>
      <c r="J9" s="93">
        <v>-2466</v>
      </c>
      <c r="K9" s="93">
        <v>-1560</v>
      </c>
      <c r="L9" s="93">
        <v>3041</v>
      </c>
      <c r="M9" s="94">
        <v>-549</v>
      </c>
      <c r="N9" s="93">
        <v>-1305</v>
      </c>
    </row>
    <row r="10" spans="2:14" x14ac:dyDescent="0.3">
      <c r="B10" s="58" t="s">
        <v>127</v>
      </c>
      <c r="C10" s="59">
        <v>-766</v>
      </c>
      <c r="D10" s="61">
        <v>-1264</v>
      </c>
      <c r="E10" s="61">
        <v>-1445</v>
      </c>
      <c r="F10" s="61">
        <v>-1774</v>
      </c>
      <c r="G10" s="61">
        <v>-1409</v>
      </c>
      <c r="H10" s="61">
        <v>-2007</v>
      </c>
      <c r="I10" s="61">
        <v>-2356</v>
      </c>
      <c r="J10" s="61">
        <v>-2621</v>
      </c>
      <c r="K10" s="61">
        <v>-2558</v>
      </c>
      <c r="L10" s="61">
        <v>-3445</v>
      </c>
      <c r="M10" s="61">
        <v>-3443</v>
      </c>
      <c r="N10" s="61">
        <v>-3698</v>
      </c>
    </row>
    <row r="11" spans="2:14" x14ac:dyDescent="0.3">
      <c r="B11" s="58" t="s">
        <v>234</v>
      </c>
      <c r="C11" s="59">
        <v>-135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</row>
    <row r="12" spans="2:14" x14ac:dyDescent="0.3">
      <c r="B12" s="92" t="s">
        <v>235</v>
      </c>
      <c r="C12" s="93">
        <v>-1026</v>
      </c>
      <c r="D12" s="93">
        <v>-2361</v>
      </c>
      <c r="E12" s="93">
        <v>-4842</v>
      </c>
      <c r="F12" s="93">
        <v>-2088</v>
      </c>
      <c r="G12" s="93">
        <v>-2208</v>
      </c>
      <c r="H12" s="93">
        <v>-3890</v>
      </c>
      <c r="I12" s="93">
        <v>-2236</v>
      </c>
      <c r="J12" s="93">
        <v>-3256</v>
      </c>
      <c r="K12" s="93">
        <v>-12332</v>
      </c>
      <c r="L12" s="93">
        <v>-5665</v>
      </c>
      <c r="M12" s="93">
        <v>1597</v>
      </c>
      <c r="N12" s="93">
        <v>-3573</v>
      </c>
    </row>
    <row r="13" spans="2:14" x14ac:dyDescent="0.3">
      <c r="B13" s="58" t="s">
        <v>129</v>
      </c>
      <c r="C13" s="59">
        <v>-909</v>
      </c>
      <c r="D13" s="59">
        <v>-619</v>
      </c>
      <c r="E13" s="59">
        <v>-720</v>
      </c>
      <c r="F13" s="61">
        <v>-1208</v>
      </c>
      <c r="G13" s="59">
        <v>-942</v>
      </c>
      <c r="H13" s="61">
        <v>-3921</v>
      </c>
      <c r="I13" s="61">
        <v>-5344</v>
      </c>
      <c r="J13" s="61">
        <v>-3465</v>
      </c>
      <c r="K13" s="61">
        <v>-1866</v>
      </c>
      <c r="L13" s="61">
        <v>-1904</v>
      </c>
      <c r="M13" s="61">
        <v>-1645</v>
      </c>
      <c r="N13" s="61">
        <v>-1661</v>
      </c>
    </row>
    <row r="14" spans="2:14" x14ac:dyDescent="0.3">
      <c r="B14" s="58" t="s">
        <v>130</v>
      </c>
      <c r="C14" s="59">
        <v>4</v>
      </c>
      <c r="D14" s="59">
        <v>198</v>
      </c>
      <c r="E14" s="59">
        <v>61</v>
      </c>
      <c r="F14" s="59">
        <v>7</v>
      </c>
      <c r="G14" s="59">
        <v>194</v>
      </c>
      <c r="H14" s="59">
        <v>110</v>
      </c>
      <c r="I14" s="59">
        <v>23</v>
      </c>
      <c r="J14" s="59">
        <v>31</v>
      </c>
      <c r="K14" s="59">
        <v>37</v>
      </c>
      <c r="L14" s="59">
        <v>151</v>
      </c>
      <c r="M14" s="59">
        <v>90</v>
      </c>
      <c r="N14" s="59">
        <v>217</v>
      </c>
    </row>
    <row r="15" spans="2:14" x14ac:dyDescent="0.3">
      <c r="B15" s="58" t="s">
        <v>246</v>
      </c>
      <c r="C15" s="59">
        <v>0</v>
      </c>
      <c r="D15" s="59">
        <v>0</v>
      </c>
      <c r="E15" s="59">
        <v>180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</row>
    <row r="16" spans="2:14" x14ac:dyDescent="0.3">
      <c r="B16" s="58" t="s">
        <v>131</v>
      </c>
      <c r="C16" s="61">
        <v>-4884</v>
      </c>
      <c r="D16" s="61">
        <v>-4771</v>
      </c>
      <c r="E16" s="61">
        <v>-7911</v>
      </c>
      <c r="F16" s="61">
        <v>-8215</v>
      </c>
      <c r="G16" s="61">
        <v>-6873</v>
      </c>
      <c r="H16" s="61">
        <v>-11685</v>
      </c>
      <c r="I16" s="61">
        <v>-20032</v>
      </c>
      <c r="J16" s="61">
        <v>-24257</v>
      </c>
      <c r="K16" s="61">
        <v>-35438</v>
      </c>
      <c r="L16" s="61">
        <v>-20799</v>
      </c>
      <c r="M16" s="61">
        <v>-32586</v>
      </c>
      <c r="N16" s="61">
        <v>-34623</v>
      </c>
    </row>
    <row r="17" spans="2:14" x14ac:dyDescent="0.3">
      <c r="B17" s="58" t="s">
        <v>132</v>
      </c>
      <c r="C17" s="61">
        <v>4980</v>
      </c>
      <c r="D17" s="61">
        <v>4817</v>
      </c>
      <c r="E17" s="61">
        <v>7985</v>
      </c>
      <c r="F17" s="61">
        <v>8155</v>
      </c>
      <c r="G17" s="61">
        <v>7121</v>
      </c>
      <c r="H17" s="61">
        <v>11210</v>
      </c>
      <c r="I17" s="61">
        <v>18714</v>
      </c>
      <c r="J17" s="61">
        <v>24777</v>
      </c>
      <c r="K17" s="61">
        <v>30785</v>
      </c>
      <c r="L17" s="61">
        <v>21109</v>
      </c>
      <c r="M17" s="61">
        <v>33215</v>
      </c>
      <c r="N17" s="61">
        <v>35635</v>
      </c>
    </row>
    <row r="18" spans="2:14" x14ac:dyDescent="0.3">
      <c r="B18" s="58" t="s">
        <v>133</v>
      </c>
      <c r="C18" s="59">
        <v>163</v>
      </c>
      <c r="D18" s="59">
        <v>175</v>
      </c>
      <c r="E18" s="59">
        <v>501</v>
      </c>
      <c r="F18" s="59">
        <v>830</v>
      </c>
      <c r="G18" s="59">
        <v>645</v>
      </c>
      <c r="H18" s="59">
        <v>854</v>
      </c>
      <c r="I18" s="59">
        <v>500</v>
      </c>
      <c r="J18" s="59">
        <v>511</v>
      </c>
      <c r="K18" s="59">
        <v>282</v>
      </c>
      <c r="L18" s="59">
        <v>676</v>
      </c>
      <c r="M18" s="59">
        <v>590</v>
      </c>
      <c r="N18" s="59">
        <v>636</v>
      </c>
    </row>
    <row r="19" spans="2:14" x14ac:dyDescent="0.3">
      <c r="B19" s="58" t="s">
        <v>134</v>
      </c>
      <c r="C19" s="59">
        <v>35</v>
      </c>
      <c r="D19" s="59">
        <v>24</v>
      </c>
      <c r="E19" s="59">
        <v>0</v>
      </c>
      <c r="F19" s="59">
        <v>6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</row>
    <row r="20" spans="2:14" x14ac:dyDescent="0.3">
      <c r="B20" s="58" t="s">
        <v>136</v>
      </c>
      <c r="C20" s="59">
        <v>-41</v>
      </c>
      <c r="D20" s="59">
        <v>0</v>
      </c>
      <c r="E20" s="59">
        <v>0</v>
      </c>
      <c r="F20" s="59">
        <v>0</v>
      </c>
      <c r="G20" s="59">
        <v>-14</v>
      </c>
      <c r="H20" s="59">
        <v>-14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</row>
    <row r="21" spans="2:14" x14ac:dyDescent="0.3">
      <c r="B21" s="58" t="s">
        <v>138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-144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</row>
    <row r="22" spans="2:14" x14ac:dyDescent="0.3">
      <c r="B22" s="58" t="s">
        <v>139</v>
      </c>
      <c r="C22" s="59">
        <v>-50</v>
      </c>
      <c r="D22" s="59">
        <v>-642</v>
      </c>
      <c r="E22" s="59">
        <v>171</v>
      </c>
      <c r="F22" s="59">
        <v>0</v>
      </c>
      <c r="G22" s="59">
        <v>-792</v>
      </c>
      <c r="H22" s="59">
        <v>-515</v>
      </c>
      <c r="I22" s="61">
        <v>-1143</v>
      </c>
      <c r="J22" s="61">
        <v>1978</v>
      </c>
      <c r="K22" s="61">
        <v>-1754</v>
      </c>
      <c r="L22" s="61">
        <v>-1422</v>
      </c>
      <c r="M22" s="61">
        <v>1633</v>
      </c>
      <c r="N22" s="59">
        <v>606</v>
      </c>
    </row>
    <row r="23" spans="2:14" x14ac:dyDescent="0.3">
      <c r="B23" s="58" t="s">
        <v>140</v>
      </c>
      <c r="C23" s="59">
        <v>-324</v>
      </c>
      <c r="D23" s="61">
        <v>-1545</v>
      </c>
      <c r="E23" s="61">
        <v>-5110</v>
      </c>
      <c r="F23" s="61">
        <v>-1662</v>
      </c>
      <c r="G23" s="61">
        <v>-1548</v>
      </c>
      <c r="H23" s="59">
        <v>71</v>
      </c>
      <c r="I23" s="61">
        <v>5190</v>
      </c>
      <c r="J23" s="61">
        <v>-2831</v>
      </c>
      <c r="K23" s="61">
        <v>-4378</v>
      </c>
      <c r="L23" s="61">
        <v>-3476</v>
      </c>
      <c r="M23" s="59">
        <v>300</v>
      </c>
      <c r="N23" s="61">
        <v>-4383</v>
      </c>
    </row>
    <row r="24" spans="2:14" x14ac:dyDescent="0.3">
      <c r="B24" s="92" t="s">
        <v>236</v>
      </c>
      <c r="C24" s="93">
        <v>-1239</v>
      </c>
      <c r="D24" s="93">
        <v>-2086</v>
      </c>
      <c r="E24" s="93">
        <v>-1308</v>
      </c>
      <c r="F24" s="93">
        <v>-3140</v>
      </c>
      <c r="G24" s="93">
        <v>-2237</v>
      </c>
      <c r="H24" s="93">
        <v>-4517</v>
      </c>
      <c r="I24" s="93">
        <v>-5714</v>
      </c>
      <c r="J24" s="93">
        <v>-1471</v>
      </c>
      <c r="K24" s="93">
        <v>-3168</v>
      </c>
      <c r="L24" s="93">
        <v>-11192</v>
      </c>
      <c r="M24" s="93">
        <v>-14508</v>
      </c>
      <c r="N24" s="93">
        <v>-15881</v>
      </c>
    </row>
    <row r="25" spans="2:14" x14ac:dyDescent="0.3">
      <c r="B25" s="58" t="s">
        <v>142</v>
      </c>
      <c r="C25" s="59">
        <v>39</v>
      </c>
      <c r="D25" s="59">
        <v>34</v>
      </c>
      <c r="E25" s="59">
        <v>34</v>
      </c>
      <c r="F25" s="59">
        <v>10</v>
      </c>
      <c r="G25" s="59">
        <v>1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</row>
    <row r="26" spans="2:14" x14ac:dyDescent="0.3">
      <c r="B26" s="58" t="s">
        <v>143</v>
      </c>
      <c r="C26" s="59">
        <v>-170</v>
      </c>
      <c r="D26" s="59">
        <v>-330</v>
      </c>
      <c r="E26" s="59">
        <v>0</v>
      </c>
      <c r="F26" s="59">
        <v>-500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</row>
    <row r="27" spans="2:14" x14ac:dyDescent="0.3">
      <c r="B27" s="58" t="s">
        <v>144</v>
      </c>
      <c r="C27" s="59">
        <v>811</v>
      </c>
      <c r="D27" s="59">
        <v>113</v>
      </c>
      <c r="E27" s="59">
        <v>85</v>
      </c>
      <c r="F27" s="59">
        <v>672</v>
      </c>
      <c r="G27" s="59">
        <v>745</v>
      </c>
      <c r="H27" s="59">
        <v>228</v>
      </c>
      <c r="I27" s="59">
        <v>19</v>
      </c>
      <c r="J27" s="61">
        <v>4500</v>
      </c>
      <c r="K27" s="61">
        <v>1085</v>
      </c>
      <c r="L27" s="61">
        <v>4567</v>
      </c>
      <c r="M27" s="59">
        <v>77</v>
      </c>
      <c r="N27" s="59">
        <v>124</v>
      </c>
    </row>
    <row r="28" spans="2:14" x14ac:dyDescent="0.3">
      <c r="B28" s="58" t="s">
        <v>145</v>
      </c>
      <c r="C28" s="59">
        <v>-994</v>
      </c>
      <c r="D28" s="61">
        <v>-1011</v>
      </c>
      <c r="E28" s="59">
        <v>-34</v>
      </c>
      <c r="F28" s="59">
        <v>-473</v>
      </c>
      <c r="G28" s="59">
        <v>-264</v>
      </c>
      <c r="H28" s="59">
        <v>-623</v>
      </c>
      <c r="I28" s="59">
        <v>-167</v>
      </c>
      <c r="J28" s="59">
        <v>-886</v>
      </c>
      <c r="K28" s="61">
        <v>-1331</v>
      </c>
      <c r="L28" s="61">
        <v>-11336</v>
      </c>
      <c r="M28" s="59">
        <v>-508</v>
      </c>
      <c r="N28" s="61">
        <v>-2003</v>
      </c>
    </row>
    <row r="29" spans="2:14" x14ac:dyDescent="0.3">
      <c r="B29" s="58" t="s">
        <v>146</v>
      </c>
      <c r="C29" s="59">
        <v>-114</v>
      </c>
      <c r="D29" s="59">
        <v>-75</v>
      </c>
      <c r="E29" s="59">
        <v>-54</v>
      </c>
      <c r="F29" s="59">
        <v>-24</v>
      </c>
      <c r="G29" s="59">
        <v>-8</v>
      </c>
      <c r="H29" s="59">
        <v>-19</v>
      </c>
      <c r="I29" s="59">
        <v>-14</v>
      </c>
      <c r="J29" s="59">
        <v>-71</v>
      </c>
      <c r="K29" s="59">
        <v>-136</v>
      </c>
      <c r="L29" s="59">
        <v>-139</v>
      </c>
      <c r="M29" s="59">
        <v>-69</v>
      </c>
      <c r="N29" s="59">
        <v>-80</v>
      </c>
    </row>
    <row r="30" spans="2:14" x14ac:dyDescent="0.3">
      <c r="B30" s="58" t="s">
        <v>147</v>
      </c>
      <c r="C30" s="59">
        <v>-691</v>
      </c>
      <c r="D30" s="59">
        <v>-695</v>
      </c>
      <c r="E30" s="61">
        <v>-1118</v>
      </c>
      <c r="F30" s="61">
        <v>-2385</v>
      </c>
      <c r="G30" s="61">
        <v>-2251</v>
      </c>
      <c r="H30" s="61">
        <v>-3386</v>
      </c>
      <c r="I30" s="61">
        <v>-1691</v>
      </c>
      <c r="J30" s="61">
        <v>-1099</v>
      </c>
      <c r="K30" s="61">
        <v>-1357</v>
      </c>
      <c r="L30" s="61">
        <v>-3256</v>
      </c>
      <c r="M30" s="61">
        <v>-11391</v>
      </c>
      <c r="N30" s="61">
        <v>-12995</v>
      </c>
    </row>
    <row r="31" spans="2:14" x14ac:dyDescent="0.3">
      <c r="B31" s="58" t="s">
        <v>148</v>
      </c>
      <c r="C31" s="59">
        <v>-8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61">
        <v>-1016</v>
      </c>
      <c r="M31" s="61">
        <v>-1067</v>
      </c>
      <c r="N31" s="59">
        <v>-927</v>
      </c>
    </row>
    <row r="32" spans="2:14" x14ac:dyDescent="0.3">
      <c r="B32" s="58" t="s">
        <v>149</v>
      </c>
      <c r="C32" s="59">
        <v>-112</v>
      </c>
      <c r="D32" s="59">
        <v>-123</v>
      </c>
      <c r="E32" s="59">
        <v>-221</v>
      </c>
      <c r="F32" s="59">
        <v>-441</v>
      </c>
      <c r="G32" s="59">
        <v>-460</v>
      </c>
      <c r="H32" s="59">
        <v>-717</v>
      </c>
      <c r="I32" s="61">
        <v>-3861</v>
      </c>
      <c r="J32" s="61">
        <v>-3915</v>
      </c>
      <c r="K32" s="61">
        <v>-1429</v>
      </c>
      <c r="L32" s="59">
        <v>-12</v>
      </c>
      <c r="M32" s="61">
        <v>-1550</v>
      </c>
      <c r="N32" s="59">
        <v>0</v>
      </c>
    </row>
    <row r="33" spans="2:14" x14ac:dyDescent="0.3">
      <c r="B33" s="92" t="s">
        <v>35</v>
      </c>
      <c r="C33" s="94">
        <v>153</v>
      </c>
      <c r="D33" s="94">
        <v>44</v>
      </c>
      <c r="E33" s="94">
        <v>307</v>
      </c>
      <c r="F33" s="94">
        <v>311</v>
      </c>
      <c r="G33" s="94">
        <v>-623</v>
      </c>
      <c r="H33" s="94">
        <v>588</v>
      </c>
      <c r="I33" s="94">
        <v>378</v>
      </c>
      <c r="J33" s="93">
        <v>4244</v>
      </c>
      <c r="K33" s="93">
        <v>-2141</v>
      </c>
      <c r="L33" s="93">
        <v>2761</v>
      </c>
      <c r="M33" s="93">
        <v>3989</v>
      </c>
      <c r="N33" s="93">
        <v>-1445</v>
      </c>
    </row>
    <row r="34" spans="2:14" x14ac:dyDescent="0.3">
      <c r="C34" s="36"/>
      <c r="D34" s="36"/>
      <c r="E34" s="36"/>
      <c r="F34" s="36"/>
      <c r="G34" s="36"/>
      <c r="H34" s="36"/>
      <c r="J34" s="36"/>
      <c r="K34" s="36"/>
      <c r="L34" s="36"/>
      <c r="M34" s="36"/>
      <c r="N34" s="3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3:N86"/>
  <sheetViews>
    <sheetView showGridLines="0" zoomScale="80" zoomScaleNormal="80" workbookViewId="0">
      <pane ySplit="3" topLeftCell="A4" activePane="bottomLeft" state="frozen"/>
      <selection pane="bottomLeft" activeCell="N10" sqref="N10:N11"/>
    </sheetView>
  </sheetViews>
  <sheetFormatPr defaultRowHeight="14.4" x14ac:dyDescent="0.3"/>
  <cols>
    <col min="1" max="1" width="1.88671875" customWidth="1"/>
    <col min="2" max="2" width="33.33203125" bestFit="1" customWidth="1"/>
    <col min="3" max="14" width="11.77734375" customWidth="1"/>
  </cols>
  <sheetData>
    <row r="3" spans="2:14" x14ac:dyDescent="0.3">
      <c r="B3" s="62" t="s">
        <v>220</v>
      </c>
      <c r="C3" s="63">
        <v>40969</v>
      </c>
      <c r="D3" s="63">
        <v>41334</v>
      </c>
      <c r="E3" s="63">
        <v>41699</v>
      </c>
      <c r="F3" s="63">
        <v>42064</v>
      </c>
      <c r="G3" s="63">
        <v>42430</v>
      </c>
      <c r="H3" s="63">
        <v>42795</v>
      </c>
      <c r="I3" s="63">
        <v>43160</v>
      </c>
      <c r="J3" s="63">
        <v>43525</v>
      </c>
      <c r="K3" s="63">
        <v>43891</v>
      </c>
      <c r="L3" s="63">
        <v>44256</v>
      </c>
      <c r="M3" s="63">
        <v>44621</v>
      </c>
      <c r="N3" s="63">
        <v>44986</v>
      </c>
    </row>
    <row r="4" spans="2:14" x14ac:dyDescent="0.3">
      <c r="B4" s="64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4" x14ac:dyDescent="0.3">
      <c r="B5" s="119" t="s">
        <v>252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2:14" s="116" customFormat="1" x14ac:dyDescent="0.3">
      <c r="B6" s="117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</row>
    <row r="7" spans="2:14" x14ac:dyDescent="0.3">
      <c r="B7" s="96" t="s">
        <v>192</v>
      </c>
      <c r="C7" s="107">
        <v>139</v>
      </c>
      <c r="D7" s="107">
        <v>139</v>
      </c>
      <c r="E7" s="107">
        <v>140</v>
      </c>
      <c r="F7" s="107">
        <v>281</v>
      </c>
      <c r="G7" s="107">
        <v>282</v>
      </c>
      <c r="H7" s="107">
        <v>285</v>
      </c>
      <c r="I7" s="107">
        <v>278</v>
      </c>
      <c r="J7" s="107">
        <v>271</v>
      </c>
      <c r="K7" s="107">
        <v>543</v>
      </c>
      <c r="L7" s="107">
        <v>543</v>
      </c>
      <c r="M7" s="107">
        <v>543</v>
      </c>
      <c r="N7" s="107">
        <v>543</v>
      </c>
    </row>
    <row r="8" spans="2:14" x14ac:dyDescent="0.3">
      <c r="B8" s="98" t="s">
        <v>25</v>
      </c>
      <c r="C8" s="104">
        <v>9699</v>
      </c>
      <c r="D8" s="104">
        <v>13025</v>
      </c>
      <c r="E8" s="104">
        <v>19410</v>
      </c>
      <c r="F8" s="104">
        <v>23943</v>
      </c>
      <c r="G8" s="104">
        <v>27109</v>
      </c>
      <c r="H8" s="104">
        <v>32664</v>
      </c>
      <c r="I8" s="104">
        <v>36108</v>
      </c>
      <c r="J8" s="104">
        <v>41095</v>
      </c>
      <c r="K8" s="104">
        <v>50724</v>
      </c>
      <c r="L8" s="104">
        <v>59370</v>
      </c>
      <c r="M8" s="104">
        <v>61371</v>
      </c>
      <c r="N8" s="104">
        <v>64862</v>
      </c>
    </row>
    <row r="9" spans="2:14" x14ac:dyDescent="0.3">
      <c r="B9" s="96" t="s">
        <v>248</v>
      </c>
      <c r="C9" s="97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</row>
    <row r="10" spans="2:14" x14ac:dyDescent="0.3">
      <c r="B10" s="100" t="s">
        <v>193</v>
      </c>
      <c r="C10" s="97">
        <v>1077</v>
      </c>
      <c r="D10" s="104">
        <v>797</v>
      </c>
      <c r="E10" s="104">
        <v>201</v>
      </c>
      <c r="F10" s="104">
        <v>168</v>
      </c>
      <c r="G10" s="104">
        <v>737</v>
      </c>
      <c r="H10" s="104">
        <v>383</v>
      </c>
      <c r="I10" s="104">
        <v>338</v>
      </c>
      <c r="J10" s="104">
        <v>2977</v>
      </c>
      <c r="K10" s="104">
        <v>2848</v>
      </c>
      <c r="L10" s="104">
        <v>3828</v>
      </c>
      <c r="M10" s="104">
        <v>3923</v>
      </c>
      <c r="N10" s="104">
        <v>2111</v>
      </c>
    </row>
    <row r="11" spans="2:14" x14ac:dyDescent="0.3">
      <c r="B11" s="100" t="s">
        <v>194</v>
      </c>
      <c r="C11" s="106">
        <v>449</v>
      </c>
      <c r="D11" s="104">
        <v>129</v>
      </c>
      <c r="E11" s="104">
        <v>206</v>
      </c>
      <c r="F11" s="104">
        <v>355</v>
      </c>
      <c r="G11" s="104">
        <v>214</v>
      </c>
      <c r="H11" s="104">
        <v>55</v>
      </c>
      <c r="I11" s="104">
        <v>42</v>
      </c>
      <c r="J11" s="104">
        <v>724</v>
      </c>
      <c r="K11" s="104">
        <v>1845</v>
      </c>
      <c r="L11" s="104">
        <v>79</v>
      </c>
      <c r="M11" s="104">
        <v>62</v>
      </c>
      <c r="N11" s="104">
        <v>140</v>
      </c>
    </row>
    <row r="12" spans="2:14" x14ac:dyDescent="0.3">
      <c r="B12" s="100" t="s">
        <v>195</v>
      </c>
      <c r="C12" s="104">
        <v>0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2894</v>
      </c>
      <c r="L12" s="104">
        <v>2594</v>
      </c>
      <c r="M12" s="104">
        <v>2358</v>
      </c>
      <c r="N12" s="104">
        <v>2535</v>
      </c>
    </row>
    <row r="13" spans="2:14" x14ac:dyDescent="0.3">
      <c r="B13" s="98" t="s">
        <v>196</v>
      </c>
      <c r="C13" s="105">
        <v>653</v>
      </c>
      <c r="D13" s="105">
        <v>119</v>
      </c>
      <c r="E13" s="105">
        <v>612</v>
      </c>
      <c r="F13" s="105">
        <v>124</v>
      </c>
      <c r="G13" s="105">
        <v>139</v>
      </c>
      <c r="H13" s="105">
        <v>144</v>
      </c>
      <c r="I13" s="105">
        <v>177</v>
      </c>
      <c r="J13" s="105">
        <v>494</v>
      </c>
      <c r="K13" s="105">
        <v>399</v>
      </c>
      <c r="L13" s="105">
        <v>363</v>
      </c>
      <c r="M13" s="105">
        <v>0</v>
      </c>
      <c r="N13" s="105">
        <v>8</v>
      </c>
    </row>
    <row r="14" spans="2:14" x14ac:dyDescent="0.3">
      <c r="B14" s="96" t="s">
        <v>249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</row>
    <row r="15" spans="2:14" x14ac:dyDescent="0.3">
      <c r="B15" s="100" t="s">
        <v>197</v>
      </c>
      <c r="C15" s="104">
        <v>1</v>
      </c>
      <c r="D15" s="104">
        <v>45</v>
      </c>
      <c r="E15" s="104">
        <v>57</v>
      </c>
      <c r="F15" s="104">
        <v>82</v>
      </c>
      <c r="G15" s="104">
        <v>211</v>
      </c>
      <c r="H15" s="104">
        <v>173</v>
      </c>
      <c r="I15" s="104">
        <v>0</v>
      </c>
      <c r="J15" s="104">
        <v>103</v>
      </c>
      <c r="K15" s="104">
        <v>154</v>
      </c>
      <c r="L15" s="104">
        <v>169</v>
      </c>
      <c r="M15" s="104">
        <v>92</v>
      </c>
      <c r="N15" s="104">
        <v>-7</v>
      </c>
    </row>
    <row r="16" spans="2:14" x14ac:dyDescent="0.3">
      <c r="B16" s="100" t="s">
        <v>198</v>
      </c>
      <c r="C16" s="104">
        <v>469</v>
      </c>
      <c r="D16" s="104">
        <v>401</v>
      </c>
      <c r="E16" s="104">
        <v>468</v>
      </c>
      <c r="F16" s="104">
        <v>625</v>
      </c>
      <c r="G16" s="104">
        <v>703</v>
      </c>
      <c r="H16" s="104">
        <v>801</v>
      </c>
      <c r="I16" s="104">
        <v>918</v>
      </c>
      <c r="J16" s="104">
        <v>1305</v>
      </c>
      <c r="K16" s="104">
        <v>1166</v>
      </c>
      <c r="L16" s="104">
        <v>5457</v>
      </c>
      <c r="M16" s="104">
        <v>6278</v>
      </c>
      <c r="N16" s="104">
        <v>6428</v>
      </c>
    </row>
    <row r="17" spans="2:14" x14ac:dyDescent="0.3">
      <c r="B17" s="100" t="s">
        <v>199</v>
      </c>
      <c r="C17" s="104">
        <v>65</v>
      </c>
      <c r="D17" s="104">
        <v>79</v>
      </c>
      <c r="E17" s="104">
        <v>45</v>
      </c>
      <c r="F17" s="104">
        <v>62</v>
      </c>
      <c r="G17" s="104">
        <v>47</v>
      </c>
      <c r="H17" s="104">
        <v>71</v>
      </c>
      <c r="I17" s="104">
        <v>65</v>
      </c>
      <c r="J17" s="104">
        <v>3</v>
      </c>
      <c r="K17" s="104">
        <v>252</v>
      </c>
      <c r="L17" s="104">
        <v>320</v>
      </c>
      <c r="M17" s="104">
        <v>222</v>
      </c>
      <c r="N17" s="104">
        <v>252</v>
      </c>
    </row>
    <row r="18" spans="2:14" ht="15" thickBot="1" x14ac:dyDescent="0.35">
      <c r="B18" s="98" t="s">
        <v>200</v>
      </c>
      <c r="C18" s="108">
        <v>5785</v>
      </c>
      <c r="D18" s="108">
        <v>7666</v>
      </c>
      <c r="E18" s="108">
        <v>8841</v>
      </c>
      <c r="F18" s="108">
        <v>9603</v>
      </c>
      <c r="G18" s="108">
        <v>9898</v>
      </c>
      <c r="H18" s="108">
        <v>11186</v>
      </c>
      <c r="I18" s="108">
        <v>10063</v>
      </c>
      <c r="J18" s="108">
        <v>11377</v>
      </c>
      <c r="K18" s="108">
        <v>21994</v>
      </c>
      <c r="L18" s="108">
        <v>13324</v>
      </c>
      <c r="M18" s="108">
        <v>14072</v>
      </c>
      <c r="N18" s="108">
        <v>16378</v>
      </c>
    </row>
    <row r="19" spans="2:14" ht="15" thickBot="1" x14ac:dyDescent="0.35">
      <c r="B19" s="111" t="s">
        <v>201</v>
      </c>
      <c r="C19" s="112">
        <v>18338</v>
      </c>
      <c r="D19" s="112">
        <v>22399</v>
      </c>
      <c r="E19" s="112">
        <v>29980</v>
      </c>
      <c r="F19" s="112">
        <v>35245</v>
      </c>
      <c r="G19" s="112">
        <v>39341</v>
      </c>
      <c r="H19" s="112">
        <v>45762</v>
      </c>
      <c r="I19" s="112">
        <v>47989</v>
      </c>
      <c r="J19" s="112">
        <v>58349</v>
      </c>
      <c r="K19" s="112">
        <v>82819</v>
      </c>
      <c r="L19" s="112">
        <v>86047</v>
      </c>
      <c r="M19" s="112">
        <v>88921</v>
      </c>
      <c r="N19" s="112">
        <v>93250</v>
      </c>
    </row>
    <row r="20" spans="2:14" x14ac:dyDescent="0.3">
      <c r="B20" s="98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</row>
    <row r="21" spans="2:14" x14ac:dyDescent="0.3">
      <c r="B21" s="96" t="s">
        <v>219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</row>
    <row r="22" spans="2:14" x14ac:dyDescent="0.3">
      <c r="B22" s="100" t="s">
        <v>202</v>
      </c>
      <c r="C22" s="107">
        <v>218</v>
      </c>
      <c r="D22" s="107">
        <v>256</v>
      </c>
      <c r="E22" s="107">
        <v>252</v>
      </c>
      <c r="F22" s="107">
        <v>360</v>
      </c>
      <c r="G22" s="107">
        <v>55</v>
      </c>
      <c r="H22" s="107">
        <v>55</v>
      </c>
      <c r="I22" s="107">
        <v>55</v>
      </c>
      <c r="J22" s="107">
        <v>74</v>
      </c>
      <c r="K22" s="107">
        <v>373</v>
      </c>
      <c r="L22" s="107">
        <v>356</v>
      </c>
      <c r="M22" s="107">
        <v>415</v>
      </c>
      <c r="N22" s="107">
        <v>410</v>
      </c>
    </row>
    <row r="23" spans="2:14" x14ac:dyDescent="0.3">
      <c r="B23" s="100" t="s">
        <v>203</v>
      </c>
      <c r="C23" s="104">
        <v>968</v>
      </c>
      <c r="D23" s="104">
        <v>1286</v>
      </c>
      <c r="E23" s="104">
        <v>1811</v>
      </c>
      <c r="F23" s="104">
        <v>2124</v>
      </c>
      <c r="G23" s="104">
        <v>2185</v>
      </c>
      <c r="H23" s="104">
        <v>2581</v>
      </c>
      <c r="I23" s="104">
        <v>2827</v>
      </c>
      <c r="J23" s="104">
        <v>2996</v>
      </c>
      <c r="K23" s="104">
        <v>5947</v>
      </c>
      <c r="L23" s="104">
        <v>5246</v>
      </c>
      <c r="M23" s="104">
        <v>5202</v>
      </c>
      <c r="N23" s="104">
        <v>5064</v>
      </c>
    </row>
    <row r="24" spans="2:14" x14ac:dyDescent="0.3">
      <c r="B24" s="100" t="s">
        <v>204</v>
      </c>
      <c r="C24" s="106">
        <v>772</v>
      </c>
      <c r="D24" s="106">
        <v>923</v>
      </c>
      <c r="E24" s="106">
        <v>1138</v>
      </c>
      <c r="F24" s="106">
        <v>1267</v>
      </c>
      <c r="G24" s="106">
        <v>1381</v>
      </c>
      <c r="H24" s="106">
        <v>1464</v>
      </c>
      <c r="I24" s="106">
        <v>1565</v>
      </c>
      <c r="J24" s="106">
        <v>1692</v>
      </c>
      <c r="K24" s="106">
        <v>1789</v>
      </c>
      <c r="L24" s="106">
        <v>1859</v>
      </c>
      <c r="M24" s="106">
        <v>1946</v>
      </c>
      <c r="N24" s="106">
        <v>1952</v>
      </c>
    </row>
    <row r="25" spans="2:14" x14ac:dyDescent="0.3">
      <c r="B25" s="100" t="s">
        <v>205</v>
      </c>
      <c r="C25" s="104">
        <v>235</v>
      </c>
      <c r="D25" s="104">
        <v>248</v>
      </c>
      <c r="E25" s="104">
        <v>221</v>
      </c>
      <c r="F25" s="104">
        <v>242</v>
      </c>
      <c r="G25" s="104">
        <v>252</v>
      </c>
      <c r="H25" s="104">
        <v>270</v>
      </c>
      <c r="I25" s="104">
        <v>296</v>
      </c>
      <c r="J25" s="104">
        <v>340</v>
      </c>
      <c r="K25" s="104">
        <v>363</v>
      </c>
      <c r="L25" s="104">
        <v>373</v>
      </c>
      <c r="M25" s="104">
        <v>385</v>
      </c>
      <c r="N25" s="104">
        <v>384</v>
      </c>
    </row>
    <row r="26" spans="2:14" x14ac:dyDescent="0.3">
      <c r="B26" s="100" t="s">
        <v>250</v>
      </c>
      <c r="C26" s="104">
        <v>2176</v>
      </c>
      <c r="D26" s="104">
        <v>2169</v>
      </c>
      <c r="E26" s="104">
        <v>2339</v>
      </c>
      <c r="F26" s="104">
        <v>2587</v>
      </c>
      <c r="G26" s="104">
        <v>3013</v>
      </c>
      <c r="H26" s="104">
        <v>3512</v>
      </c>
      <c r="I26" s="104">
        <v>4277</v>
      </c>
      <c r="J26" s="104">
        <v>5538</v>
      </c>
      <c r="K26" s="104">
        <v>6523</v>
      </c>
      <c r="L26" s="104">
        <v>6433</v>
      </c>
      <c r="M26" s="104">
        <v>6972</v>
      </c>
      <c r="N26" s="104">
        <v>8256</v>
      </c>
    </row>
    <row r="27" spans="2:14" x14ac:dyDescent="0.3">
      <c r="B27" s="100" t="s">
        <v>206</v>
      </c>
      <c r="C27" s="104">
        <v>588</v>
      </c>
      <c r="D27" s="104">
        <v>625</v>
      </c>
      <c r="E27" s="104">
        <v>653</v>
      </c>
      <c r="F27" s="104">
        <v>691</v>
      </c>
      <c r="G27" s="104">
        <v>698</v>
      </c>
      <c r="H27" s="104">
        <v>701</v>
      </c>
      <c r="I27" s="104">
        <v>718</v>
      </c>
      <c r="J27" s="104">
        <v>828</v>
      </c>
      <c r="K27" s="104">
        <v>884</v>
      </c>
      <c r="L27" s="104">
        <v>925</v>
      </c>
      <c r="M27" s="104">
        <v>939</v>
      </c>
      <c r="N27" s="104">
        <v>952</v>
      </c>
    </row>
    <row r="28" spans="2:14" x14ac:dyDescent="0.3">
      <c r="B28" s="100" t="s">
        <v>207</v>
      </c>
      <c r="C28" s="105">
        <v>75</v>
      </c>
      <c r="D28" s="105">
        <v>89</v>
      </c>
      <c r="E28" s="105">
        <v>89</v>
      </c>
      <c r="F28" s="105">
        <v>99</v>
      </c>
      <c r="G28" s="105">
        <v>105</v>
      </c>
      <c r="H28" s="105">
        <v>110</v>
      </c>
      <c r="I28" s="105">
        <v>119</v>
      </c>
      <c r="J28" s="105">
        <v>127</v>
      </c>
      <c r="K28" s="105">
        <v>143</v>
      </c>
      <c r="L28" s="105">
        <v>144</v>
      </c>
      <c r="M28" s="105">
        <v>143</v>
      </c>
      <c r="N28" s="105">
        <v>158</v>
      </c>
    </row>
    <row r="29" spans="2:14" x14ac:dyDescent="0.3">
      <c r="B29" s="100" t="s">
        <v>208</v>
      </c>
      <c r="C29" s="104">
        <v>4549</v>
      </c>
      <c r="D29" s="104">
        <v>4598</v>
      </c>
      <c r="E29" s="104">
        <v>4872</v>
      </c>
      <c r="F29" s="104">
        <v>4974</v>
      </c>
      <c r="G29" s="104">
        <v>5895</v>
      </c>
      <c r="H29" s="104">
        <v>10871</v>
      </c>
      <c r="I29" s="104">
        <v>14268</v>
      </c>
      <c r="J29" s="104">
        <v>18274</v>
      </c>
      <c r="K29" s="104">
        <v>24507</v>
      </c>
      <c r="L29" s="104">
        <v>26221</v>
      </c>
      <c r="M29" s="104">
        <v>26177</v>
      </c>
      <c r="N29" s="104">
        <v>27392</v>
      </c>
    </row>
    <row r="30" spans="2:14" s="37" customFormat="1" x14ac:dyDescent="0.3">
      <c r="B30" s="96" t="s">
        <v>209</v>
      </c>
      <c r="C30" s="104">
        <v>0</v>
      </c>
      <c r="D30" s="104">
        <v>0</v>
      </c>
      <c r="E30" s="104">
        <v>0</v>
      </c>
      <c r="F30" s="104">
        <v>0</v>
      </c>
      <c r="G30" s="104">
        <v>183</v>
      </c>
      <c r="H30" s="104">
        <v>436</v>
      </c>
      <c r="I30" s="104">
        <v>514</v>
      </c>
      <c r="J30" s="104">
        <v>861</v>
      </c>
      <c r="K30" s="104">
        <v>7340</v>
      </c>
      <c r="L30" s="104">
        <v>7764</v>
      </c>
      <c r="M30" s="104">
        <v>7910</v>
      </c>
      <c r="N30" s="104">
        <v>8023</v>
      </c>
    </row>
    <row r="31" spans="2:14" s="37" customFormat="1" x14ac:dyDescent="0.3">
      <c r="B31" s="96" t="s">
        <v>210</v>
      </c>
      <c r="C31" s="104">
        <v>9582</v>
      </c>
      <c r="D31" s="104">
        <v>10195</v>
      </c>
      <c r="E31" s="104">
        <v>11374</v>
      </c>
      <c r="F31" s="104">
        <v>12343</v>
      </c>
      <c r="G31" s="104">
        <v>13767</v>
      </c>
      <c r="H31" s="104">
        <v>20000</v>
      </c>
      <c r="I31" s="104">
        <v>24639</v>
      </c>
      <c r="J31" s="104">
        <v>30730</v>
      </c>
      <c r="K31" s="104">
        <v>47869</v>
      </c>
      <c r="L31" s="104">
        <v>49321</v>
      </c>
      <c r="M31" s="104">
        <v>50089</v>
      </c>
      <c r="N31" s="104">
        <v>52591</v>
      </c>
    </row>
    <row r="32" spans="2:14" s="37" customFormat="1" x14ac:dyDescent="0.3">
      <c r="B32" s="96" t="s">
        <v>211</v>
      </c>
      <c r="C32" s="104">
        <v>3129</v>
      </c>
      <c r="D32" s="104">
        <v>3443</v>
      </c>
      <c r="E32" s="104">
        <v>3930</v>
      </c>
      <c r="F32" s="104">
        <v>4068</v>
      </c>
      <c r="G32" s="104">
        <v>4051</v>
      </c>
      <c r="H32" s="104">
        <v>4765</v>
      </c>
      <c r="I32" s="104">
        <v>5886</v>
      </c>
      <c r="J32" s="104">
        <v>7842</v>
      </c>
      <c r="K32" s="104">
        <v>10379</v>
      </c>
      <c r="L32" s="104">
        <v>12176</v>
      </c>
      <c r="M32" s="104">
        <v>15012</v>
      </c>
      <c r="N32" s="104">
        <v>17972</v>
      </c>
    </row>
    <row r="33" spans="2:14" s="37" customFormat="1" x14ac:dyDescent="0.3">
      <c r="B33" s="96" t="s">
        <v>27</v>
      </c>
      <c r="C33" s="104">
        <f>C31-C32</f>
        <v>6453</v>
      </c>
      <c r="D33" s="104">
        <f t="shared" ref="D33:N33" si="0">D31-D32</f>
        <v>6752</v>
      </c>
      <c r="E33" s="104">
        <f t="shared" si="0"/>
        <v>7444</v>
      </c>
      <c r="F33" s="104">
        <f t="shared" si="0"/>
        <v>8275</v>
      </c>
      <c r="G33" s="104">
        <f t="shared" si="0"/>
        <v>9716</v>
      </c>
      <c r="H33" s="104">
        <f t="shared" si="0"/>
        <v>15235</v>
      </c>
      <c r="I33" s="104">
        <f t="shared" si="0"/>
        <v>18753</v>
      </c>
      <c r="J33" s="104">
        <f t="shared" si="0"/>
        <v>22888</v>
      </c>
      <c r="K33" s="104">
        <f t="shared" si="0"/>
        <v>37490</v>
      </c>
      <c r="L33" s="104">
        <f t="shared" si="0"/>
        <v>37145</v>
      </c>
      <c r="M33" s="104">
        <f t="shared" si="0"/>
        <v>35077</v>
      </c>
      <c r="N33" s="104">
        <f t="shared" si="0"/>
        <v>34619</v>
      </c>
    </row>
    <row r="34" spans="2:14" s="37" customFormat="1" x14ac:dyDescent="0.3">
      <c r="B34" s="9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</row>
    <row r="35" spans="2:14" s="37" customFormat="1" x14ac:dyDescent="0.3">
      <c r="B35" s="96" t="s">
        <v>212</v>
      </c>
      <c r="C35" s="107">
        <v>578</v>
      </c>
      <c r="D35" s="107">
        <v>494</v>
      </c>
      <c r="E35" s="107">
        <v>531</v>
      </c>
      <c r="F35" s="107">
        <v>552</v>
      </c>
      <c r="G35" s="107">
        <v>611</v>
      </c>
      <c r="H35" s="107">
        <v>448</v>
      </c>
      <c r="I35" s="107">
        <v>320</v>
      </c>
      <c r="J35" s="107">
        <v>235</v>
      </c>
      <c r="K35" s="107">
        <v>400</v>
      </c>
      <c r="L35" s="107">
        <v>312</v>
      </c>
      <c r="M35" s="107">
        <v>129</v>
      </c>
      <c r="N35" s="107">
        <v>40</v>
      </c>
    </row>
    <row r="36" spans="2:14" s="37" customFormat="1" x14ac:dyDescent="0.3">
      <c r="B36" s="96" t="s">
        <v>29</v>
      </c>
      <c r="C36" s="104">
        <v>673</v>
      </c>
      <c r="D36" s="104">
        <v>713</v>
      </c>
      <c r="E36" s="104">
        <v>662</v>
      </c>
      <c r="F36" s="104">
        <v>869</v>
      </c>
      <c r="G36" s="104">
        <v>698</v>
      </c>
      <c r="H36" s="104">
        <v>1306</v>
      </c>
      <c r="I36" s="104">
        <v>2660</v>
      </c>
      <c r="J36" s="104">
        <v>2305</v>
      </c>
      <c r="K36" s="104">
        <v>7066</v>
      </c>
      <c r="L36" s="104">
        <v>6862</v>
      </c>
      <c r="M36" s="104">
        <v>6351</v>
      </c>
      <c r="N36" s="104">
        <v>5495</v>
      </c>
    </row>
    <row r="37" spans="2:14" s="37" customFormat="1" x14ac:dyDescent="0.3">
      <c r="B37" s="96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</row>
    <row r="38" spans="2:14" s="37" customFormat="1" x14ac:dyDescent="0.3">
      <c r="B38" s="96" t="s">
        <v>251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2:14" s="37" customFormat="1" x14ac:dyDescent="0.3">
      <c r="B39" s="98" t="s">
        <v>213</v>
      </c>
      <c r="C39" s="107">
        <v>226</v>
      </c>
      <c r="D39" s="107">
        <v>232</v>
      </c>
      <c r="E39" s="107">
        <v>122</v>
      </c>
      <c r="F39" s="107">
        <v>158</v>
      </c>
      <c r="G39" s="107">
        <v>264</v>
      </c>
      <c r="H39" s="107">
        <v>276</v>
      </c>
      <c r="I39" s="107">
        <v>172</v>
      </c>
      <c r="J39" s="107">
        <v>91</v>
      </c>
      <c r="K39" s="107">
        <v>91</v>
      </c>
      <c r="L39" s="107">
        <v>94</v>
      </c>
      <c r="M39" s="107">
        <v>161</v>
      </c>
      <c r="N39" s="107">
        <v>228</v>
      </c>
    </row>
    <row r="40" spans="2:14" x14ac:dyDescent="0.3">
      <c r="B40" s="98" t="s">
        <v>214</v>
      </c>
      <c r="C40" s="104">
        <v>3876</v>
      </c>
      <c r="D40" s="104">
        <v>4497</v>
      </c>
      <c r="E40" s="104">
        <v>5683</v>
      </c>
      <c r="F40" s="104">
        <v>6539</v>
      </c>
      <c r="G40" s="104">
        <v>7721</v>
      </c>
      <c r="H40" s="104">
        <v>8301</v>
      </c>
      <c r="I40" s="104">
        <v>9639</v>
      </c>
      <c r="J40" s="104">
        <v>11706</v>
      </c>
      <c r="K40" s="104">
        <v>14131</v>
      </c>
      <c r="L40" s="104">
        <v>17525</v>
      </c>
      <c r="M40" s="104">
        <v>20671</v>
      </c>
      <c r="N40" s="104">
        <v>25506</v>
      </c>
    </row>
    <row r="41" spans="2:14" x14ac:dyDescent="0.3">
      <c r="B41" s="100" t="s">
        <v>215</v>
      </c>
      <c r="C41" s="106">
        <v>1948</v>
      </c>
      <c r="D41" s="106">
        <v>3577</v>
      </c>
      <c r="E41" s="106">
        <v>8807</v>
      </c>
      <c r="F41" s="106">
        <v>9786</v>
      </c>
      <c r="G41" s="106">
        <v>9335</v>
      </c>
      <c r="H41" s="106">
        <v>9044</v>
      </c>
      <c r="I41" s="106">
        <v>4018</v>
      </c>
      <c r="J41" s="106">
        <v>7872</v>
      </c>
      <c r="K41" s="106">
        <v>4976</v>
      </c>
      <c r="L41" s="106">
        <v>8888</v>
      </c>
      <c r="M41" s="106">
        <v>12636</v>
      </c>
      <c r="N41" s="106">
        <v>14724</v>
      </c>
    </row>
    <row r="42" spans="2:14" x14ac:dyDescent="0.3">
      <c r="B42" s="100" t="s">
        <v>216</v>
      </c>
      <c r="C42" s="104">
        <v>57</v>
      </c>
      <c r="D42" s="104">
        <v>113</v>
      </c>
      <c r="E42" s="104">
        <v>111</v>
      </c>
      <c r="F42" s="104">
        <v>125</v>
      </c>
      <c r="G42" s="104">
        <v>161</v>
      </c>
      <c r="H42" s="104">
        <v>123</v>
      </c>
      <c r="I42" s="104">
        <v>102</v>
      </c>
      <c r="J42" s="104">
        <v>118</v>
      </c>
      <c r="K42" s="104">
        <v>115</v>
      </c>
      <c r="L42" s="104">
        <v>75</v>
      </c>
      <c r="M42" s="104">
        <v>78</v>
      </c>
      <c r="N42" s="104">
        <v>148</v>
      </c>
    </row>
    <row r="43" spans="2:14" ht="15" thickBot="1" x14ac:dyDescent="0.35">
      <c r="B43" s="100" t="s">
        <v>217</v>
      </c>
      <c r="C43" s="108">
        <v>4527</v>
      </c>
      <c r="D43" s="108">
        <v>6021</v>
      </c>
      <c r="E43" s="108">
        <v>6620</v>
      </c>
      <c r="F43" s="108">
        <v>8941</v>
      </c>
      <c r="G43" s="108">
        <v>10834</v>
      </c>
      <c r="H43" s="108">
        <v>11029</v>
      </c>
      <c r="I43" s="108">
        <v>12325</v>
      </c>
      <c r="J43" s="108">
        <v>13134</v>
      </c>
      <c r="K43" s="108">
        <v>18550</v>
      </c>
      <c r="L43" s="108">
        <v>15146</v>
      </c>
      <c r="M43" s="108">
        <v>13818</v>
      </c>
      <c r="N43" s="108">
        <v>12490</v>
      </c>
    </row>
    <row r="44" spans="2:14" ht="15" thickBot="1" x14ac:dyDescent="0.35">
      <c r="B44" s="109" t="s">
        <v>218</v>
      </c>
      <c r="C44" s="110">
        <v>18338</v>
      </c>
      <c r="D44" s="110">
        <v>22399</v>
      </c>
      <c r="E44" s="110">
        <v>29980</v>
      </c>
      <c r="F44" s="110">
        <v>35245</v>
      </c>
      <c r="G44" s="110">
        <v>39341</v>
      </c>
      <c r="H44" s="110">
        <v>45762</v>
      </c>
      <c r="I44" s="110">
        <v>47989</v>
      </c>
      <c r="J44" s="110">
        <v>58349</v>
      </c>
      <c r="K44" s="110">
        <v>82819</v>
      </c>
      <c r="L44" s="110">
        <v>86047</v>
      </c>
      <c r="M44" s="110">
        <v>88921</v>
      </c>
      <c r="N44" s="110">
        <v>93250</v>
      </c>
    </row>
    <row r="45" spans="2:14" x14ac:dyDescent="0.3">
      <c r="B45" s="100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</row>
    <row r="46" spans="2:14" x14ac:dyDescent="0.3">
      <c r="B46" s="98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</row>
    <row r="47" spans="2:14" x14ac:dyDescent="0.3">
      <c r="B47" s="120" t="s">
        <v>253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s="116" customFormat="1" x14ac:dyDescent="0.3">
      <c r="B48" s="114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</row>
    <row r="49" spans="2:14" x14ac:dyDescent="0.3">
      <c r="B49" s="11" t="s">
        <v>121</v>
      </c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</row>
    <row r="50" spans="2:14" x14ac:dyDescent="0.3">
      <c r="B50" s="11" t="s">
        <v>122</v>
      </c>
      <c r="C50" s="107">
        <v>4150</v>
      </c>
      <c r="D50" s="107">
        <v>5905</v>
      </c>
      <c r="E50" s="107">
        <v>8146</v>
      </c>
      <c r="F50" s="107">
        <v>8502</v>
      </c>
      <c r="G50" s="107">
        <v>6735</v>
      </c>
      <c r="H50" s="107">
        <v>10681</v>
      </c>
      <c r="I50" s="107">
        <v>11918</v>
      </c>
      <c r="J50" s="107">
        <v>14058</v>
      </c>
      <c r="K50" s="107">
        <v>17477</v>
      </c>
      <c r="L50" s="107">
        <v>20022</v>
      </c>
      <c r="M50" s="107">
        <v>20892</v>
      </c>
      <c r="N50" s="107">
        <v>23012</v>
      </c>
    </row>
    <row r="51" spans="2:14" x14ac:dyDescent="0.3">
      <c r="B51" s="98" t="s">
        <v>78</v>
      </c>
      <c r="C51" s="104">
        <v>-946</v>
      </c>
      <c r="D51" s="104">
        <v>-639</v>
      </c>
      <c r="E51" s="104">
        <v>-1188</v>
      </c>
      <c r="F51" s="104">
        <v>-887</v>
      </c>
      <c r="G51" s="104">
        <v>-1087</v>
      </c>
      <c r="H51" s="104">
        <v>-743</v>
      </c>
      <c r="I51" s="104">
        <v>-1126</v>
      </c>
      <c r="J51" s="104">
        <v>-1458</v>
      </c>
      <c r="K51" s="104">
        <v>-1957</v>
      </c>
      <c r="L51" s="104">
        <v>585</v>
      </c>
      <c r="M51" s="104">
        <v>-2809</v>
      </c>
      <c r="N51" s="104">
        <v>-3240</v>
      </c>
    </row>
    <row r="52" spans="2:14" x14ac:dyDescent="0.3">
      <c r="B52" s="98" t="s">
        <v>45</v>
      </c>
      <c r="C52" s="106">
        <v>-51</v>
      </c>
      <c r="D52" s="106">
        <v>2</v>
      </c>
      <c r="E52" s="106">
        <v>113</v>
      </c>
      <c r="F52" s="106">
        <v>-41</v>
      </c>
      <c r="G52" s="106">
        <v>-87</v>
      </c>
      <c r="H52" s="106">
        <v>-20</v>
      </c>
      <c r="I52" s="106">
        <v>117</v>
      </c>
      <c r="J52" s="106">
        <v>108</v>
      </c>
      <c r="K52" s="106">
        <v>24</v>
      </c>
      <c r="L52" s="106">
        <v>72</v>
      </c>
      <c r="M52" s="106">
        <v>207</v>
      </c>
      <c r="N52" s="106">
        <v>-37</v>
      </c>
    </row>
    <row r="53" spans="2:14" x14ac:dyDescent="0.3">
      <c r="B53" s="100" t="s">
        <v>123</v>
      </c>
      <c r="C53" s="104">
        <v>1049</v>
      </c>
      <c r="D53" s="104">
        <v>0</v>
      </c>
      <c r="E53" s="104">
        <v>0</v>
      </c>
      <c r="F53" s="104">
        <v>0</v>
      </c>
      <c r="G53" s="104">
        <v>48</v>
      </c>
      <c r="H53" s="104">
        <v>56</v>
      </c>
      <c r="I53" s="104">
        <v>243</v>
      </c>
      <c r="J53" s="104">
        <v>377</v>
      </c>
      <c r="K53" s="104">
        <v>-208</v>
      </c>
      <c r="L53" s="104">
        <v>608</v>
      </c>
      <c r="M53" s="104">
        <v>718</v>
      </c>
      <c r="N53" s="104">
        <v>-175</v>
      </c>
    </row>
    <row r="54" spans="2:14" x14ac:dyDescent="0.3">
      <c r="B54" s="100" t="s">
        <v>124</v>
      </c>
      <c r="C54" s="107">
        <v>-327</v>
      </c>
      <c r="D54" s="107">
        <v>-367</v>
      </c>
      <c r="E54" s="107">
        <v>-173</v>
      </c>
      <c r="F54" s="107">
        <v>123</v>
      </c>
      <c r="G54" s="107">
        <v>0</v>
      </c>
      <c r="H54" s="107">
        <v>0</v>
      </c>
      <c r="I54" s="107">
        <v>0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</row>
    <row r="55" spans="2:14" x14ac:dyDescent="0.3">
      <c r="B55" s="100" t="s">
        <v>125</v>
      </c>
      <c r="C55" s="104">
        <v>-555</v>
      </c>
      <c r="D55" s="104">
        <v>855</v>
      </c>
      <c r="E55" s="104">
        <v>1004</v>
      </c>
      <c r="F55" s="104">
        <v>-383</v>
      </c>
      <c r="G55" s="104">
        <v>-377</v>
      </c>
      <c r="H55" s="104">
        <v>1028</v>
      </c>
      <c r="I55" s="104">
        <v>-468</v>
      </c>
      <c r="J55" s="104">
        <v>-1493</v>
      </c>
      <c r="K55" s="104">
        <v>581</v>
      </c>
      <c r="L55" s="104">
        <v>1776</v>
      </c>
      <c r="M55" s="104">
        <v>1335</v>
      </c>
      <c r="N55" s="104">
        <v>2147</v>
      </c>
    </row>
    <row r="56" spans="2:14" x14ac:dyDescent="0.3">
      <c r="B56" s="100" t="s">
        <v>126</v>
      </c>
      <c r="C56" s="106">
        <v>-831</v>
      </c>
      <c r="D56" s="106">
        <v>-149</v>
      </c>
      <c r="E56" s="106">
        <v>-244</v>
      </c>
      <c r="F56" s="106">
        <v>-1188</v>
      </c>
      <c r="G56" s="106">
        <v>-1503</v>
      </c>
      <c r="H56" s="106">
        <v>321</v>
      </c>
      <c r="I56" s="106">
        <v>-1234</v>
      </c>
      <c r="J56" s="106">
        <v>-2466</v>
      </c>
      <c r="K56" s="106">
        <v>-1560</v>
      </c>
      <c r="L56" s="106">
        <v>3041</v>
      </c>
      <c r="M56" s="106">
        <v>-549</v>
      </c>
      <c r="N56" s="106">
        <v>-1305</v>
      </c>
    </row>
    <row r="57" spans="2:14" x14ac:dyDescent="0.3">
      <c r="B57" s="98" t="s">
        <v>127</v>
      </c>
      <c r="C57" s="104">
        <v>-766</v>
      </c>
      <c r="D57" s="104">
        <v>-1264</v>
      </c>
      <c r="E57" s="104">
        <v>-1445</v>
      </c>
      <c r="F57" s="104">
        <v>-1774</v>
      </c>
      <c r="G57" s="104">
        <v>-1409</v>
      </c>
      <c r="H57" s="104">
        <v>-2007</v>
      </c>
      <c r="I57" s="104">
        <v>-2356</v>
      </c>
      <c r="J57" s="104">
        <v>-2621</v>
      </c>
      <c r="K57" s="104">
        <v>-2558</v>
      </c>
      <c r="L57" s="104">
        <v>-3445</v>
      </c>
      <c r="M57" s="104">
        <v>-3443</v>
      </c>
      <c r="N57" s="104">
        <v>-3698</v>
      </c>
    </row>
    <row r="58" spans="2:14" ht="15" thickBot="1" x14ac:dyDescent="0.35">
      <c r="B58" s="100" t="s">
        <v>234</v>
      </c>
      <c r="C58" s="107">
        <v>-135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</row>
    <row r="59" spans="2:14" ht="15" thickBot="1" x14ac:dyDescent="0.35">
      <c r="B59" s="121" t="s">
        <v>121</v>
      </c>
      <c r="C59" s="122">
        <f>SUM(C50:C58)</f>
        <v>1588</v>
      </c>
      <c r="D59" s="122">
        <f t="shared" ref="D59:N59" si="1">SUM(D50:D58)</f>
        <v>4343</v>
      </c>
      <c r="E59" s="122">
        <f t="shared" si="1"/>
        <v>6213</v>
      </c>
      <c r="F59" s="122">
        <f t="shared" si="1"/>
        <v>4352</v>
      </c>
      <c r="G59" s="122">
        <f t="shared" si="1"/>
        <v>2320</v>
      </c>
      <c r="H59" s="122">
        <f t="shared" si="1"/>
        <v>9316</v>
      </c>
      <c r="I59" s="122">
        <f t="shared" si="1"/>
        <v>7094</v>
      </c>
      <c r="J59" s="122">
        <f t="shared" si="1"/>
        <v>6505</v>
      </c>
      <c r="K59" s="122">
        <f t="shared" si="1"/>
        <v>11799</v>
      </c>
      <c r="L59" s="122">
        <f t="shared" si="1"/>
        <v>22659</v>
      </c>
      <c r="M59" s="122">
        <f t="shared" si="1"/>
        <v>16351</v>
      </c>
      <c r="N59" s="122">
        <f t="shared" si="1"/>
        <v>16704</v>
      </c>
    </row>
    <row r="60" spans="2:14" x14ac:dyDescent="0.3">
      <c r="B60" s="11"/>
      <c r="C60" s="103"/>
      <c r="D60" s="103"/>
      <c r="E60" s="103"/>
      <c r="F60" s="103"/>
      <c r="G60" s="103"/>
      <c r="H60" s="103"/>
      <c r="I60" s="102"/>
      <c r="J60" s="103"/>
      <c r="K60" s="102"/>
      <c r="L60" s="102"/>
      <c r="M60" s="102"/>
      <c r="N60" s="102"/>
    </row>
    <row r="61" spans="2:14" x14ac:dyDescent="0.3"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2:14" x14ac:dyDescent="0.3">
      <c r="B62" s="98" t="s">
        <v>129</v>
      </c>
      <c r="C62" s="107">
        <v>-909</v>
      </c>
      <c r="D62" s="107">
        <v>-619</v>
      </c>
      <c r="E62" s="107">
        <v>-720</v>
      </c>
      <c r="F62" s="107">
        <v>-1208</v>
      </c>
      <c r="G62" s="107">
        <v>-942</v>
      </c>
      <c r="H62" s="107">
        <v>-3921</v>
      </c>
      <c r="I62" s="107">
        <v>-5344</v>
      </c>
      <c r="J62" s="107">
        <v>-3465</v>
      </c>
      <c r="K62" s="107">
        <v>-1866</v>
      </c>
      <c r="L62" s="107">
        <v>-1904</v>
      </c>
      <c r="M62" s="107">
        <v>-1645</v>
      </c>
      <c r="N62" s="107">
        <v>-1661</v>
      </c>
    </row>
    <row r="63" spans="2:14" x14ac:dyDescent="0.3">
      <c r="B63" s="100" t="s">
        <v>130</v>
      </c>
      <c r="C63" s="104">
        <v>4</v>
      </c>
      <c r="D63" s="104">
        <v>198</v>
      </c>
      <c r="E63" s="104">
        <v>61</v>
      </c>
      <c r="F63" s="104">
        <v>7</v>
      </c>
      <c r="G63" s="104">
        <v>194</v>
      </c>
      <c r="H63" s="104">
        <v>110</v>
      </c>
      <c r="I63" s="104">
        <v>23</v>
      </c>
      <c r="J63" s="104">
        <v>31</v>
      </c>
      <c r="K63" s="104">
        <v>37</v>
      </c>
      <c r="L63" s="104">
        <v>151</v>
      </c>
      <c r="M63" s="104">
        <v>90</v>
      </c>
      <c r="N63" s="104">
        <v>217</v>
      </c>
    </row>
    <row r="64" spans="2:14" x14ac:dyDescent="0.3">
      <c r="B64" s="100" t="s">
        <v>246</v>
      </c>
      <c r="C64" s="106">
        <v>0</v>
      </c>
      <c r="D64" s="106">
        <v>0</v>
      </c>
      <c r="E64" s="106">
        <v>180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</row>
    <row r="65" spans="2:14" x14ac:dyDescent="0.3">
      <c r="B65" s="100" t="s">
        <v>131</v>
      </c>
      <c r="C65" s="104">
        <v>-4884</v>
      </c>
      <c r="D65" s="104">
        <v>-4771</v>
      </c>
      <c r="E65" s="104">
        <v>-7911</v>
      </c>
      <c r="F65" s="104">
        <v>-8215</v>
      </c>
      <c r="G65" s="104">
        <v>-6873</v>
      </c>
      <c r="H65" s="104">
        <v>-11685</v>
      </c>
      <c r="I65" s="104">
        <v>-20032</v>
      </c>
      <c r="J65" s="104">
        <v>-24257</v>
      </c>
      <c r="K65" s="104">
        <v>-35438</v>
      </c>
      <c r="L65" s="104">
        <v>-20799</v>
      </c>
      <c r="M65" s="104">
        <v>-32586</v>
      </c>
      <c r="N65" s="104">
        <v>-34623</v>
      </c>
    </row>
    <row r="66" spans="2:14" x14ac:dyDescent="0.3">
      <c r="B66" s="100" t="s">
        <v>132</v>
      </c>
      <c r="C66" s="107">
        <v>4980</v>
      </c>
      <c r="D66" s="107">
        <v>4817</v>
      </c>
      <c r="E66" s="107">
        <v>7985</v>
      </c>
      <c r="F66" s="107">
        <v>8155</v>
      </c>
      <c r="G66" s="107">
        <v>7121</v>
      </c>
      <c r="H66" s="107">
        <v>11210</v>
      </c>
      <c r="I66" s="107">
        <v>18714</v>
      </c>
      <c r="J66" s="107">
        <v>24777</v>
      </c>
      <c r="K66" s="107">
        <v>30785</v>
      </c>
      <c r="L66" s="107">
        <v>21109</v>
      </c>
      <c r="M66" s="107">
        <v>33215</v>
      </c>
      <c r="N66" s="107">
        <v>35635</v>
      </c>
    </row>
    <row r="67" spans="2:14" x14ac:dyDescent="0.3">
      <c r="B67" s="100" t="s">
        <v>133</v>
      </c>
      <c r="C67" s="104">
        <v>163</v>
      </c>
      <c r="D67" s="104">
        <v>175</v>
      </c>
      <c r="E67" s="104">
        <v>501</v>
      </c>
      <c r="F67" s="104">
        <v>830</v>
      </c>
      <c r="G67" s="104">
        <v>645</v>
      </c>
      <c r="H67" s="104">
        <v>854</v>
      </c>
      <c r="I67" s="104">
        <v>500</v>
      </c>
      <c r="J67" s="104">
        <v>511</v>
      </c>
      <c r="K67" s="104">
        <v>282</v>
      </c>
      <c r="L67" s="104">
        <v>676</v>
      </c>
      <c r="M67" s="104">
        <v>590</v>
      </c>
      <c r="N67" s="104">
        <v>636</v>
      </c>
    </row>
    <row r="68" spans="2:14" x14ac:dyDescent="0.3">
      <c r="B68" s="100" t="s">
        <v>134</v>
      </c>
      <c r="C68" s="106">
        <v>35</v>
      </c>
      <c r="D68" s="106">
        <v>24</v>
      </c>
      <c r="E68" s="106">
        <v>0</v>
      </c>
      <c r="F68" s="106">
        <v>6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</row>
    <row r="69" spans="2:14" x14ac:dyDescent="0.3">
      <c r="B69" s="100" t="s">
        <v>136</v>
      </c>
      <c r="C69" s="104">
        <v>-41</v>
      </c>
      <c r="D69" s="104">
        <v>0</v>
      </c>
      <c r="E69" s="104">
        <v>0</v>
      </c>
      <c r="F69" s="104">
        <v>0</v>
      </c>
      <c r="G69" s="104">
        <v>-14</v>
      </c>
      <c r="H69" s="104">
        <v>-14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</row>
    <row r="70" spans="2:14" x14ac:dyDescent="0.3">
      <c r="B70" s="100" t="s">
        <v>138</v>
      </c>
      <c r="C70" s="107">
        <v>0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-144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</row>
    <row r="71" spans="2:14" x14ac:dyDescent="0.3">
      <c r="B71" s="100" t="s">
        <v>139</v>
      </c>
      <c r="C71" s="104">
        <v>-50</v>
      </c>
      <c r="D71" s="104">
        <v>-642</v>
      </c>
      <c r="E71" s="104">
        <v>171</v>
      </c>
      <c r="F71" s="104">
        <v>0</v>
      </c>
      <c r="G71" s="104">
        <v>-792</v>
      </c>
      <c r="H71" s="104">
        <v>-515</v>
      </c>
      <c r="I71" s="104">
        <v>-1143</v>
      </c>
      <c r="J71" s="104">
        <v>1978</v>
      </c>
      <c r="K71" s="104">
        <v>-1754</v>
      </c>
      <c r="L71" s="104">
        <v>-1422</v>
      </c>
      <c r="M71" s="104">
        <v>1633</v>
      </c>
      <c r="N71" s="104">
        <v>606</v>
      </c>
    </row>
    <row r="72" spans="2:14" ht="15" thickBot="1" x14ac:dyDescent="0.35">
      <c r="B72" s="100" t="s">
        <v>140</v>
      </c>
      <c r="C72" s="106">
        <v>-324</v>
      </c>
      <c r="D72" s="106">
        <v>-1545</v>
      </c>
      <c r="E72" s="106">
        <v>-5110</v>
      </c>
      <c r="F72" s="106">
        <v>-1662</v>
      </c>
      <c r="G72" s="106">
        <v>-1548</v>
      </c>
      <c r="H72" s="106">
        <v>71</v>
      </c>
      <c r="I72" s="106">
        <v>5190</v>
      </c>
      <c r="J72" s="106">
        <v>-2831</v>
      </c>
      <c r="K72" s="106">
        <v>-4378</v>
      </c>
      <c r="L72" s="106">
        <v>-3476</v>
      </c>
      <c r="M72" s="106">
        <v>300</v>
      </c>
      <c r="N72" s="106">
        <v>-4383</v>
      </c>
    </row>
    <row r="73" spans="2:14" ht="15" thickBot="1" x14ac:dyDescent="0.35">
      <c r="B73" s="121" t="s">
        <v>128</v>
      </c>
      <c r="C73" s="122">
        <f>SUM(C62:C72)</f>
        <v>-1026</v>
      </c>
      <c r="D73" s="122">
        <f t="shared" ref="D73:N73" si="2">SUM(D62:D72)</f>
        <v>-2363</v>
      </c>
      <c r="E73" s="122">
        <f t="shared" si="2"/>
        <v>-4843</v>
      </c>
      <c r="F73" s="122">
        <f t="shared" si="2"/>
        <v>-2087</v>
      </c>
      <c r="G73" s="122">
        <f t="shared" si="2"/>
        <v>-2209</v>
      </c>
      <c r="H73" s="122">
        <f t="shared" si="2"/>
        <v>-3890</v>
      </c>
      <c r="I73" s="122">
        <f t="shared" si="2"/>
        <v>-2236</v>
      </c>
      <c r="J73" s="122">
        <f t="shared" si="2"/>
        <v>-3256</v>
      </c>
      <c r="K73" s="122">
        <f t="shared" si="2"/>
        <v>-12332</v>
      </c>
      <c r="L73" s="122">
        <f t="shared" si="2"/>
        <v>-5665</v>
      </c>
      <c r="M73" s="122">
        <f t="shared" si="2"/>
        <v>1597</v>
      </c>
      <c r="N73" s="122">
        <f t="shared" si="2"/>
        <v>-3573</v>
      </c>
    </row>
    <row r="74" spans="2:14" x14ac:dyDescent="0.3"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</row>
    <row r="75" spans="2:14" x14ac:dyDescent="0.3">
      <c r="B75" s="100" t="s">
        <v>142</v>
      </c>
      <c r="C75" s="107">
        <v>39</v>
      </c>
      <c r="D75" s="107">
        <v>34</v>
      </c>
      <c r="E75" s="107">
        <v>34</v>
      </c>
      <c r="F75" s="107">
        <v>10</v>
      </c>
      <c r="G75" s="107">
        <v>1</v>
      </c>
      <c r="H75" s="107">
        <v>0</v>
      </c>
      <c r="I75" s="107">
        <v>0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</row>
    <row r="76" spans="2:14" x14ac:dyDescent="0.3">
      <c r="B76" s="100" t="s">
        <v>143</v>
      </c>
      <c r="C76" s="104">
        <v>-170</v>
      </c>
      <c r="D76" s="104">
        <v>-330</v>
      </c>
      <c r="E76" s="104">
        <v>0</v>
      </c>
      <c r="F76" s="104">
        <v>-500</v>
      </c>
      <c r="G76" s="104">
        <v>0</v>
      </c>
      <c r="H76" s="104">
        <v>0</v>
      </c>
      <c r="I76" s="104">
        <v>0</v>
      </c>
      <c r="J76" s="104">
        <v>0</v>
      </c>
      <c r="K76" s="104">
        <v>0</v>
      </c>
      <c r="L76" s="104">
        <v>0</v>
      </c>
      <c r="M76" s="104">
        <v>0</v>
      </c>
      <c r="N76" s="104">
        <v>0</v>
      </c>
    </row>
    <row r="77" spans="2:14" x14ac:dyDescent="0.3">
      <c r="B77" s="100" t="s">
        <v>144</v>
      </c>
      <c r="C77" s="106">
        <v>811</v>
      </c>
      <c r="D77" s="106">
        <v>113</v>
      </c>
      <c r="E77" s="106">
        <v>85</v>
      </c>
      <c r="F77" s="106">
        <v>672</v>
      </c>
      <c r="G77" s="106">
        <v>745</v>
      </c>
      <c r="H77" s="106">
        <v>228</v>
      </c>
      <c r="I77" s="106">
        <v>19</v>
      </c>
      <c r="J77" s="106">
        <v>4500</v>
      </c>
      <c r="K77" s="106">
        <v>1085</v>
      </c>
      <c r="L77" s="106">
        <v>4567</v>
      </c>
      <c r="M77" s="106">
        <v>77</v>
      </c>
      <c r="N77" s="106">
        <v>124</v>
      </c>
    </row>
    <row r="78" spans="2:14" x14ac:dyDescent="0.3">
      <c r="B78" s="100" t="s">
        <v>145</v>
      </c>
      <c r="C78" s="104">
        <v>-994</v>
      </c>
      <c r="D78" s="104">
        <v>-1011</v>
      </c>
      <c r="E78" s="104">
        <v>-34</v>
      </c>
      <c r="F78" s="104">
        <v>-473</v>
      </c>
      <c r="G78" s="104">
        <v>-264</v>
      </c>
      <c r="H78" s="104">
        <v>-623</v>
      </c>
      <c r="I78" s="104">
        <v>-167</v>
      </c>
      <c r="J78" s="104">
        <v>-886</v>
      </c>
      <c r="K78" s="104">
        <v>-1331</v>
      </c>
      <c r="L78" s="104">
        <v>-11336</v>
      </c>
      <c r="M78" s="104">
        <v>-508</v>
      </c>
      <c r="N78" s="104">
        <v>-2003</v>
      </c>
    </row>
    <row r="79" spans="2:14" x14ac:dyDescent="0.3">
      <c r="B79" s="100" t="s">
        <v>146</v>
      </c>
      <c r="C79" s="107">
        <v>-114</v>
      </c>
      <c r="D79" s="107">
        <v>-75</v>
      </c>
      <c r="E79" s="107">
        <v>-54</v>
      </c>
      <c r="F79" s="107">
        <v>-24</v>
      </c>
      <c r="G79" s="107">
        <v>-8</v>
      </c>
      <c r="H79" s="107">
        <v>-19</v>
      </c>
      <c r="I79" s="107">
        <v>-14</v>
      </c>
      <c r="J79" s="107">
        <v>-71</v>
      </c>
      <c r="K79" s="107">
        <v>-136</v>
      </c>
      <c r="L79" s="107">
        <v>-139</v>
      </c>
      <c r="M79" s="107">
        <v>-69</v>
      </c>
      <c r="N79" s="107">
        <v>-80</v>
      </c>
    </row>
    <row r="80" spans="2:14" x14ac:dyDescent="0.3">
      <c r="B80" s="100" t="s">
        <v>147</v>
      </c>
      <c r="C80" s="104">
        <v>-691</v>
      </c>
      <c r="D80" s="104">
        <v>-695</v>
      </c>
      <c r="E80" s="104">
        <v>-1118</v>
      </c>
      <c r="F80" s="104">
        <v>-2385</v>
      </c>
      <c r="G80" s="104">
        <v>-2251</v>
      </c>
      <c r="H80" s="104">
        <v>-3386</v>
      </c>
      <c r="I80" s="104">
        <v>-1691</v>
      </c>
      <c r="J80" s="104">
        <v>-1099</v>
      </c>
      <c r="K80" s="104">
        <v>-1357</v>
      </c>
      <c r="L80" s="104">
        <v>-3256</v>
      </c>
      <c r="M80" s="104">
        <v>-11391</v>
      </c>
      <c r="N80" s="104">
        <v>-12995</v>
      </c>
    </row>
    <row r="81" spans="2:14" x14ac:dyDescent="0.3">
      <c r="B81" s="98" t="s">
        <v>148</v>
      </c>
      <c r="C81" s="106">
        <v>-8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-1016</v>
      </c>
      <c r="M81" s="106">
        <v>-1067</v>
      </c>
      <c r="N81" s="106">
        <v>-927</v>
      </c>
    </row>
    <row r="82" spans="2:14" x14ac:dyDescent="0.3">
      <c r="B82" t="s">
        <v>149</v>
      </c>
      <c r="C82" s="104">
        <v>-112</v>
      </c>
      <c r="D82" s="104">
        <v>-123</v>
      </c>
      <c r="E82" s="104">
        <v>-221</v>
      </c>
      <c r="F82" s="104">
        <v>-441</v>
      </c>
      <c r="G82" s="104">
        <v>-460</v>
      </c>
      <c r="H82" s="104">
        <v>-717</v>
      </c>
      <c r="I82" s="104">
        <v>-3861</v>
      </c>
      <c r="J82" s="104">
        <v>-3915</v>
      </c>
      <c r="K82" s="104">
        <v>-1429</v>
      </c>
      <c r="L82" s="104">
        <v>-12</v>
      </c>
      <c r="M82" s="104">
        <v>-1550</v>
      </c>
      <c r="N82" s="104">
        <v>0</v>
      </c>
    </row>
    <row r="83" spans="2:14" ht="15" thickBot="1" x14ac:dyDescent="0.35">
      <c r="B83" t="s">
        <v>35</v>
      </c>
      <c r="C83" s="107">
        <v>153</v>
      </c>
      <c r="D83" s="107">
        <v>44</v>
      </c>
      <c r="E83" s="107">
        <v>307</v>
      </c>
      <c r="F83" s="107">
        <v>311</v>
      </c>
      <c r="G83" s="107">
        <v>-623</v>
      </c>
      <c r="H83" s="107">
        <v>588</v>
      </c>
      <c r="I83" s="107">
        <v>378</v>
      </c>
      <c r="J83" s="107">
        <v>4244</v>
      </c>
      <c r="K83" s="107">
        <v>-2141</v>
      </c>
      <c r="L83" s="107">
        <v>2761</v>
      </c>
      <c r="M83" s="107">
        <v>3989</v>
      </c>
      <c r="N83" s="107">
        <v>-1445</v>
      </c>
    </row>
    <row r="84" spans="2:14" ht="15" thickBot="1" x14ac:dyDescent="0.35">
      <c r="B84" s="121" t="s">
        <v>141</v>
      </c>
      <c r="C84" s="122">
        <f>SUM(C75:C83)</f>
        <v>-1086</v>
      </c>
      <c r="D84" s="122">
        <f t="shared" ref="D84:N84" si="3">SUM(D75:D83)</f>
        <v>-2043</v>
      </c>
      <c r="E84" s="122">
        <f t="shared" si="3"/>
        <v>-1001</v>
      </c>
      <c r="F84" s="122">
        <f t="shared" si="3"/>
        <v>-2830</v>
      </c>
      <c r="G84" s="122">
        <f t="shared" si="3"/>
        <v>-2860</v>
      </c>
      <c r="H84" s="122">
        <f t="shared" si="3"/>
        <v>-3929</v>
      </c>
      <c r="I84" s="122">
        <f t="shared" si="3"/>
        <v>-5336</v>
      </c>
      <c r="J84" s="122">
        <f t="shared" si="3"/>
        <v>2773</v>
      </c>
      <c r="K84" s="122">
        <f t="shared" si="3"/>
        <v>-5309</v>
      </c>
      <c r="L84" s="122">
        <f t="shared" si="3"/>
        <v>-8431</v>
      </c>
      <c r="M84" s="122">
        <f t="shared" si="3"/>
        <v>-10519</v>
      </c>
      <c r="N84" s="122">
        <f t="shared" si="3"/>
        <v>-17326</v>
      </c>
    </row>
    <row r="86" spans="2:14" x14ac:dyDescent="0.3">
      <c r="B86" s="123" t="s">
        <v>254</v>
      </c>
      <c r="C86" s="124">
        <f>C84+C73+C59</f>
        <v>-524</v>
      </c>
      <c r="D86" s="124">
        <f t="shared" ref="D86:N86" si="4">D84+D73+D59</f>
        <v>-63</v>
      </c>
      <c r="E86" s="124">
        <f t="shared" si="4"/>
        <v>369</v>
      </c>
      <c r="F86" s="124">
        <f t="shared" si="4"/>
        <v>-565</v>
      </c>
      <c r="G86" s="124">
        <f t="shared" si="4"/>
        <v>-2749</v>
      </c>
      <c r="H86" s="124">
        <f t="shared" si="4"/>
        <v>1497</v>
      </c>
      <c r="I86" s="124">
        <f t="shared" si="4"/>
        <v>-478</v>
      </c>
      <c r="J86" s="124">
        <f t="shared" si="4"/>
        <v>6022</v>
      </c>
      <c r="K86" s="124">
        <f t="shared" si="4"/>
        <v>-5842</v>
      </c>
      <c r="L86" s="124">
        <f t="shared" si="4"/>
        <v>8563</v>
      </c>
      <c r="M86" s="124">
        <f t="shared" si="4"/>
        <v>7429</v>
      </c>
      <c r="N86" s="124">
        <f t="shared" si="4"/>
        <v>-4195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3:M13"/>
  <sheetViews>
    <sheetView showGridLines="0" zoomScale="90" zoomScaleNormal="90" workbookViewId="0">
      <selection activeCell="M7" sqref="M7"/>
    </sheetView>
  </sheetViews>
  <sheetFormatPr defaultRowHeight="14.4" x14ac:dyDescent="0.3"/>
  <cols>
    <col min="1" max="1" width="1.88671875" customWidth="1"/>
    <col min="3" max="3" width="15.44140625" bestFit="1" customWidth="1"/>
    <col min="4" max="4" width="8" bestFit="1" customWidth="1"/>
    <col min="5" max="5" width="15.6640625" bestFit="1" customWidth="1"/>
    <col min="6" max="6" width="13.6640625" bestFit="1" customWidth="1"/>
    <col min="7" max="7" width="10.109375" bestFit="1" customWidth="1"/>
    <col min="8" max="8" width="13.6640625" bestFit="1" customWidth="1"/>
    <col min="9" max="10" width="13.6640625" customWidth="1"/>
    <col min="11" max="11" width="10.33203125" bestFit="1" customWidth="1"/>
    <col min="12" max="12" width="10.33203125" customWidth="1"/>
    <col min="13" max="13" width="12.6640625" bestFit="1" customWidth="1"/>
  </cols>
  <sheetData>
    <row r="3" spans="2:13" x14ac:dyDescent="0.3">
      <c r="B3" s="195" t="s">
        <v>260</v>
      </c>
      <c r="C3" s="195" t="s">
        <v>261</v>
      </c>
      <c r="D3" s="195" t="s">
        <v>262</v>
      </c>
      <c r="E3" s="195" t="s">
        <v>350</v>
      </c>
      <c r="F3" s="195" t="s">
        <v>263</v>
      </c>
      <c r="G3" s="195" t="s">
        <v>264</v>
      </c>
      <c r="H3" s="195" t="s">
        <v>351</v>
      </c>
      <c r="I3" s="195" t="s">
        <v>358</v>
      </c>
      <c r="J3" s="195" t="s">
        <v>359</v>
      </c>
      <c r="K3" s="195" t="s">
        <v>352</v>
      </c>
      <c r="L3" s="195" t="s">
        <v>102</v>
      </c>
      <c r="M3" s="195" t="s">
        <v>353</v>
      </c>
    </row>
    <row r="4" spans="2:13" x14ac:dyDescent="0.3">
      <c r="B4">
        <v>1</v>
      </c>
      <c r="C4" t="s">
        <v>256</v>
      </c>
      <c r="D4" s="197">
        <v>3604.9</v>
      </c>
      <c r="E4" s="197">
        <v>365.91</v>
      </c>
      <c r="F4" s="197">
        <v>1318483.49</v>
      </c>
      <c r="G4" s="197">
        <v>7688</v>
      </c>
      <c r="H4" s="197">
        <v>11032</v>
      </c>
      <c r="I4" s="197">
        <f>G4-H4</f>
        <v>-3344</v>
      </c>
      <c r="J4" s="197">
        <f>F4+G4-H4</f>
        <v>1315139.49</v>
      </c>
      <c r="K4" s="197">
        <v>232081</v>
      </c>
      <c r="L4">
        <v>60851.638199999994</v>
      </c>
      <c r="M4" s="197">
        <v>43904</v>
      </c>
    </row>
    <row r="5" spans="2:13" x14ac:dyDescent="0.3">
      <c r="B5">
        <v>2</v>
      </c>
      <c r="C5" t="s">
        <v>257</v>
      </c>
      <c r="D5" s="197">
        <v>1491.1</v>
      </c>
      <c r="E5" s="197">
        <v>415.04</v>
      </c>
      <c r="F5" s="197">
        <v>618593.86</v>
      </c>
      <c r="G5" s="197">
        <v>8483</v>
      </c>
      <c r="H5" s="197">
        <v>12173</v>
      </c>
      <c r="I5" s="197">
        <f t="shared" ref="I5:I12" si="0">G5-H5</f>
        <v>-3690</v>
      </c>
      <c r="J5" s="197">
        <f t="shared" ref="J5:J12" si="1">F5+G5-H5</f>
        <v>614903.86</v>
      </c>
      <c r="K5" s="197">
        <v>150230</v>
      </c>
      <c r="L5">
        <v>36325.614000000001</v>
      </c>
      <c r="M5" s="197">
        <v>24691</v>
      </c>
    </row>
    <row r="6" spans="2:13" x14ac:dyDescent="0.3">
      <c r="B6">
        <v>3</v>
      </c>
      <c r="C6" t="s">
        <v>247</v>
      </c>
      <c r="D6" s="197">
        <v>1304.8499999999999</v>
      </c>
      <c r="E6" s="197">
        <v>271.37</v>
      </c>
      <c r="F6" s="197">
        <v>354011.18</v>
      </c>
      <c r="G6" s="197">
        <v>4794</v>
      </c>
      <c r="H6" s="197">
        <v>14724</v>
      </c>
      <c r="I6" s="197">
        <f t="shared" si="0"/>
        <v>-9930</v>
      </c>
      <c r="J6" s="197">
        <f t="shared" si="1"/>
        <v>344081.18</v>
      </c>
      <c r="K6" s="197">
        <v>104288</v>
      </c>
      <c r="L6">
        <v>23016.3616</v>
      </c>
      <c r="M6" s="197">
        <v>15095</v>
      </c>
    </row>
    <row r="7" spans="2:13" x14ac:dyDescent="0.3">
      <c r="B7">
        <v>4</v>
      </c>
      <c r="C7" t="s">
        <v>258</v>
      </c>
      <c r="D7" s="197">
        <v>435.95</v>
      </c>
      <c r="E7" s="197">
        <v>549.09</v>
      </c>
      <c r="F7" s="197">
        <v>239345.54</v>
      </c>
      <c r="G7" s="197">
        <v>17466.599999999999</v>
      </c>
      <c r="H7" s="197">
        <v>9188</v>
      </c>
      <c r="I7" s="197">
        <f t="shared" si="0"/>
        <v>8278.5999999999985</v>
      </c>
      <c r="J7" s="197">
        <f t="shared" si="1"/>
        <v>247624.14</v>
      </c>
      <c r="K7" s="197">
        <v>91790</v>
      </c>
      <c r="L7">
        <v>17183.088</v>
      </c>
      <c r="M7" s="197">
        <v>11693.6</v>
      </c>
    </row>
    <row r="8" spans="2:13" x14ac:dyDescent="0.3">
      <c r="B8">
        <v>5</v>
      </c>
      <c r="C8" t="s">
        <v>259</v>
      </c>
      <c r="D8" s="197">
        <v>5504.9</v>
      </c>
      <c r="E8" s="197">
        <v>29.59</v>
      </c>
      <c r="F8" s="197">
        <v>162960.75</v>
      </c>
      <c r="G8" s="197">
        <v>1578.6</v>
      </c>
      <c r="H8" s="197">
        <v>2932</v>
      </c>
      <c r="I8" s="197">
        <f t="shared" si="0"/>
        <v>-1353.4</v>
      </c>
      <c r="J8" s="197">
        <f t="shared" si="1"/>
        <v>161607.35</v>
      </c>
      <c r="K8" s="197">
        <v>34240.9</v>
      </c>
      <c r="L8">
        <v>6248.96425</v>
      </c>
      <c r="M8" s="197">
        <v>4456.1000000000004</v>
      </c>
    </row>
    <row r="9" spans="2:13" x14ac:dyDescent="0.3">
      <c r="B9">
        <v>6</v>
      </c>
      <c r="C9" t="s">
        <v>354</v>
      </c>
      <c r="D9" s="197">
        <v>1291.4000000000001</v>
      </c>
      <c r="E9" s="197">
        <v>97.49</v>
      </c>
      <c r="F9" s="197">
        <v>126010.75</v>
      </c>
      <c r="G9" s="197">
        <v>2740.2</v>
      </c>
      <c r="H9" s="197">
        <v>4254.7</v>
      </c>
      <c r="I9" s="197">
        <f t="shared" si="0"/>
        <v>-1514.5</v>
      </c>
      <c r="J9" s="197">
        <f t="shared" si="1"/>
        <v>124496.25</v>
      </c>
      <c r="K9" s="197">
        <v>53741.3</v>
      </c>
      <c r="L9">
        <v>7222.8307199999999</v>
      </c>
      <c r="M9" s="197">
        <v>4413.1000000000004</v>
      </c>
    </row>
    <row r="10" spans="2:13" x14ac:dyDescent="0.3">
      <c r="B10">
        <v>7</v>
      </c>
      <c r="C10" t="s">
        <v>355</v>
      </c>
      <c r="D10" s="197">
        <v>4668.3</v>
      </c>
      <c r="E10" s="197">
        <v>10.57</v>
      </c>
      <c r="F10" s="197">
        <v>49368.54</v>
      </c>
      <c r="G10" s="197">
        <v>454.2</v>
      </c>
      <c r="H10" s="197">
        <v>689.9</v>
      </c>
      <c r="I10" s="197">
        <f t="shared" si="0"/>
        <v>-235.7</v>
      </c>
      <c r="J10" s="197">
        <f t="shared" si="1"/>
        <v>49132.84</v>
      </c>
      <c r="K10" s="197">
        <v>8715.7000000000007</v>
      </c>
      <c r="L10">
        <v>1793.6910600000001</v>
      </c>
      <c r="M10" s="197">
        <v>1241.7</v>
      </c>
    </row>
    <row r="11" spans="2:13" x14ac:dyDescent="0.3">
      <c r="B11">
        <v>8</v>
      </c>
      <c r="C11" t="s">
        <v>356</v>
      </c>
      <c r="D11" s="197">
        <v>2489.85</v>
      </c>
      <c r="E11" s="197">
        <v>18.86</v>
      </c>
      <c r="F11" s="197">
        <v>46963.56</v>
      </c>
      <c r="G11" s="197">
        <v>198.48</v>
      </c>
      <c r="H11" s="197">
        <v>1053.44</v>
      </c>
      <c r="I11" s="197">
        <f t="shared" si="0"/>
        <v>-854.96</v>
      </c>
      <c r="J11" s="197">
        <f t="shared" si="1"/>
        <v>46108.6</v>
      </c>
      <c r="K11" s="197">
        <v>13639.26</v>
      </c>
      <c r="L11">
        <v>2420.9686499999998</v>
      </c>
      <c r="M11" s="197">
        <v>1632.09</v>
      </c>
    </row>
    <row r="12" spans="2:13" x14ac:dyDescent="0.3">
      <c r="B12">
        <v>9</v>
      </c>
      <c r="C12" t="s">
        <v>357</v>
      </c>
      <c r="D12" s="197">
        <v>1990.47</v>
      </c>
      <c r="E12" s="197">
        <v>184.43</v>
      </c>
      <c r="F12" s="197">
        <v>201153.15</v>
      </c>
      <c r="G12" s="197">
        <v>3767.1</v>
      </c>
      <c r="H12" s="197">
        <v>6721.35</v>
      </c>
      <c r="I12" s="197">
        <f t="shared" si="0"/>
        <v>-2954.2500000000005</v>
      </c>
      <c r="J12" s="197">
        <f t="shared" si="1"/>
        <v>198198.9</v>
      </c>
      <c r="K12" s="197">
        <v>72765.649999999994</v>
      </c>
      <c r="L12">
        <v>14298.450224999997</v>
      </c>
      <c r="M12" s="197">
        <v>8074.85</v>
      </c>
    </row>
    <row r="13" spans="2:13" x14ac:dyDescent="0.3">
      <c r="D13" s="197"/>
      <c r="E13" s="197"/>
      <c r="F13" s="197"/>
      <c r="G13" s="197"/>
      <c r="H13" s="197"/>
      <c r="I13" s="197"/>
      <c r="J13" s="197"/>
      <c r="K13" s="197"/>
      <c r="L13" s="197"/>
      <c r="M13" s="19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showGridLines="0" topLeftCell="A19" zoomScale="80" zoomScaleNormal="80" workbookViewId="0">
      <selection activeCell="E18" sqref="E18"/>
    </sheetView>
  </sheetViews>
  <sheetFormatPr defaultRowHeight="14.4" x14ac:dyDescent="0.3"/>
  <cols>
    <col min="1" max="1" width="1.88671875" customWidth="1"/>
    <col min="2" max="2" width="20.44140625" customWidth="1"/>
    <col min="3" max="3" width="5.88671875" customWidth="1"/>
    <col min="4" max="4" width="8" customWidth="1"/>
    <col min="5" max="5" width="12.44140625" customWidth="1"/>
    <col min="6" max="6" width="8.44140625" customWidth="1"/>
    <col min="7" max="7" width="8.33203125" customWidth="1"/>
    <col min="8" max="8" width="9.44140625" customWidth="1"/>
    <col min="9" max="9" width="14.33203125" bestFit="1" customWidth="1"/>
    <col min="10" max="10" width="1.88671875" customWidth="1"/>
    <col min="11" max="11" width="8.5546875" customWidth="1"/>
    <col min="12" max="12" width="9.21875" customWidth="1"/>
    <col min="13" max="13" width="11" bestFit="1" customWidth="1"/>
    <col min="14" max="14" width="1.88671875" customWidth="1"/>
    <col min="15" max="15" width="12.109375" customWidth="1"/>
    <col min="16" max="17" width="12.109375" bestFit="1" customWidth="1"/>
  </cols>
  <sheetData>
    <row r="1" spans="2:17" x14ac:dyDescent="0.3">
      <c r="B1" s="248" t="s">
        <v>360</v>
      </c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</row>
    <row r="2" spans="2:17" x14ac:dyDescent="0.3"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</row>
    <row r="3" spans="2:17" ht="15" thickBot="1" x14ac:dyDescent="0.35">
      <c r="B3" s="249" t="s">
        <v>361</v>
      </c>
      <c r="C3" s="249"/>
      <c r="D3" s="249"/>
      <c r="E3" s="249"/>
      <c r="F3" s="249"/>
      <c r="G3" s="249"/>
      <c r="H3" s="249"/>
      <c r="I3" s="249"/>
      <c r="J3" s="198"/>
      <c r="K3" s="249" t="s">
        <v>361</v>
      </c>
      <c r="L3" s="249"/>
      <c r="M3" s="249"/>
      <c r="N3" s="199"/>
      <c r="O3" s="249" t="s">
        <v>362</v>
      </c>
      <c r="P3" s="249"/>
      <c r="Q3" s="249"/>
    </row>
    <row r="4" spans="2:17" ht="28.2" thickTop="1" x14ac:dyDescent="0.3">
      <c r="B4" s="200" t="s">
        <v>363</v>
      </c>
      <c r="C4" s="200" t="s">
        <v>364</v>
      </c>
      <c r="D4" s="201" t="s">
        <v>365</v>
      </c>
      <c r="E4" s="201" t="s">
        <v>366</v>
      </c>
      <c r="F4" s="201" t="s">
        <v>367</v>
      </c>
      <c r="G4" s="201" t="s">
        <v>358</v>
      </c>
      <c r="H4" s="201" t="s">
        <v>368</v>
      </c>
      <c r="I4" s="200"/>
      <c r="J4" s="202"/>
      <c r="K4" s="203" t="s">
        <v>369</v>
      </c>
      <c r="L4" s="200" t="s">
        <v>102</v>
      </c>
      <c r="M4" s="200" t="s">
        <v>370</v>
      </c>
      <c r="N4" s="204"/>
      <c r="O4" s="201" t="s">
        <v>371</v>
      </c>
      <c r="P4" s="200" t="s">
        <v>372</v>
      </c>
      <c r="Q4" s="200" t="s">
        <v>373</v>
      </c>
    </row>
    <row r="5" spans="2:17" s="116" customFormat="1" ht="3.6" customHeight="1" x14ac:dyDescent="0.3">
      <c r="B5" s="205"/>
      <c r="C5" s="205"/>
      <c r="D5" s="205"/>
      <c r="E5" s="206"/>
      <c r="F5" s="205"/>
      <c r="G5" s="205"/>
      <c r="H5" s="205"/>
      <c r="I5" s="205"/>
      <c r="J5" s="198"/>
      <c r="K5" s="198"/>
      <c r="L5" s="205"/>
      <c r="M5" s="205"/>
      <c r="N5" s="207"/>
      <c r="O5" s="205"/>
      <c r="P5" s="205"/>
      <c r="Q5" s="205"/>
    </row>
    <row r="6" spans="2:17" s="116" customFormat="1" ht="13.8" customHeight="1" x14ac:dyDescent="0.3">
      <c r="B6" s="208" t="s">
        <v>374</v>
      </c>
      <c r="C6" s="205"/>
      <c r="D6" s="205"/>
      <c r="E6" s="206"/>
      <c r="F6" s="205"/>
      <c r="G6" s="205"/>
      <c r="H6" s="205"/>
      <c r="I6" s="205"/>
      <c r="J6" s="198"/>
      <c r="K6" s="198"/>
      <c r="L6" s="205"/>
      <c r="M6" s="205"/>
      <c r="N6" s="207"/>
      <c r="O6" s="205"/>
      <c r="P6" s="205"/>
      <c r="Q6" s="205"/>
    </row>
    <row r="7" spans="2:17" s="219" customFormat="1" x14ac:dyDescent="0.3">
      <c r="B7" s="215" t="s">
        <v>247</v>
      </c>
      <c r="C7" s="216"/>
      <c r="D7" s="217">
        <f>'RP data'!D6</f>
        <v>1304.8499999999999</v>
      </c>
      <c r="E7" s="218">
        <f>'RP data'!E6</f>
        <v>271.37</v>
      </c>
      <c r="F7" s="217">
        <f>E7*D7</f>
        <v>354097.14449999999</v>
      </c>
      <c r="G7" s="217">
        <f>'RP data'!I6</f>
        <v>-9930</v>
      </c>
      <c r="H7" s="217">
        <f>F7+G7</f>
        <v>344167.14449999999</v>
      </c>
      <c r="I7" s="217"/>
      <c r="J7" s="217"/>
      <c r="K7" s="217">
        <f>'RP data'!K6</f>
        <v>104288</v>
      </c>
      <c r="L7" s="217">
        <f>'RP data'!L6</f>
        <v>23016.3616</v>
      </c>
      <c r="M7" s="217">
        <f>'RP data'!M6</f>
        <v>15095</v>
      </c>
      <c r="O7" s="220">
        <f>$H7/K7</f>
        <v>3.3001605601795028</v>
      </c>
      <c r="P7" s="220">
        <f>$H7/L7</f>
        <v>14.953151609331686</v>
      </c>
      <c r="Q7" s="220">
        <f>F7/M7</f>
        <v>23.457909539582644</v>
      </c>
    </row>
    <row r="8" spans="2:17" x14ac:dyDescent="0.3">
      <c r="B8" t="s">
        <v>256</v>
      </c>
      <c r="C8" s="221"/>
      <c r="D8" s="222">
        <f>'RP data'!D4</f>
        <v>3604.9</v>
      </c>
      <c r="E8" s="223">
        <f>'RP data'!E4</f>
        <v>365.91</v>
      </c>
      <c r="F8" s="222">
        <f t="shared" ref="F8:F15" si="0">E8*D8</f>
        <v>1319068.959</v>
      </c>
      <c r="G8" s="222">
        <f>'RP data'!I4</f>
        <v>-3344</v>
      </c>
      <c r="H8" s="222">
        <f t="shared" ref="H8:H15" si="1">F8+G8</f>
        <v>1315724.959</v>
      </c>
      <c r="I8" s="222"/>
      <c r="J8" s="222"/>
      <c r="K8" s="222">
        <f>'RP data'!K4</f>
        <v>232081</v>
      </c>
      <c r="L8" s="222">
        <f>'RP data'!L4</f>
        <v>60851.638199999994</v>
      </c>
      <c r="M8" s="222">
        <f>'RP data'!M4</f>
        <v>43904</v>
      </c>
      <c r="N8" s="221"/>
      <c r="O8" s="224">
        <f t="shared" ref="O8:P15" si="2">$H8/K8</f>
        <v>5.6692489217126782</v>
      </c>
      <c r="P8" s="224">
        <f t="shared" si="2"/>
        <v>21.621849434449576</v>
      </c>
      <c r="Q8" s="224">
        <f t="shared" ref="Q8:Q15" si="3">F8/M8</f>
        <v>30.044391376639943</v>
      </c>
    </row>
    <row r="9" spans="2:17" x14ac:dyDescent="0.3">
      <c r="B9" t="s">
        <v>257</v>
      </c>
      <c r="C9" s="221"/>
      <c r="D9" s="222">
        <f>'RP data'!D5</f>
        <v>1491.1</v>
      </c>
      <c r="E9" s="223">
        <f>'RP data'!E5</f>
        <v>415.04</v>
      </c>
      <c r="F9" s="222">
        <f t="shared" si="0"/>
        <v>618866.14399999997</v>
      </c>
      <c r="G9" s="222">
        <f>'RP data'!I5</f>
        <v>-3690</v>
      </c>
      <c r="H9" s="222">
        <f t="shared" si="1"/>
        <v>615176.14399999997</v>
      </c>
      <c r="I9" s="222"/>
      <c r="J9" s="222"/>
      <c r="K9" s="222">
        <f>'RP data'!K5</f>
        <v>150230</v>
      </c>
      <c r="L9" s="222">
        <f>'RP data'!L5</f>
        <v>36325.614000000001</v>
      </c>
      <c r="M9" s="222">
        <f>'RP data'!M5</f>
        <v>24691</v>
      </c>
      <c r="N9" s="221"/>
      <c r="O9" s="224">
        <f t="shared" si="2"/>
        <v>4.0948954536377551</v>
      </c>
      <c r="P9" s="224">
        <f t="shared" si="2"/>
        <v>16.935051503878228</v>
      </c>
      <c r="Q9" s="224">
        <f t="shared" si="3"/>
        <v>25.064442266412861</v>
      </c>
    </row>
    <row r="10" spans="2:17" x14ac:dyDescent="0.3">
      <c r="B10" t="s">
        <v>258</v>
      </c>
      <c r="C10" s="221"/>
      <c r="D10" s="222">
        <f>'RP data'!D7</f>
        <v>435.95</v>
      </c>
      <c r="E10" s="223">
        <f>'RP data'!E7</f>
        <v>549.09</v>
      </c>
      <c r="F10" s="222">
        <f t="shared" si="0"/>
        <v>239375.7855</v>
      </c>
      <c r="G10" s="222">
        <f>'RP data'!I7</f>
        <v>8278.5999999999985</v>
      </c>
      <c r="H10" s="222">
        <f t="shared" si="1"/>
        <v>247654.3855</v>
      </c>
      <c r="I10" s="222"/>
      <c r="J10" s="222"/>
      <c r="K10" s="222">
        <f>'RP data'!K7</f>
        <v>91790</v>
      </c>
      <c r="L10" s="222">
        <f>'RP data'!L7</f>
        <v>17183.088</v>
      </c>
      <c r="M10" s="222">
        <f>'RP data'!M7</f>
        <v>11693.6</v>
      </c>
      <c r="N10" s="221"/>
      <c r="O10" s="224">
        <f t="shared" si="2"/>
        <v>2.6980540963067874</v>
      </c>
      <c r="P10" s="224">
        <f t="shared" si="2"/>
        <v>14.412682138390958</v>
      </c>
      <c r="Q10" s="224">
        <f t="shared" si="3"/>
        <v>20.470666475679003</v>
      </c>
    </row>
    <row r="11" spans="2:17" x14ac:dyDescent="0.3">
      <c r="B11" t="s">
        <v>259</v>
      </c>
      <c r="C11" s="221"/>
      <c r="D11" s="222">
        <f>'RP data'!D8</f>
        <v>5504.9</v>
      </c>
      <c r="E11" s="223">
        <f>'RP data'!E8</f>
        <v>29.59</v>
      </c>
      <c r="F11" s="222">
        <f t="shared" si="0"/>
        <v>162889.99099999998</v>
      </c>
      <c r="G11" s="222">
        <f>'RP data'!I8</f>
        <v>-1353.4</v>
      </c>
      <c r="H11" s="222">
        <f t="shared" si="1"/>
        <v>161536.59099999999</v>
      </c>
      <c r="I11" s="222"/>
      <c r="J11" s="222"/>
      <c r="K11" s="222">
        <f>'RP data'!K8</f>
        <v>34240.9</v>
      </c>
      <c r="L11" s="222">
        <f>'RP data'!L8</f>
        <v>6248.96425</v>
      </c>
      <c r="M11" s="222">
        <f>'RP data'!M8</f>
        <v>4456.1000000000004</v>
      </c>
      <c r="N11" s="221"/>
      <c r="O11" s="224">
        <f t="shared" si="2"/>
        <v>4.7176502662021145</v>
      </c>
      <c r="P11" s="224">
        <f t="shared" si="2"/>
        <v>25.850138444943095</v>
      </c>
      <c r="Q11" s="224">
        <f t="shared" si="3"/>
        <v>36.554384102690683</v>
      </c>
    </row>
    <row r="12" spans="2:17" x14ac:dyDescent="0.3">
      <c r="B12" t="s">
        <v>354</v>
      </c>
      <c r="C12" s="221"/>
      <c r="D12" s="222">
        <f>'RP data'!D9</f>
        <v>1291.4000000000001</v>
      </c>
      <c r="E12" s="223">
        <f>'RP data'!E9</f>
        <v>97.49</v>
      </c>
      <c r="F12" s="222">
        <f t="shared" si="0"/>
        <v>125898.586</v>
      </c>
      <c r="G12" s="222">
        <f>'RP data'!I9</f>
        <v>-1514.5</v>
      </c>
      <c r="H12" s="222">
        <f t="shared" si="1"/>
        <v>124384.086</v>
      </c>
      <c r="I12" s="222"/>
      <c r="J12" s="222"/>
      <c r="K12" s="222">
        <f>'RP data'!K9</f>
        <v>53741.3</v>
      </c>
      <c r="L12" s="222">
        <f>'RP data'!L9</f>
        <v>7222.8307199999999</v>
      </c>
      <c r="M12" s="222">
        <f>'RP data'!M9</f>
        <v>4413.1000000000004</v>
      </c>
      <c r="N12" s="221"/>
      <c r="O12" s="224">
        <f t="shared" si="2"/>
        <v>2.3144971558187089</v>
      </c>
      <c r="P12" s="224">
        <f t="shared" si="2"/>
        <v>17.220960980793969</v>
      </c>
      <c r="Q12" s="224">
        <f t="shared" si="3"/>
        <v>28.528378237520108</v>
      </c>
    </row>
    <row r="13" spans="2:17" x14ac:dyDescent="0.3">
      <c r="B13" t="s">
        <v>355</v>
      </c>
      <c r="C13" s="221"/>
      <c r="D13" s="222">
        <f>'RP data'!D10</f>
        <v>4668.3</v>
      </c>
      <c r="E13" s="223">
        <f>'RP data'!E10</f>
        <v>10.57</v>
      </c>
      <c r="F13" s="222">
        <f t="shared" si="0"/>
        <v>49343.931000000004</v>
      </c>
      <c r="G13" s="222">
        <f>'RP data'!I10</f>
        <v>-235.7</v>
      </c>
      <c r="H13" s="222">
        <f t="shared" si="1"/>
        <v>49108.231000000007</v>
      </c>
      <c r="I13" s="222"/>
      <c r="J13" s="222"/>
      <c r="K13" s="222">
        <f>'RP data'!K10</f>
        <v>8715.7000000000007</v>
      </c>
      <c r="L13" s="222">
        <f>'RP data'!L10</f>
        <v>1793.6910600000001</v>
      </c>
      <c r="M13" s="222">
        <f>'RP data'!M10</f>
        <v>1241.7</v>
      </c>
      <c r="N13" s="221"/>
      <c r="O13" s="224">
        <f t="shared" si="2"/>
        <v>5.634456325940544</v>
      </c>
      <c r="P13" s="224">
        <f t="shared" si="2"/>
        <v>27.378310621674171</v>
      </c>
      <c r="Q13" s="224">
        <f t="shared" si="3"/>
        <v>39.739011838608363</v>
      </c>
    </row>
    <row r="14" spans="2:17" x14ac:dyDescent="0.3">
      <c r="B14" t="s">
        <v>356</v>
      </c>
      <c r="C14" s="221"/>
      <c r="D14" s="222">
        <f>'RP data'!D11</f>
        <v>2489.85</v>
      </c>
      <c r="E14" s="223">
        <f>'RP data'!E11</f>
        <v>18.86</v>
      </c>
      <c r="F14" s="222">
        <f t="shared" si="0"/>
        <v>46958.570999999996</v>
      </c>
      <c r="G14" s="222">
        <f>'RP data'!I11</f>
        <v>-854.96</v>
      </c>
      <c r="H14" s="222">
        <f t="shared" si="1"/>
        <v>46103.610999999997</v>
      </c>
      <c r="I14" s="222"/>
      <c r="J14" s="222"/>
      <c r="K14" s="222">
        <f>'RP data'!K11</f>
        <v>13639.26</v>
      </c>
      <c r="L14" s="222">
        <f>'RP data'!L11</f>
        <v>2420.9686499999998</v>
      </c>
      <c r="M14" s="222">
        <f>'RP data'!M11</f>
        <v>1632.09</v>
      </c>
      <c r="N14" s="221"/>
      <c r="O14" s="224">
        <f t="shared" si="2"/>
        <v>3.3802135159825384</v>
      </c>
      <c r="P14" s="224">
        <f t="shared" si="2"/>
        <v>19.043456428070641</v>
      </c>
      <c r="Q14" s="224">
        <f t="shared" si="3"/>
        <v>28.772047497380658</v>
      </c>
    </row>
    <row r="15" spans="2:17" x14ac:dyDescent="0.3">
      <c r="B15" t="s">
        <v>357</v>
      </c>
      <c r="C15" s="221"/>
      <c r="D15" s="222">
        <f>'RP data'!D12</f>
        <v>1990.47</v>
      </c>
      <c r="E15" s="223">
        <f>'RP data'!E12</f>
        <v>184.43</v>
      </c>
      <c r="F15" s="222">
        <f t="shared" si="0"/>
        <v>367102.38210000005</v>
      </c>
      <c r="G15" s="222">
        <f>'RP data'!I12</f>
        <v>-2954.2500000000005</v>
      </c>
      <c r="H15" s="222">
        <f t="shared" si="1"/>
        <v>364148.13210000005</v>
      </c>
      <c r="I15" s="222"/>
      <c r="J15" s="222"/>
      <c r="K15" s="222">
        <f>'RP data'!K12</f>
        <v>72765.649999999994</v>
      </c>
      <c r="L15" s="222">
        <f>'RP data'!L12</f>
        <v>14298.450224999997</v>
      </c>
      <c r="M15" s="222">
        <f>'RP data'!M12</f>
        <v>8074.85</v>
      </c>
      <c r="N15" s="221"/>
      <c r="O15" s="224">
        <f t="shared" si="2"/>
        <v>5.0043960591295491</v>
      </c>
      <c r="P15" s="224">
        <f t="shared" si="2"/>
        <v>25.467664423051144</v>
      </c>
      <c r="Q15" s="224">
        <f t="shared" si="3"/>
        <v>45.462439810027433</v>
      </c>
    </row>
    <row r="18" spans="2:17" x14ac:dyDescent="0.3">
      <c r="B18" s="135" t="s">
        <v>375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209">
        <f>MAX(O7:O15)</f>
        <v>5.6692489217126782</v>
      </c>
      <c r="P18" s="209">
        <f>MAX(P7:P15)</f>
        <v>27.378310621674171</v>
      </c>
      <c r="Q18" s="209">
        <f>MAX(Q7:Q15)</f>
        <v>45.462439810027433</v>
      </c>
    </row>
    <row r="19" spans="2:17" ht="16.2" x14ac:dyDescent="0.3">
      <c r="B19" s="135" t="s">
        <v>376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209">
        <f>QUARTILE(O7:O15,0)</f>
        <v>2.3144971558187089</v>
      </c>
      <c r="P19" s="209">
        <f>QUARTILE(P7:P15,0)</f>
        <v>14.412682138390958</v>
      </c>
      <c r="Q19" s="209">
        <f>QUARTILE(Q7:Q15,0)</f>
        <v>20.470666475679003</v>
      </c>
    </row>
    <row r="20" spans="2:17" x14ac:dyDescent="0.3">
      <c r="B20" s="135" t="s">
        <v>324</v>
      </c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209">
        <f>AVERAGE(O7:O15)</f>
        <v>4.0903969283233534</v>
      </c>
      <c r="P20" s="209">
        <f>AVERAGE(P7:P15)</f>
        <v>20.320362842731495</v>
      </c>
      <c r="Q20" s="209">
        <f>AVERAGE(Q7:Q15)</f>
        <v>30.899296793837973</v>
      </c>
    </row>
    <row r="21" spans="2:17" x14ac:dyDescent="0.3">
      <c r="B21" s="135" t="s">
        <v>187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209">
        <f>MEDIAN(O7:O15)</f>
        <v>4.0948954536377551</v>
      </c>
      <c r="P21" s="209">
        <f>MEDIAN(P7:P15)</f>
        <v>19.043456428070641</v>
      </c>
      <c r="Q21" s="209">
        <f>MEDIAN(Q7:Q15)</f>
        <v>28.772047497380658</v>
      </c>
    </row>
    <row r="22" spans="2:17" ht="16.2" x14ac:dyDescent="0.3">
      <c r="B22" s="135" t="s">
        <v>377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209">
        <f>QUARTILE(O7:O15,2)</f>
        <v>4.0948954536377551</v>
      </c>
      <c r="P22" s="209">
        <f>QUARTILE(P7:P15,2)</f>
        <v>19.043456428070641</v>
      </c>
      <c r="Q22" s="209">
        <f>QUARTILE(Q7:Q15,2)</f>
        <v>28.772047497380658</v>
      </c>
    </row>
    <row r="23" spans="2:17" x14ac:dyDescent="0.3">
      <c r="B23" s="135" t="s">
        <v>378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209">
        <f>MIN(O7:O15)</f>
        <v>2.3144971558187089</v>
      </c>
      <c r="P23" s="209">
        <f>MIN(P7:P15)</f>
        <v>14.412682138390958</v>
      </c>
      <c r="Q23" s="209">
        <f>MIN(Q7:Q15)</f>
        <v>20.470666475679003</v>
      </c>
    </row>
    <row r="25" spans="2:17" x14ac:dyDescent="0.3">
      <c r="B25" s="62" t="s">
        <v>379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201" t="s">
        <v>371</v>
      </c>
      <c r="P25" s="200" t="s">
        <v>372</v>
      </c>
      <c r="Q25" s="200" t="s">
        <v>373</v>
      </c>
    </row>
    <row r="26" spans="2:17" ht="3.6" customHeight="1" x14ac:dyDescent="0.3"/>
    <row r="27" spans="2:17" x14ac:dyDescent="0.3">
      <c r="B27" s="210" t="s">
        <v>380</v>
      </c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1">
        <f>O$21*K7</f>
        <v>427048.45706897421</v>
      </c>
      <c r="P27" s="211">
        <f>P$21*L7</f>
        <v>438311.07926231826</v>
      </c>
      <c r="Q27" s="211">
        <f>Q29+Q28</f>
        <v>424384.05697296106</v>
      </c>
    </row>
    <row r="28" spans="2:17" x14ac:dyDescent="0.3">
      <c r="B28" s="210" t="s">
        <v>358</v>
      </c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1">
        <f>$G$7</f>
        <v>-9930</v>
      </c>
      <c r="P28" s="211">
        <f t="shared" ref="P28:Q28" si="4">$G$7</f>
        <v>-9930</v>
      </c>
      <c r="Q28" s="211">
        <f t="shared" si="4"/>
        <v>-9930</v>
      </c>
    </row>
    <row r="29" spans="2:17" x14ac:dyDescent="0.3">
      <c r="B29" s="210" t="s">
        <v>381</v>
      </c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1">
        <f>O27-O28</f>
        <v>436978.45706897421</v>
      </c>
      <c r="P29" s="211">
        <f t="shared" ref="P29" si="5">P27-P28</f>
        <v>448241.07926231826</v>
      </c>
      <c r="Q29" s="211">
        <f>Q21*M7</f>
        <v>434314.05697296106</v>
      </c>
    </row>
    <row r="30" spans="2:17" x14ac:dyDescent="0.3">
      <c r="B30" t="s">
        <v>382</v>
      </c>
      <c r="O30" s="186">
        <f>$E$7</f>
        <v>271.37</v>
      </c>
      <c r="P30" s="186">
        <f t="shared" ref="P30:Q30" si="6">$E$7</f>
        <v>271.37</v>
      </c>
      <c r="Q30" s="186">
        <f t="shared" si="6"/>
        <v>271.37</v>
      </c>
    </row>
    <row r="31" spans="2:17" x14ac:dyDescent="0.3">
      <c r="B31" s="212" t="s">
        <v>383</v>
      </c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3">
        <f>O29/O30</f>
        <v>1610.2681102147408</v>
      </c>
      <c r="P31" s="213">
        <f t="shared" ref="P31:Q31" si="7">P29/P30</f>
        <v>1651.7709373265957</v>
      </c>
      <c r="Q31" s="213">
        <f t="shared" si="7"/>
        <v>1600.4497806425215</v>
      </c>
    </row>
    <row r="32" spans="2:17" x14ac:dyDescent="0.3">
      <c r="B32" s="214" t="s">
        <v>384</v>
      </c>
    </row>
    <row r="33" spans="15:17" x14ac:dyDescent="0.3">
      <c r="O33" t="str">
        <f>IF(O31&gt;$D$7, "Undervalued","Overvalued")</f>
        <v>Undervalued</v>
      </c>
      <c r="P33" t="str">
        <f>IF(P31&gt;$D$7, "Undervalued","Overvalued")</f>
        <v>Undervalued</v>
      </c>
      <c r="Q33" t="str">
        <f>IF(Q31&gt;$D$7, "Undervalued","Overvalued")</f>
        <v>Undervalued</v>
      </c>
    </row>
  </sheetData>
  <mergeCells count="4">
    <mergeCell ref="B1:Q2"/>
    <mergeCell ref="B3:I3"/>
    <mergeCell ref="K3:M3"/>
    <mergeCell ref="O3:Q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4"/>
  <sheetViews>
    <sheetView showGridLines="0" zoomScale="80" zoomScaleNormal="80" workbookViewId="0">
      <pane ySplit="2" topLeftCell="A54" activePane="bottomLeft" state="frozen"/>
      <selection pane="bottomLeft" activeCell="J2" sqref="J2:K2"/>
    </sheetView>
  </sheetViews>
  <sheetFormatPr defaultRowHeight="14.4" x14ac:dyDescent="0.3"/>
  <cols>
    <col min="1" max="1" width="1.88671875" customWidth="1"/>
    <col min="2" max="2" width="17" bestFit="1" customWidth="1"/>
    <col min="7" max="7" width="10" bestFit="1" customWidth="1"/>
    <col min="8" max="8" width="20.33203125" bestFit="1" customWidth="1"/>
    <col min="9" max="11" width="19.21875" bestFit="1" customWidth="1"/>
  </cols>
  <sheetData>
    <row r="2" spans="2:11" x14ac:dyDescent="0.3">
      <c r="B2" s="66" t="s">
        <v>221</v>
      </c>
      <c r="C2" s="66"/>
      <c r="D2" s="66"/>
      <c r="E2" s="66"/>
      <c r="F2" s="66"/>
      <c r="G2" s="67">
        <f>'Raw FS'!J$3</f>
        <v>43525</v>
      </c>
      <c r="H2" s="67">
        <f>'Raw FS'!K$3</f>
        <v>43891</v>
      </c>
      <c r="I2" s="67">
        <f>'Raw FS'!L$3</f>
        <v>44256</v>
      </c>
      <c r="J2" s="67">
        <f>'Raw FS'!M$3</f>
        <v>44621</v>
      </c>
      <c r="K2" s="67">
        <f>'Raw FS'!N$3</f>
        <v>44986</v>
      </c>
    </row>
    <row r="4" spans="2:11" x14ac:dyDescent="0.3">
      <c r="B4" t="s">
        <v>222</v>
      </c>
    </row>
    <row r="5" spans="2:11" x14ac:dyDescent="0.3">
      <c r="B5" s="68" t="str">
        <f>'Raw FS'!B39</f>
        <v>Inventories</v>
      </c>
      <c r="C5" s="68"/>
      <c r="D5" s="68"/>
      <c r="E5" s="68"/>
      <c r="F5" s="68"/>
      <c r="G5" s="75">
        <f>'Raw FS'!J39</f>
        <v>91</v>
      </c>
      <c r="H5" s="75">
        <f>'Raw FS'!K39</f>
        <v>91</v>
      </c>
      <c r="I5" s="75">
        <f>'Raw FS'!L39</f>
        <v>94</v>
      </c>
      <c r="J5" s="75">
        <f>'Raw FS'!M39</f>
        <v>161</v>
      </c>
      <c r="K5" s="75">
        <f>'Raw FS'!N39</f>
        <v>228</v>
      </c>
    </row>
    <row r="6" spans="2:11" x14ac:dyDescent="0.3">
      <c r="B6" s="68" t="str">
        <f>'Raw FS'!B40</f>
        <v>Trade receivables</v>
      </c>
      <c r="C6" s="68"/>
      <c r="D6" s="68"/>
      <c r="E6" s="68"/>
      <c r="F6" s="68"/>
      <c r="G6" s="75">
        <f>'Raw FS'!J40</f>
        <v>11706</v>
      </c>
      <c r="H6" s="75">
        <f>'Raw FS'!K40</f>
        <v>14131</v>
      </c>
      <c r="I6" s="75">
        <f>'Raw FS'!L40</f>
        <v>17525</v>
      </c>
      <c r="J6" s="75">
        <f>'Raw FS'!M40</f>
        <v>20671</v>
      </c>
      <c r="K6" s="75">
        <f>'Raw FS'!N40</f>
        <v>25506</v>
      </c>
    </row>
    <row r="7" spans="2:11" x14ac:dyDescent="0.3">
      <c r="B7" s="68" t="str">
        <f>'Raw FS'!B42</f>
        <v>Short term loans</v>
      </c>
      <c r="C7" s="68"/>
      <c r="D7" s="68"/>
      <c r="E7" s="68"/>
      <c r="F7" s="68"/>
      <c r="G7" s="75">
        <f>'Raw FS'!J41</f>
        <v>7872</v>
      </c>
      <c r="H7" s="75">
        <f>'Raw FS'!K41</f>
        <v>4976</v>
      </c>
      <c r="I7" s="75">
        <f>'Raw FS'!L41</f>
        <v>8888</v>
      </c>
      <c r="J7" s="75">
        <f>'Raw FS'!M41</f>
        <v>12636</v>
      </c>
      <c r="K7" s="75">
        <f>'Raw FS'!N41</f>
        <v>14724</v>
      </c>
    </row>
    <row r="8" spans="2:11" ht="15" thickBot="1" x14ac:dyDescent="0.35">
      <c r="B8" s="68" t="str">
        <f>'Raw FS'!B43</f>
        <v>Other asset items</v>
      </c>
      <c r="G8" s="75">
        <f>'Raw FS'!J42</f>
        <v>118</v>
      </c>
      <c r="H8" s="75">
        <f>'Raw FS'!K42</f>
        <v>115</v>
      </c>
      <c r="I8" s="75">
        <f>'Raw FS'!L42</f>
        <v>75</v>
      </c>
      <c r="J8" s="75">
        <f>'Raw FS'!M42</f>
        <v>78</v>
      </c>
      <c r="K8" s="75">
        <f>'Raw FS'!N42</f>
        <v>148</v>
      </c>
    </row>
    <row r="9" spans="2:11" s="37" customFormat="1" ht="15" thickBot="1" x14ac:dyDescent="0.35">
      <c r="B9" s="69" t="s">
        <v>117</v>
      </c>
      <c r="C9" s="69"/>
      <c r="D9" s="69"/>
      <c r="E9" s="69"/>
      <c r="F9" s="69"/>
      <c r="G9" s="76">
        <f>SUM(G5:G8)</f>
        <v>19787</v>
      </c>
      <c r="H9" s="76">
        <f t="shared" ref="H9:K9" si="0">SUM(H5:H8)</f>
        <v>19313</v>
      </c>
      <c r="I9" s="76">
        <f t="shared" si="0"/>
        <v>26582</v>
      </c>
      <c r="J9" s="76">
        <f t="shared" si="0"/>
        <v>33546</v>
      </c>
      <c r="K9" s="76">
        <f t="shared" si="0"/>
        <v>40606</v>
      </c>
    </row>
    <row r="10" spans="2:11" x14ac:dyDescent="0.3">
      <c r="G10" s="74"/>
      <c r="H10" s="74"/>
      <c r="I10" s="74"/>
      <c r="J10" s="74"/>
      <c r="K10" s="74"/>
    </row>
    <row r="11" spans="2:11" x14ac:dyDescent="0.3">
      <c r="B11" t="s">
        <v>223</v>
      </c>
      <c r="G11" s="74"/>
      <c r="H11" s="74"/>
      <c r="I11" s="74"/>
      <c r="J11" s="74"/>
      <c r="K11" s="74"/>
    </row>
    <row r="12" spans="2:11" x14ac:dyDescent="0.3">
      <c r="B12" s="68" t="str">
        <f>'Raw FS'!B16</f>
        <v>Trade Payables</v>
      </c>
      <c r="C12" s="68"/>
      <c r="D12" s="68"/>
      <c r="E12" s="68"/>
      <c r="F12" s="68"/>
      <c r="G12" s="75">
        <f>'Raw FS'!J16</f>
        <v>1305</v>
      </c>
      <c r="H12" s="75">
        <f>'Raw FS'!K16</f>
        <v>1166</v>
      </c>
      <c r="I12" s="75">
        <f>'Raw FS'!L16</f>
        <v>5457</v>
      </c>
      <c r="J12" s="75">
        <f>'Raw FS'!M16</f>
        <v>6278</v>
      </c>
      <c r="K12" s="75">
        <f>'Raw FS'!N16</f>
        <v>6428</v>
      </c>
    </row>
    <row r="13" spans="2:11" x14ac:dyDescent="0.3">
      <c r="B13" s="68" t="str">
        <f>'Raw FS'!B17</f>
        <v>Advance from Customers</v>
      </c>
      <c r="C13" s="68"/>
      <c r="D13" s="68"/>
      <c r="E13" s="68"/>
      <c r="F13" s="68"/>
      <c r="G13" s="75">
        <f>'Raw FS'!J17</f>
        <v>3</v>
      </c>
      <c r="H13" s="75">
        <f>'Raw FS'!K17</f>
        <v>252</v>
      </c>
      <c r="I13" s="75">
        <f>'Raw FS'!L17</f>
        <v>320</v>
      </c>
      <c r="J13" s="75">
        <f>'Raw FS'!M17</f>
        <v>222</v>
      </c>
      <c r="K13" s="75">
        <f>'Raw FS'!N17</f>
        <v>252</v>
      </c>
    </row>
    <row r="14" spans="2:11" ht="15" thickBot="1" x14ac:dyDescent="0.35">
      <c r="B14" s="68" t="str">
        <f>'Raw FS'!B18</f>
        <v>Other liability items</v>
      </c>
      <c r="C14" s="68"/>
      <c r="D14" s="68"/>
      <c r="E14" s="68"/>
      <c r="F14" s="68"/>
      <c r="G14" s="75">
        <f>'Raw FS'!J18</f>
        <v>11377</v>
      </c>
      <c r="H14" s="75">
        <f>'Raw FS'!K18</f>
        <v>21994</v>
      </c>
      <c r="I14" s="75">
        <f>'Raw FS'!L18</f>
        <v>13324</v>
      </c>
      <c r="J14" s="75">
        <f>'Raw FS'!M18</f>
        <v>14072</v>
      </c>
      <c r="K14" s="75">
        <f>'Raw FS'!N18</f>
        <v>16378</v>
      </c>
    </row>
    <row r="15" spans="2:11" s="37" customFormat="1" ht="15" thickBot="1" x14ac:dyDescent="0.35">
      <c r="B15" s="69" t="s">
        <v>224</v>
      </c>
      <c r="C15" s="69"/>
      <c r="D15" s="69"/>
      <c r="E15" s="69"/>
      <c r="F15" s="69"/>
      <c r="G15" s="76">
        <f>SUM(G12:G14)</f>
        <v>12685</v>
      </c>
      <c r="H15" s="76">
        <f t="shared" ref="H15:K15" si="1">SUM(H12:H14)</f>
        <v>23412</v>
      </c>
      <c r="I15" s="76">
        <f t="shared" si="1"/>
        <v>19101</v>
      </c>
      <c r="J15" s="76">
        <f t="shared" si="1"/>
        <v>20572</v>
      </c>
      <c r="K15" s="76">
        <f t="shared" si="1"/>
        <v>23058</v>
      </c>
    </row>
    <row r="16" spans="2:11" x14ac:dyDescent="0.3">
      <c r="G16" s="74"/>
      <c r="H16" s="74"/>
      <c r="I16" s="74"/>
      <c r="J16" s="74"/>
      <c r="K16" s="74"/>
    </row>
    <row r="17" spans="2:11" x14ac:dyDescent="0.3">
      <c r="G17" s="74"/>
      <c r="H17" s="74"/>
      <c r="I17" s="74"/>
      <c r="J17" s="74"/>
      <c r="K17" s="74"/>
    </row>
    <row r="18" spans="2:11" ht="15" thickBot="1" x14ac:dyDescent="0.35">
      <c r="B18" s="70" t="s">
        <v>225</v>
      </c>
      <c r="C18" s="70"/>
      <c r="D18" s="70"/>
      <c r="E18" s="70"/>
      <c r="F18" s="70"/>
      <c r="G18" s="78">
        <f>G9-G15</f>
        <v>7102</v>
      </c>
      <c r="H18" s="78">
        <f t="shared" ref="H18:K18" si="2">H9-H15</f>
        <v>-4099</v>
      </c>
      <c r="I18" s="78">
        <f t="shared" si="2"/>
        <v>7481</v>
      </c>
      <c r="J18" s="78">
        <f t="shared" si="2"/>
        <v>12974</v>
      </c>
      <c r="K18" s="78">
        <f t="shared" si="2"/>
        <v>17548</v>
      </c>
    </row>
    <row r="19" spans="2:11" ht="15" thickTop="1" x14ac:dyDescent="0.3">
      <c r="G19" s="74"/>
      <c r="H19" s="74"/>
      <c r="I19" s="74"/>
      <c r="J19" s="74"/>
      <c r="K19" s="74"/>
    </row>
    <row r="20" spans="2:11" x14ac:dyDescent="0.3">
      <c r="B20" s="37" t="s">
        <v>226</v>
      </c>
      <c r="G20" s="74"/>
      <c r="H20" s="74"/>
      <c r="I20" s="74"/>
      <c r="J20" s="74"/>
      <c r="K20" s="74"/>
    </row>
    <row r="21" spans="2:11" x14ac:dyDescent="0.3">
      <c r="B21" s="68" t="str">
        <f>'Raw FS'!B22</f>
        <v>Land</v>
      </c>
      <c r="C21" s="68"/>
      <c r="D21" s="68"/>
      <c r="E21" s="68"/>
      <c r="F21" s="68"/>
      <c r="G21" s="75">
        <f>'Raw FS'!J22</f>
        <v>74</v>
      </c>
      <c r="H21" s="75">
        <f>'Raw FS'!K22</f>
        <v>373</v>
      </c>
      <c r="I21" s="75">
        <f>'Raw FS'!L22</f>
        <v>356</v>
      </c>
      <c r="J21" s="75">
        <f>'Raw FS'!M22</f>
        <v>415</v>
      </c>
      <c r="K21" s="75">
        <f>'Raw FS'!N22</f>
        <v>410</v>
      </c>
    </row>
    <row r="22" spans="2:11" x14ac:dyDescent="0.3">
      <c r="B22" s="68" t="str">
        <f>'Raw FS'!B23</f>
        <v>Building</v>
      </c>
      <c r="C22" s="68"/>
      <c r="D22" s="68"/>
      <c r="E22" s="68"/>
      <c r="F22" s="68"/>
      <c r="G22" s="75">
        <f>'Raw FS'!J23</f>
        <v>2996</v>
      </c>
      <c r="H22" s="75">
        <f>'Raw FS'!K23</f>
        <v>5947</v>
      </c>
      <c r="I22" s="75">
        <f>'Raw FS'!L23</f>
        <v>5246</v>
      </c>
      <c r="J22" s="75">
        <f>'Raw FS'!M23</f>
        <v>5202</v>
      </c>
      <c r="K22" s="75">
        <f>'Raw FS'!N23</f>
        <v>5064</v>
      </c>
    </row>
    <row r="23" spans="2:11" x14ac:dyDescent="0.3">
      <c r="B23" s="68" t="str">
        <f>'Raw FS'!B24</f>
        <v>Plant Machinery</v>
      </c>
      <c r="C23" s="68"/>
      <c r="D23" s="68"/>
      <c r="E23" s="68"/>
      <c r="F23" s="68"/>
      <c r="G23" s="75">
        <f>'Raw FS'!J24</f>
        <v>1692</v>
      </c>
      <c r="H23" s="75">
        <f>'Raw FS'!K24</f>
        <v>1789</v>
      </c>
      <c r="I23" s="75">
        <f>'Raw FS'!L24</f>
        <v>1859</v>
      </c>
      <c r="J23" s="75">
        <f>'Raw FS'!M24</f>
        <v>1946</v>
      </c>
      <c r="K23" s="75">
        <f>'Raw FS'!N24</f>
        <v>1952</v>
      </c>
    </row>
    <row r="24" spans="2:11" x14ac:dyDescent="0.3">
      <c r="B24" s="68" t="str">
        <f>'Raw FS'!B25</f>
        <v>Equipments</v>
      </c>
      <c r="C24" s="68"/>
      <c r="D24" s="68"/>
      <c r="E24" s="68"/>
      <c r="F24" s="68"/>
      <c r="G24" s="75">
        <f>'Raw FS'!J25</f>
        <v>340</v>
      </c>
      <c r="H24" s="75">
        <f>'Raw FS'!K25</f>
        <v>363</v>
      </c>
      <c r="I24" s="75">
        <f>'Raw FS'!L25</f>
        <v>373</v>
      </c>
      <c r="J24" s="75">
        <f>'Raw FS'!M25</f>
        <v>385</v>
      </c>
      <c r="K24" s="75">
        <f>'Raw FS'!N25</f>
        <v>384</v>
      </c>
    </row>
    <row r="25" spans="2:11" x14ac:dyDescent="0.3">
      <c r="B25" s="68" t="str">
        <f>'Raw FS'!B26</f>
        <v>Computers</v>
      </c>
      <c r="C25" s="68"/>
      <c r="D25" s="68"/>
      <c r="E25" s="68"/>
      <c r="F25" s="68"/>
      <c r="G25" s="75">
        <f>'Raw FS'!J26</f>
        <v>5538</v>
      </c>
      <c r="H25" s="75">
        <f>'Raw FS'!K26</f>
        <v>6523</v>
      </c>
      <c r="I25" s="75">
        <f>'Raw FS'!L26</f>
        <v>6433</v>
      </c>
      <c r="J25" s="75">
        <f>'Raw FS'!M26</f>
        <v>6972</v>
      </c>
      <c r="K25" s="75">
        <f>'Raw FS'!N26</f>
        <v>8256</v>
      </c>
    </row>
    <row r="26" spans="2:11" x14ac:dyDescent="0.3">
      <c r="B26" s="68" t="str">
        <f>'Raw FS'!B27</f>
        <v>Furniture n fittings</v>
      </c>
      <c r="C26" s="68"/>
      <c r="D26" s="68"/>
      <c r="E26" s="68"/>
      <c r="F26" s="68"/>
      <c r="G26" s="75">
        <f>'Raw FS'!J27</f>
        <v>828</v>
      </c>
      <c r="H26" s="75">
        <f>'Raw FS'!K27</f>
        <v>884</v>
      </c>
      <c r="I26" s="75">
        <f>'Raw FS'!L27</f>
        <v>925</v>
      </c>
      <c r="J26" s="75">
        <f>'Raw FS'!M27</f>
        <v>939</v>
      </c>
      <c r="K26" s="75">
        <f>'Raw FS'!N27</f>
        <v>952</v>
      </c>
    </row>
    <row r="27" spans="2:11" x14ac:dyDescent="0.3">
      <c r="B27" s="68" t="str">
        <f>'Raw FS'!B28</f>
        <v>Vehicles</v>
      </c>
      <c r="C27" s="68"/>
      <c r="D27" s="68"/>
      <c r="E27" s="68"/>
      <c r="F27" s="68"/>
      <c r="G27" s="75">
        <f>'Raw FS'!J28</f>
        <v>127</v>
      </c>
      <c r="H27" s="75">
        <f>'Raw FS'!K28</f>
        <v>143</v>
      </c>
      <c r="I27" s="75">
        <f>'Raw FS'!L28</f>
        <v>144</v>
      </c>
      <c r="J27" s="75">
        <f>'Raw FS'!M28</f>
        <v>143</v>
      </c>
      <c r="K27" s="75">
        <f>'Raw FS'!N28</f>
        <v>158</v>
      </c>
    </row>
    <row r="28" spans="2:11" x14ac:dyDescent="0.3">
      <c r="B28" s="68" t="str">
        <f>'Raw FS'!B29</f>
        <v>Intangible Assets</v>
      </c>
      <c r="C28" s="68"/>
      <c r="D28" s="68"/>
      <c r="E28" s="68"/>
      <c r="F28" s="68"/>
      <c r="G28" s="75">
        <f>'Raw FS'!J29</f>
        <v>18274</v>
      </c>
      <c r="H28" s="75">
        <f>'Raw FS'!K29</f>
        <v>24507</v>
      </c>
      <c r="I28" s="75">
        <f>'Raw FS'!L29</f>
        <v>26221</v>
      </c>
      <c r="J28" s="75">
        <f>'Raw FS'!M29</f>
        <v>26177</v>
      </c>
      <c r="K28" s="75">
        <f>'Raw FS'!N29</f>
        <v>27392</v>
      </c>
    </row>
    <row r="29" spans="2:11" ht="15" thickBot="1" x14ac:dyDescent="0.35">
      <c r="B29" s="68" t="str">
        <f>'Raw FS'!B30</f>
        <v>Other fixed assets</v>
      </c>
      <c r="C29" s="11"/>
      <c r="D29" s="11"/>
      <c r="E29" s="11"/>
      <c r="F29" s="11"/>
      <c r="G29" s="75">
        <f>'Raw FS'!J30</f>
        <v>861</v>
      </c>
      <c r="H29" s="75">
        <f>'Raw FS'!K30</f>
        <v>7340</v>
      </c>
      <c r="I29" s="75">
        <f>'Raw FS'!L30</f>
        <v>7764</v>
      </c>
      <c r="J29" s="75">
        <f>'Raw FS'!M30</f>
        <v>7910</v>
      </c>
      <c r="K29" s="75">
        <f>'Raw FS'!N30</f>
        <v>8023</v>
      </c>
    </row>
    <row r="30" spans="2:11" x14ac:dyDescent="0.3">
      <c r="B30" s="71" t="str">
        <f>'Raw FS'!B31</f>
        <v>Gross Block</v>
      </c>
      <c r="C30" s="71"/>
      <c r="D30" s="71"/>
      <c r="E30" s="71"/>
      <c r="F30" s="71"/>
      <c r="G30" s="79">
        <f>SUM(G21:G29)</f>
        <v>30730</v>
      </c>
      <c r="H30" s="79">
        <f>SUM(H21:H29)</f>
        <v>47869</v>
      </c>
      <c r="I30" s="79">
        <f>SUM(I21:I29)</f>
        <v>49321</v>
      </c>
      <c r="J30" s="79">
        <f>SUM(J21:J29)</f>
        <v>50089</v>
      </c>
      <c r="K30" s="79">
        <f>SUM(K21:K29)</f>
        <v>52591</v>
      </c>
    </row>
    <row r="31" spans="2:11" ht="15" thickBot="1" x14ac:dyDescent="0.35">
      <c r="B31" s="68" t="str">
        <f>'Raw FS'!B32</f>
        <v>Accumulated Depreciation</v>
      </c>
      <c r="C31" s="68"/>
      <c r="D31" s="68"/>
      <c r="E31" s="68"/>
      <c r="F31" s="68"/>
      <c r="G31" s="75">
        <f>-'Raw FS'!J32</f>
        <v>-7842</v>
      </c>
      <c r="H31" s="75">
        <f>-'Raw FS'!K32</f>
        <v>-10379</v>
      </c>
      <c r="I31" s="75">
        <f>-'Raw FS'!L32</f>
        <v>-12176</v>
      </c>
      <c r="J31" s="75">
        <f>-'Raw FS'!M32</f>
        <v>-15012</v>
      </c>
      <c r="K31" s="75">
        <f>-'Raw FS'!N32</f>
        <v>-17972</v>
      </c>
    </row>
    <row r="32" spans="2:11" ht="15" thickBot="1" x14ac:dyDescent="0.35">
      <c r="B32" s="69" t="s">
        <v>227</v>
      </c>
      <c r="C32" s="69"/>
      <c r="D32" s="69"/>
      <c r="E32" s="69"/>
      <c r="F32" s="69"/>
      <c r="G32" s="76">
        <f>SUM(G30:G31)</f>
        <v>22888</v>
      </c>
      <c r="H32" s="76">
        <f t="shared" ref="H32:K32" si="3">SUM(H30:H31)</f>
        <v>37490</v>
      </c>
      <c r="I32" s="76">
        <f t="shared" si="3"/>
        <v>37145</v>
      </c>
      <c r="J32" s="76">
        <f t="shared" si="3"/>
        <v>35077</v>
      </c>
      <c r="K32" s="76">
        <f t="shared" si="3"/>
        <v>34619</v>
      </c>
    </row>
    <row r="33" spans="2:11" x14ac:dyDescent="0.3">
      <c r="G33" s="74"/>
      <c r="H33" s="74"/>
      <c r="I33" s="74"/>
      <c r="J33" s="74"/>
      <c r="K33" s="74"/>
    </row>
    <row r="34" spans="2:11" x14ac:dyDescent="0.3">
      <c r="B34" s="37" t="s">
        <v>228</v>
      </c>
      <c r="C34" s="37"/>
      <c r="D34" s="37"/>
      <c r="E34" s="37"/>
      <c r="F34" s="37"/>
      <c r="G34" s="77">
        <f>G32+G18</f>
        <v>29990</v>
      </c>
      <c r="H34" s="77">
        <f>H32+H18</f>
        <v>33391</v>
      </c>
      <c r="I34" s="77">
        <f>I32+I18</f>
        <v>44626</v>
      </c>
      <c r="J34" s="77">
        <f>J32+J18</f>
        <v>48051</v>
      </c>
      <c r="K34" s="77">
        <f>K32+K18</f>
        <v>52167</v>
      </c>
    </row>
    <row r="35" spans="2:11" x14ac:dyDescent="0.3">
      <c r="B35" s="37" t="s">
        <v>229</v>
      </c>
      <c r="C35" s="37"/>
      <c r="D35" s="37"/>
      <c r="E35" s="37"/>
      <c r="F35" s="37"/>
      <c r="G35" s="77">
        <f>'Historical FS'!F26+'Historical FS'!F20</f>
        <v>11853</v>
      </c>
      <c r="H35" s="77">
        <f>'Historical FS'!G26+'Historical FS'!G20</f>
        <v>13896</v>
      </c>
      <c r="I35" s="77">
        <f>'Historical FS'!H26+'Historical FS'!H20</f>
        <v>15437</v>
      </c>
      <c r="J35" s="77">
        <f>'Historical FS'!I26+'Historical FS'!I20</f>
        <v>16203</v>
      </c>
      <c r="K35" s="77">
        <f>'Historical FS'!J26+'Historical FS'!J20</f>
        <v>18483</v>
      </c>
    </row>
    <row r="37" spans="2:11" ht="15" thickBot="1" x14ac:dyDescent="0.35">
      <c r="B37" s="72" t="s">
        <v>230</v>
      </c>
      <c r="C37" s="70"/>
      <c r="D37" s="70"/>
      <c r="E37" s="70"/>
      <c r="F37" s="70"/>
      <c r="G37" s="73">
        <f>G35/G34</f>
        <v>0.39523174391463822</v>
      </c>
      <c r="H37" s="73">
        <f t="shared" ref="H37:K37" si="4">H35/H34</f>
        <v>0.41616004312539306</v>
      </c>
      <c r="I37" s="73">
        <f t="shared" si="4"/>
        <v>0.3459194191726796</v>
      </c>
      <c r="J37" s="73">
        <f t="shared" si="4"/>
        <v>0.33720422051570209</v>
      </c>
      <c r="K37" s="73">
        <f t="shared" si="4"/>
        <v>0.3543044453390074</v>
      </c>
    </row>
    <row r="38" spans="2:11" ht="15" thickTop="1" x14ac:dyDescent="0.3"/>
    <row r="40" spans="2:11" x14ac:dyDescent="0.3">
      <c r="B40" s="66" t="s">
        <v>231</v>
      </c>
      <c r="C40" s="66"/>
      <c r="D40" s="66"/>
      <c r="E40" s="66"/>
      <c r="F40" s="66"/>
      <c r="G40" s="67">
        <f>G2</f>
        <v>43525</v>
      </c>
      <c r="H40" s="67">
        <f>H2</f>
        <v>43891</v>
      </c>
      <c r="I40" s="67">
        <f>I2</f>
        <v>44256</v>
      </c>
      <c r="J40" s="67">
        <f>J2</f>
        <v>44621</v>
      </c>
      <c r="K40" s="67">
        <f>K2</f>
        <v>44986</v>
      </c>
    </row>
    <row r="42" spans="2:11" x14ac:dyDescent="0.3">
      <c r="B42" s="68" t="s">
        <v>232</v>
      </c>
      <c r="C42" s="68"/>
      <c r="D42" s="68"/>
      <c r="E42" s="68"/>
      <c r="F42" s="68"/>
      <c r="G42" s="75">
        <f>-SUM('Raw FS'!J62:J63)</f>
        <v>3434</v>
      </c>
      <c r="H42" s="75">
        <f>-SUM('Raw FS'!K62:K63)</f>
        <v>1829</v>
      </c>
      <c r="I42" s="75">
        <f>-SUM('Raw FS'!L62:L63)</f>
        <v>1753</v>
      </c>
      <c r="J42" s="75">
        <f>-SUM('Raw FS'!M62:M63)</f>
        <v>1555</v>
      </c>
      <c r="K42" s="75">
        <f>-SUM('Raw FS'!N62:N63)</f>
        <v>1444</v>
      </c>
    </row>
    <row r="43" spans="2:11" x14ac:dyDescent="0.3">
      <c r="B43" s="68" t="s">
        <v>237</v>
      </c>
      <c r="C43" s="68"/>
      <c r="D43" s="68"/>
      <c r="E43" s="68"/>
      <c r="F43" s="68"/>
      <c r="G43" s="75"/>
      <c r="H43" s="75">
        <f>H18-G18</f>
        <v>-11201</v>
      </c>
      <c r="I43" s="75">
        <f>I18-H18</f>
        <v>11580</v>
      </c>
      <c r="J43" s="75">
        <f>J18-I18</f>
        <v>5493</v>
      </c>
      <c r="K43" s="75">
        <f>K18-J18</f>
        <v>4574</v>
      </c>
    </row>
    <row r="44" spans="2:11" x14ac:dyDescent="0.3">
      <c r="B44" s="68"/>
      <c r="C44" s="68"/>
      <c r="D44" s="68"/>
      <c r="E44" s="68"/>
      <c r="F44" s="68"/>
      <c r="G44" s="75"/>
      <c r="H44" s="75"/>
      <c r="I44" s="75"/>
      <c r="J44" s="75"/>
      <c r="K44" s="75"/>
    </row>
    <row r="45" spans="2:11" x14ac:dyDescent="0.3">
      <c r="B45" s="68" t="s">
        <v>229</v>
      </c>
      <c r="C45" s="68"/>
      <c r="D45" s="68"/>
      <c r="E45" s="68"/>
      <c r="F45" s="68"/>
      <c r="G45" s="75">
        <f>G35</f>
        <v>11853</v>
      </c>
      <c r="H45" s="75">
        <f t="shared" ref="H45:K45" si="5">H35</f>
        <v>13896</v>
      </c>
      <c r="I45" s="75">
        <f t="shared" si="5"/>
        <v>15437</v>
      </c>
      <c r="J45" s="75">
        <f t="shared" si="5"/>
        <v>16203</v>
      </c>
      <c r="K45" s="75">
        <f t="shared" si="5"/>
        <v>18483</v>
      </c>
    </row>
    <row r="46" spans="2:11" x14ac:dyDescent="0.3">
      <c r="B46" s="68" t="s">
        <v>238</v>
      </c>
      <c r="C46" s="68"/>
      <c r="D46" s="68"/>
      <c r="E46" s="68"/>
      <c r="F46" s="68"/>
      <c r="G46" s="80">
        <v>0.25</v>
      </c>
      <c r="H46" s="80">
        <v>0.25</v>
      </c>
      <c r="I46" s="80">
        <v>0.25</v>
      </c>
      <c r="J46" s="80">
        <v>0.25</v>
      </c>
      <c r="K46" s="80">
        <v>0.25</v>
      </c>
    </row>
    <row r="47" spans="2:11" x14ac:dyDescent="0.3">
      <c r="B47" s="68" t="s">
        <v>241</v>
      </c>
      <c r="C47" s="68"/>
      <c r="D47" s="68"/>
      <c r="E47" s="68"/>
      <c r="F47" s="68"/>
      <c r="G47" s="75">
        <f>G45*(1-G46)</f>
        <v>8889.75</v>
      </c>
      <c r="H47" s="75">
        <f t="shared" ref="H47:K47" si="6">H45*(1-H46)</f>
        <v>10422</v>
      </c>
      <c r="I47" s="75">
        <f t="shared" si="6"/>
        <v>11577.75</v>
      </c>
      <c r="J47" s="75">
        <f t="shared" si="6"/>
        <v>12152.25</v>
      </c>
      <c r="K47" s="75">
        <f t="shared" si="6"/>
        <v>13862.25</v>
      </c>
    </row>
    <row r="48" spans="2:11" x14ac:dyDescent="0.3">
      <c r="B48" s="68"/>
      <c r="C48" s="68"/>
      <c r="D48" s="68"/>
      <c r="E48" s="68"/>
      <c r="F48" s="68"/>
      <c r="G48" s="75"/>
      <c r="H48" s="75"/>
      <c r="I48" s="75"/>
      <c r="J48" s="75"/>
      <c r="K48" s="75"/>
    </row>
    <row r="49" spans="2:11" x14ac:dyDescent="0.3">
      <c r="B49" s="68" t="s">
        <v>240</v>
      </c>
      <c r="C49" s="68"/>
      <c r="D49" s="68"/>
      <c r="E49" s="68"/>
      <c r="F49" s="68"/>
      <c r="G49" s="75"/>
      <c r="H49" s="75">
        <f>SUM(H42:H43)</f>
        <v>-9372</v>
      </c>
      <c r="I49" s="75">
        <f t="shared" ref="I49:K49" si="7">SUM(I42:I43)</f>
        <v>13333</v>
      </c>
      <c r="J49" s="75">
        <f t="shared" si="7"/>
        <v>7048</v>
      </c>
      <c r="K49" s="75">
        <f t="shared" si="7"/>
        <v>6018</v>
      </c>
    </row>
    <row r="50" spans="2:11" x14ac:dyDescent="0.3">
      <c r="H50" s="36"/>
      <c r="I50" s="36"/>
      <c r="J50" s="36"/>
      <c r="K50" s="36"/>
    </row>
    <row r="51" spans="2:11" ht="15" thickBot="1" x14ac:dyDescent="0.35">
      <c r="B51" s="81" t="s">
        <v>239</v>
      </c>
      <c r="C51" s="81"/>
      <c r="D51" s="81"/>
      <c r="E51" s="81"/>
      <c r="F51" s="81"/>
      <c r="G51" s="81"/>
      <c r="H51" s="82">
        <f>H49/H47</f>
        <v>-0.89925158318940701</v>
      </c>
      <c r="I51" s="82">
        <f t="shared" ref="I51:K51" si="8">I49/I47</f>
        <v>1.1516054501090454</v>
      </c>
      <c r="J51" s="82">
        <f t="shared" si="8"/>
        <v>0.57997490176716249</v>
      </c>
      <c r="K51" s="82">
        <f t="shared" si="8"/>
        <v>0.43412865876751611</v>
      </c>
    </row>
    <row r="52" spans="2:11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2:11" x14ac:dyDescent="0.3">
      <c r="B53" s="37"/>
      <c r="C53" s="37"/>
      <c r="D53" s="37"/>
      <c r="E53" s="37"/>
      <c r="F53" s="37"/>
      <c r="G53" s="37"/>
      <c r="H53" s="37"/>
      <c r="I53" s="37"/>
      <c r="J53" s="83" t="s">
        <v>242</v>
      </c>
      <c r="K53" s="84">
        <f>AVERAGE(H51:K51)</f>
        <v>0.31661435686357925</v>
      </c>
    </row>
    <row r="54" spans="2:11" x14ac:dyDescent="0.3">
      <c r="B54" s="37"/>
      <c r="C54" s="37"/>
      <c r="D54" s="37"/>
      <c r="E54" s="37"/>
      <c r="F54" s="37"/>
      <c r="G54" s="37"/>
      <c r="H54" s="37"/>
      <c r="I54" s="37"/>
      <c r="J54" s="85" t="s">
        <v>243</v>
      </c>
      <c r="K54" s="86">
        <f>MEDIAN(H51:K51)</f>
        <v>0.50705178026733932</v>
      </c>
    </row>
    <row r="56" spans="2:11" x14ac:dyDescent="0.3">
      <c r="B56" s="66" t="s">
        <v>245</v>
      </c>
      <c r="C56" s="66"/>
      <c r="D56" s="66"/>
      <c r="E56" s="66"/>
      <c r="F56" s="66"/>
      <c r="G56" s="67">
        <f>'Raw FS'!J$3</f>
        <v>43525</v>
      </c>
      <c r="H56" s="67">
        <f>'Raw FS'!K$3</f>
        <v>43891</v>
      </c>
      <c r="I56" s="67">
        <f>'Raw FS'!L$3</f>
        <v>44256</v>
      </c>
      <c r="J56" s="67">
        <f>'Raw FS'!M$3</f>
        <v>44621</v>
      </c>
      <c r="K56" s="67">
        <f>'Raw FS'!N$3</f>
        <v>44986</v>
      </c>
    </row>
    <row r="58" spans="2:11" x14ac:dyDescent="0.3">
      <c r="B58" s="87" t="s">
        <v>239</v>
      </c>
      <c r="C58" s="87"/>
      <c r="D58" s="87"/>
      <c r="E58" s="87"/>
      <c r="F58" s="87"/>
      <c r="G58" s="87"/>
      <c r="H58" s="88">
        <f>H51</f>
        <v>-0.89925158318940701</v>
      </c>
      <c r="I58" s="88">
        <f t="shared" ref="I58:K58" si="9">I51</f>
        <v>1.1516054501090454</v>
      </c>
      <c r="J58" s="88">
        <f t="shared" si="9"/>
        <v>0.57997490176716249</v>
      </c>
      <c r="K58" s="88">
        <f t="shared" si="9"/>
        <v>0.43412865876751611</v>
      </c>
    </row>
    <row r="59" spans="2:11" x14ac:dyDescent="0.3">
      <c r="B59" s="89" t="s">
        <v>230</v>
      </c>
      <c r="C59" s="89"/>
      <c r="D59" s="89"/>
      <c r="E59" s="89"/>
      <c r="F59" s="89"/>
      <c r="G59" s="89"/>
      <c r="H59" s="90">
        <f>H37</f>
        <v>0.41616004312539306</v>
      </c>
      <c r="I59" s="90">
        <f t="shared" ref="I59:K59" si="10">I37</f>
        <v>0.3459194191726796</v>
      </c>
      <c r="J59" s="90">
        <f t="shared" si="10"/>
        <v>0.33720422051570209</v>
      </c>
      <c r="K59" s="90">
        <f t="shared" si="10"/>
        <v>0.3543044453390074</v>
      </c>
    </row>
    <row r="61" spans="2:11" ht="15" thickBot="1" x14ac:dyDescent="0.35">
      <c r="B61" s="70" t="s">
        <v>244</v>
      </c>
      <c r="C61" s="70"/>
      <c r="D61" s="70"/>
      <c r="E61" s="70"/>
      <c r="F61" s="70"/>
      <c r="G61" s="70"/>
      <c r="H61" s="91">
        <f>H58*H59</f>
        <v>-0.37423257764068163</v>
      </c>
      <c r="I61" s="91">
        <f t="shared" ref="I61:K61" si="11">I58*I59</f>
        <v>0.39836268841781325</v>
      </c>
      <c r="J61" s="91">
        <f t="shared" si="11"/>
        <v>0.19556998466906692</v>
      </c>
      <c r="K61" s="91">
        <f t="shared" si="11"/>
        <v>0.15381371365039201</v>
      </c>
    </row>
    <row r="62" spans="2:11" ht="15" thickTop="1" x14ac:dyDescent="0.3"/>
    <row r="63" spans="2:11" x14ac:dyDescent="0.3">
      <c r="J63" s="83" t="s">
        <v>242</v>
      </c>
      <c r="K63" s="84">
        <f>AVERAGE(H61:K61)</f>
        <v>9.3378452274147636E-2</v>
      </c>
    </row>
    <row r="64" spans="2:11" x14ac:dyDescent="0.3">
      <c r="J64" s="85" t="s">
        <v>243</v>
      </c>
      <c r="K64" s="86">
        <f>MEDIAN(H61:K61)</f>
        <v>0.17469184915972946</v>
      </c>
    </row>
  </sheetData>
  <pageMargins left="0.7" right="0.7" top="0.75" bottom="0.75" header="0.3" footer="0.3"/>
  <pageSetup orientation="portrait" r:id="rId1"/>
  <ignoredErrors>
    <ignoredError sqref="F42 H42:K42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showGridLines="0" topLeftCell="A22" workbookViewId="0">
      <selection activeCell="I31" sqref="I31"/>
    </sheetView>
  </sheetViews>
  <sheetFormatPr defaultRowHeight="14.4" x14ac:dyDescent="0.3"/>
  <cols>
    <col min="1" max="1" width="1.88671875" customWidth="1"/>
  </cols>
  <sheetData>
    <row r="3" spans="2:11" x14ac:dyDescent="0.3">
      <c r="F3">
        <v>0</v>
      </c>
      <c r="G3">
        <v>0.5</v>
      </c>
      <c r="H3">
        <v>1.5</v>
      </c>
      <c r="I3">
        <v>2.5</v>
      </c>
      <c r="J3">
        <v>3.5</v>
      </c>
      <c r="K3">
        <v>4.5</v>
      </c>
    </row>
    <row r="4" spans="2:11" x14ac:dyDescent="0.3">
      <c r="B4" s="225" t="s">
        <v>385</v>
      </c>
      <c r="C4" s="226"/>
      <c r="D4" s="226"/>
      <c r="E4" s="226"/>
      <c r="F4" s="228">
        <f>'Raw FS'!N3</f>
        <v>44986</v>
      </c>
      <c r="G4" s="229">
        <f>F4+366</f>
        <v>45352</v>
      </c>
      <c r="H4" s="229">
        <f t="shared" ref="H4:K4" si="0">G4+366</f>
        <v>45718</v>
      </c>
      <c r="I4" s="229">
        <f t="shared" si="0"/>
        <v>46084</v>
      </c>
      <c r="J4" s="229">
        <f t="shared" si="0"/>
        <v>46450</v>
      </c>
      <c r="K4" s="229">
        <f t="shared" si="0"/>
        <v>46816</v>
      </c>
    </row>
    <row r="6" spans="2:11" x14ac:dyDescent="0.3">
      <c r="B6" t="s">
        <v>229</v>
      </c>
      <c r="F6" s="156">
        <f>'Data Sheet'!K33-'Data Sheet'!K26</f>
        <v>19847</v>
      </c>
      <c r="G6">
        <f>F6*(1+$F$20)</f>
        <v>23314.109130273147</v>
      </c>
      <c r="H6">
        <f>G6*(1+$F$20)</f>
        <v>27386.893965752293</v>
      </c>
      <c r="I6">
        <f>H6*(1+$F$20)</f>
        <v>32171.161115370996</v>
      </c>
      <c r="J6">
        <f>I6*(1+$F$20)</f>
        <v>37791.200740230735</v>
      </c>
      <c r="K6">
        <f>J6*(1+$F$20)</f>
        <v>44393.015479508176</v>
      </c>
    </row>
    <row r="7" spans="2:11" x14ac:dyDescent="0.3">
      <c r="F7" s="231"/>
    </row>
    <row r="8" spans="2:11" x14ac:dyDescent="0.3">
      <c r="B8" t="s">
        <v>329</v>
      </c>
      <c r="F8" s="232">
        <v>0.25</v>
      </c>
      <c r="G8" s="227">
        <v>0.25</v>
      </c>
      <c r="H8" s="227">
        <v>0.25</v>
      </c>
      <c r="I8" s="227">
        <v>0.25</v>
      </c>
      <c r="J8" s="227">
        <v>0.25</v>
      </c>
      <c r="K8" s="227">
        <v>0.25</v>
      </c>
    </row>
    <row r="9" spans="2:11" x14ac:dyDescent="0.3">
      <c r="F9" s="231"/>
    </row>
    <row r="10" spans="2:11" x14ac:dyDescent="0.3">
      <c r="B10" t="s">
        <v>386</v>
      </c>
      <c r="F10" s="231">
        <f>F6*(1-F8)</f>
        <v>14885.25</v>
      </c>
      <c r="G10">
        <f t="shared" ref="G10:K10" si="1">G6*(1-G8)</f>
        <v>17485.58184770486</v>
      </c>
      <c r="H10">
        <f t="shared" si="1"/>
        <v>20540.170474314218</v>
      </c>
      <c r="I10">
        <f t="shared" si="1"/>
        <v>24128.370836528247</v>
      </c>
      <c r="J10">
        <f t="shared" si="1"/>
        <v>28343.400555173052</v>
      </c>
      <c r="K10">
        <f t="shared" si="1"/>
        <v>33294.761609631132</v>
      </c>
    </row>
    <row r="11" spans="2:11" x14ac:dyDescent="0.3">
      <c r="F11" s="231"/>
    </row>
    <row r="12" spans="2:11" x14ac:dyDescent="0.3">
      <c r="B12" t="s">
        <v>387</v>
      </c>
      <c r="F12" s="176">
        <f>'Intrinsic Growth'!$K$54</f>
        <v>0.50705178026733932</v>
      </c>
      <c r="G12" s="51">
        <f>F12+(($K$12-$F$12)/4)</f>
        <v>0.50428883520050449</v>
      </c>
      <c r="H12" s="51">
        <f>G12+(($K$12-$F$12)/4)</f>
        <v>0.50152589013366966</v>
      </c>
      <c r="I12" s="51">
        <f>H12+(($K$12-$F$12)/4)</f>
        <v>0.49876294506683483</v>
      </c>
      <c r="J12" s="51">
        <f>I12+(($K$12-$F$12)/4)</f>
        <v>0.496</v>
      </c>
      <c r="K12" s="51">
        <v>0.496</v>
      </c>
    </row>
    <row r="13" spans="2:11" x14ac:dyDescent="0.3">
      <c r="F13" s="231"/>
    </row>
    <row r="14" spans="2:11" ht="15" thickBot="1" x14ac:dyDescent="0.35">
      <c r="B14" s="234" t="s">
        <v>388</v>
      </c>
      <c r="C14" s="234"/>
      <c r="D14" s="234"/>
      <c r="E14" s="234"/>
      <c r="F14" s="235">
        <f t="shared" ref="F14:K14" si="2">F10*(1-F12)</f>
        <v>7337.6574877755875</v>
      </c>
      <c r="G14" s="234">
        <f t="shared" si="2"/>
        <v>8667.79814492269</v>
      </c>
      <c r="H14" s="234">
        <f t="shared" si="2"/>
        <v>10238.74319368646</v>
      </c>
      <c r="I14" s="234">
        <f t="shared" si="2"/>
        <v>12094.03353843669</v>
      </c>
      <c r="J14" s="234">
        <f t="shared" si="2"/>
        <v>14285.073879807218</v>
      </c>
      <c r="K14" s="234">
        <f t="shared" si="2"/>
        <v>16780.559851254089</v>
      </c>
    </row>
    <row r="15" spans="2:11" x14ac:dyDescent="0.3">
      <c r="F15" s="231"/>
    </row>
    <row r="16" spans="2:11" x14ac:dyDescent="0.3">
      <c r="B16" t="s">
        <v>389</v>
      </c>
      <c r="F16" s="231"/>
      <c r="G16" s="233">
        <f>1/(1+$F$22)^G3</f>
        <v>0.92232681530849514</v>
      </c>
      <c r="H16" s="233">
        <f t="shared" ref="H16:K16" si="3">1/(1+$F$22)^H3</f>
        <v>0.78461120486063518</v>
      </c>
      <c r="I16" s="233">
        <f t="shared" si="3"/>
        <v>0.66745835920096275</v>
      </c>
      <c r="J16" s="233">
        <f t="shared" si="3"/>
        <v>0.56779798517709479</v>
      </c>
      <c r="K16" s="233">
        <f t="shared" si="3"/>
        <v>0.48301822507267406</v>
      </c>
    </row>
    <row r="17" spans="2:12" x14ac:dyDescent="0.3">
      <c r="F17" s="231"/>
    </row>
    <row r="18" spans="2:12" ht="15" thickBot="1" x14ac:dyDescent="0.35">
      <c r="B18" s="234" t="s">
        <v>390</v>
      </c>
      <c r="C18" s="234"/>
      <c r="D18" s="234"/>
      <c r="E18" s="234"/>
      <c r="F18" s="236"/>
      <c r="G18" s="236">
        <f t="shared" ref="G18:K18" si="4">G14*G16</f>
        <v>7994.5426587434267</v>
      </c>
      <c r="H18" s="236">
        <f t="shared" si="4"/>
        <v>8033.4326334569605</v>
      </c>
      <c r="I18" s="236">
        <f t="shared" si="4"/>
        <v>8072.2637816863671</v>
      </c>
      <c r="J18" s="236">
        <f t="shared" si="4"/>
        <v>8111.0361670604825</v>
      </c>
      <c r="K18" s="236">
        <f t="shared" si="4"/>
        <v>8105.3162350785251</v>
      </c>
    </row>
    <row r="20" spans="2:12" x14ac:dyDescent="0.3">
      <c r="B20" s="116" t="s">
        <v>391</v>
      </c>
      <c r="C20" s="116"/>
      <c r="D20" s="230"/>
      <c r="E20" s="230"/>
      <c r="F20" s="230">
        <f>'Intrinsic Growth'!K64</f>
        <v>0.17469184915972946</v>
      </c>
    </row>
    <row r="21" spans="2:12" x14ac:dyDescent="0.3">
      <c r="B21" s="116" t="s">
        <v>392</v>
      </c>
      <c r="C21" s="116"/>
      <c r="D21" s="230"/>
      <c r="E21" s="230"/>
      <c r="F21" s="230">
        <v>6.5000000000000002E-2</v>
      </c>
    </row>
    <row r="22" spans="2:12" x14ac:dyDescent="0.3">
      <c r="B22" t="s">
        <v>348</v>
      </c>
      <c r="F22" s="51">
        <f>WACC!J47</f>
        <v>0.17552083069259947</v>
      </c>
    </row>
    <row r="25" spans="2:12" x14ac:dyDescent="0.3">
      <c r="B25" s="225" t="s">
        <v>393</v>
      </c>
      <c r="C25" s="226"/>
      <c r="D25" s="226"/>
      <c r="E25" s="226"/>
      <c r="F25" s="226"/>
      <c r="H25" s="62" t="s">
        <v>406</v>
      </c>
      <c r="I25" s="62"/>
      <c r="J25" s="62"/>
      <c r="K25" s="62"/>
      <c r="L25" s="62"/>
    </row>
    <row r="26" spans="2:12" x14ac:dyDescent="0.3">
      <c r="H26" s="237">
        <f>F44</f>
        <v>513.06683842349457</v>
      </c>
      <c r="I26" s="238">
        <v>0.1555</v>
      </c>
      <c r="J26" s="238">
        <v>0.17549999999999999</v>
      </c>
      <c r="K26" s="238">
        <v>0.19550000000000001</v>
      </c>
      <c r="L26" s="238">
        <v>0.2155</v>
      </c>
    </row>
    <row r="27" spans="2:12" x14ac:dyDescent="0.3">
      <c r="B27" t="s">
        <v>394</v>
      </c>
      <c r="F27">
        <f>K14*(1+F20)</f>
        <v>19711.986881605178</v>
      </c>
      <c r="H27" s="239">
        <v>0.04</v>
      </c>
      <c r="I27" s="186">
        <f t="dataTable" ref="I27:L31" dt2D="1" dtr="1" r1="F28" r2="F29"/>
        <v>499.35246317436048</v>
      </c>
      <c r="J27" s="186">
        <v>454.42064679779634</v>
      </c>
      <c r="K27" s="186">
        <v>421.04685392645763</v>
      </c>
      <c r="L27" s="186">
        <v>395.27962353291696</v>
      </c>
    </row>
    <row r="28" spans="2:12" x14ac:dyDescent="0.3">
      <c r="B28" t="s">
        <v>348</v>
      </c>
      <c r="F28" s="51">
        <f>WACC!J47</f>
        <v>0.17552083069259947</v>
      </c>
      <c r="H28" s="239">
        <v>0.05</v>
      </c>
      <c r="I28" s="186">
        <v>528.20678127400254</v>
      </c>
      <c r="J28" s="186">
        <v>475.0964427798408</v>
      </c>
      <c r="K28" s="186">
        <v>436.58688462771664</v>
      </c>
      <c r="L28" s="186">
        <v>407.38477255465585</v>
      </c>
    </row>
    <row r="29" spans="2:12" x14ac:dyDescent="0.3">
      <c r="B29" t="s">
        <v>395</v>
      </c>
      <c r="F29" s="51">
        <f>F21</f>
        <v>6.5000000000000002E-2</v>
      </c>
      <c r="H29" s="239">
        <v>6.5000000000000002E-2</v>
      </c>
      <c r="I29" s="186">
        <v>583.44446758077561</v>
      </c>
      <c r="J29" s="240">
        <v>513.12680959749275</v>
      </c>
      <c r="K29" s="186">
        <v>464.36245674318548</v>
      </c>
      <c r="L29" s="186">
        <v>428.5587292322158</v>
      </c>
    </row>
    <row r="30" spans="2:12" x14ac:dyDescent="0.3">
      <c r="H30" s="239">
        <v>7.0000000000000007E-2</v>
      </c>
      <c r="I30" s="186">
        <v>606.16406175373686</v>
      </c>
      <c r="J30" s="186">
        <v>528.20678127400254</v>
      </c>
      <c r="K30" s="186">
        <v>475.0964427798408</v>
      </c>
      <c r="L30" s="186">
        <v>436.58688462771676</v>
      </c>
    </row>
    <row r="31" spans="2:12" x14ac:dyDescent="0.3">
      <c r="B31" t="s">
        <v>396</v>
      </c>
      <c r="F31">
        <f>F27/(F28-F29)</f>
        <v>178355.39923176766</v>
      </c>
      <c r="H31" s="239">
        <v>0.08</v>
      </c>
      <c r="I31" s="186">
        <v>660.63090341341888</v>
      </c>
      <c r="J31" s="186">
        <v>563.10388850445952</v>
      </c>
      <c r="K31" s="186">
        <v>499.35246317436048</v>
      </c>
      <c r="L31" s="186">
        <v>454.42064679779634</v>
      </c>
    </row>
    <row r="34" spans="2:6" x14ac:dyDescent="0.3">
      <c r="B34" s="225" t="s">
        <v>397</v>
      </c>
      <c r="C34" s="226"/>
      <c r="D34" s="226"/>
      <c r="E34" s="226"/>
      <c r="F34" s="226"/>
    </row>
    <row r="36" spans="2:6" x14ac:dyDescent="0.3">
      <c r="B36" t="s">
        <v>398</v>
      </c>
      <c r="F36">
        <f>SUM(G18:K18)</f>
        <v>40316.591476025766</v>
      </c>
    </row>
    <row r="37" spans="2:6" x14ac:dyDescent="0.3">
      <c r="B37" t="s">
        <v>399</v>
      </c>
      <c r="F37">
        <f>F31*K16</f>
        <v>86148.908369056589</v>
      </c>
    </row>
    <row r="38" spans="2:6" x14ac:dyDescent="0.3">
      <c r="B38" s="133" t="s">
        <v>400</v>
      </c>
      <c r="F38">
        <f>SUM(F36:F37)</f>
        <v>126465.49984508235</v>
      </c>
    </row>
    <row r="40" spans="2:6" x14ac:dyDescent="0.3">
      <c r="B40" t="s">
        <v>401</v>
      </c>
      <c r="F40">
        <f>'Raw FS'!N41</f>
        <v>14724</v>
      </c>
    </row>
    <row r="41" spans="2:6" x14ac:dyDescent="0.3">
      <c r="B41" t="s">
        <v>402</v>
      </c>
      <c r="F41">
        <f>SUM('Raw FS'!N10:N11)</f>
        <v>2251</v>
      </c>
    </row>
    <row r="42" spans="2:6" x14ac:dyDescent="0.3">
      <c r="B42" s="133" t="s">
        <v>403</v>
      </c>
      <c r="F42">
        <f>F38+F40-F41</f>
        <v>138938.49984508235</v>
      </c>
    </row>
    <row r="43" spans="2:6" x14ac:dyDescent="0.3">
      <c r="B43" t="s">
        <v>404</v>
      </c>
      <c r="F43">
        <f>'Data Sheet'!D6</f>
        <v>270.8</v>
      </c>
    </row>
    <row r="44" spans="2:6" x14ac:dyDescent="0.3">
      <c r="B44" t="s">
        <v>405</v>
      </c>
      <c r="F44">
        <f>F42/F43</f>
        <v>513.06683842349457</v>
      </c>
    </row>
  </sheetData>
  <pageMargins left="0.7" right="0.7" top="0.75" bottom="0.75" header="0.3" footer="0.3"/>
  <pageSetup orientation="portrait" r:id="rId1"/>
  <ignoredErrors>
    <ignoredError sqref="F41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Q10"/>
  <sheetViews>
    <sheetView showGridLines="0" zoomScale="90" zoomScaleNormal="90" workbookViewId="0">
      <selection activeCell="M14" sqref="M14"/>
    </sheetView>
  </sheetViews>
  <sheetFormatPr defaultRowHeight="14.4" x14ac:dyDescent="0.3"/>
  <cols>
    <col min="1" max="1" width="1.88671875" customWidth="1"/>
  </cols>
  <sheetData>
    <row r="3" spans="12:17" x14ac:dyDescent="0.3">
      <c r="L3" s="62" t="s">
        <v>407</v>
      </c>
      <c r="M3" s="125"/>
      <c r="N3" s="125"/>
      <c r="O3" s="125"/>
      <c r="P3" s="125"/>
      <c r="Q3" s="125"/>
    </row>
    <row r="5" spans="12:17" x14ac:dyDescent="0.3">
      <c r="N5" t="s">
        <v>413</v>
      </c>
      <c r="O5" s="195" t="s">
        <v>378</v>
      </c>
      <c r="P5" t="s">
        <v>414</v>
      </c>
      <c r="Q5" s="195" t="s">
        <v>375</v>
      </c>
    </row>
    <row r="6" spans="12:17" x14ac:dyDescent="0.3">
      <c r="L6" t="s">
        <v>408</v>
      </c>
      <c r="N6">
        <v>352</v>
      </c>
      <c r="O6">
        <v>352</v>
      </c>
      <c r="P6">
        <v>406</v>
      </c>
      <c r="Q6">
        <v>406</v>
      </c>
    </row>
    <row r="7" spans="12:17" x14ac:dyDescent="0.3">
      <c r="L7" t="s">
        <v>409</v>
      </c>
      <c r="N7" s="241">
        <v>395.27962353291696</v>
      </c>
      <c r="O7" s="241">
        <v>395.27962353291696</v>
      </c>
      <c r="P7" s="241">
        <v>454.42064679779634</v>
      </c>
      <c r="Q7" s="241">
        <v>454.42064679779634</v>
      </c>
    </row>
    <row r="8" spans="12:17" x14ac:dyDescent="0.3">
      <c r="L8" t="s">
        <v>410</v>
      </c>
      <c r="N8" s="241">
        <v>454.42064679779634</v>
      </c>
      <c r="O8" s="241">
        <v>454.42064679779634</v>
      </c>
      <c r="P8" s="241">
        <v>563.10388850445952</v>
      </c>
      <c r="Q8" s="241">
        <v>563.10388850445952</v>
      </c>
    </row>
    <row r="9" spans="12:17" x14ac:dyDescent="0.3">
      <c r="L9" t="s">
        <v>411</v>
      </c>
      <c r="N9" s="186">
        <v>499.35246317436048</v>
      </c>
      <c r="O9" s="186">
        <v>499.35246317436048</v>
      </c>
      <c r="P9" s="186">
        <v>660.63090341341888</v>
      </c>
      <c r="Q9" s="186">
        <v>660.63090341341888</v>
      </c>
    </row>
    <row r="10" spans="12:17" x14ac:dyDescent="0.3">
      <c r="L10" t="s">
        <v>412</v>
      </c>
      <c r="N10">
        <v>882</v>
      </c>
      <c r="O10">
        <v>882</v>
      </c>
      <c r="P10">
        <v>1311.3</v>
      </c>
      <c r="Q10">
        <v>1311.3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Profit &amp; Loss</vt:lpstr>
      <vt:lpstr>Quarters</vt:lpstr>
      <vt:lpstr>Balance Sheet</vt:lpstr>
      <vt:lpstr>Cash Flow</vt:lpstr>
      <vt:lpstr>Customization</vt:lpstr>
      <vt:lpstr>Financials&gt;</vt:lpstr>
      <vt:lpstr>Historical FS</vt:lpstr>
      <vt:lpstr>Ratio analysis</vt:lpstr>
      <vt:lpstr>Forecasting</vt:lpstr>
      <vt:lpstr>Common size Statement</vt:lpstr>
      <vt:lpstr>Beta Regression</vt:lpstr>
      <vt:lpstr>WACC</vt:lpstr>
      <vt:lpstr>Data&gt;</vt:lpstr>
      <vt:lpstr>Rm</vt:lpstr>
      <vt:lpstr>Wacc data</vt:lpstr>
      <vt:lpstr>Data Sheet</vt:lpstr>
      <vt:lpstr>Cashflow data</vt:lpstr>
      <vt:lpstr>Raw FS</vt:lpstr>
      <vt:lpstr>RP data</vt:lpstr>
      <vt:lpstr>Relative pricing</vt:lpstr>
      <vt:lpstr>Intrinsic Growth</vt:lpstr>
      <vt:lpstr>DCF</vt:lpstr>
      <vt:lpstr>Football Analysis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LENOVO</cp:lastModifiedBy>
  <cp:lastPrinted>2023-09-23T11:15:52Z</cp:lastPrinted>
  <dcterms:created xsi:type="dcterms:W3CDTF">2012-08-17T09:55:37Z</dcterms:created>
  <dcterms:modified xsi:type="dcterms:W3CDTF">2023-09-23T13:18:34Z</dcterms:modified>
</cp:coreProperties>
</file>