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B82B177F-97B4-C545-8192-B3DBFC815E9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</sheets>
  <definedNames>
    <definedName name="_xlchart.v1.0" hidden="1">Sheet5!$B$2:$B$566</definedName>
    <definedName name="_xlchart.v1.1" hidden="1">Sheet5!$E$2:$E$365</definedName>
    <definedName name="all_goals">Crowdfunding!$D$2:$D$1001</definedName>
    <definedName name="all_outcomes">Crowdfunding!$G$2:$G$1001</definedName>
    <definedName name="backers_failed">Sheet5!$E$2:$E$365</definedName>
    <definedName name="backers_successful">Sheet5!$B$2:$B$566</definedName>
    <definedName name="outcomes_and_backers">Crowdfunding!$G$2:$H$1001</definedName>
    <definedName name="percent_funded">Crowdfunding!$F$2:$F$1001</definedName>
  </definedNames>
  <calcPr calcId="191029"/>
  <pivotCaches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7" l="1"/>
  <c r="H15" i="7"/>
  <c r="K14" i="7"/>
  <c r="H14" i="7"/>
  <c r="K7" i="7"/>
  <c r="K6" i="7"/>
  <c r="K5" i="7"/>
  <c r="K4" i="7"/>
  <c r="K3" i="7"/>
  <c r="K2" i="7"/>
  <c r="K9" i="7"/>
  <c r="K10" i="7"/>
  <c r="H10" i="7"/>
  <c r="H9" i="7"/>
  <c r="H7" i="7"/>
  <c r="H6" i="7"/>
  <c r="H5" i="7"/>
  <c r="H4" i="7"/>
  <c r="H3" i="7"/>
  <c r="H2" i="7"/>
  <c r="A2" i="7" a="1"/>
  <c r="A2" i="7" s="1"/>
  <c r="D2" i="7" a="1"/>
  <c r="D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11" i="7" l="1"/>
  <c r="K12" i="7" s="1"/>
  <c r="H11" i="7"/>
  <c r="H13" i="7" s="1"/>
  <c r="E7" i="6"/>
  <c r="H7" i="6" s="1"/>
  <c r="E13" i="6"/>
  <c r="E8" i="6"/>
  <c r="F8" i="6" s="1"/>
  <c r="E5" i="6"/>
  <c r="H5" i="6" s="1"/>
  <c r="E3" i="6"/>
  <c r="E2" i="6"/>
  <c r="G2" i="6" s="1"/>
  <c r="G13" i="6"/>
  <c r="H13" i="6"/>
  <c r="E11" i="6"/>
  <c r="F11" i="6" s="1"/>
  <c r="E6" i="6"/>
  <c r="H6" i="6" s="1"/>
  <c r="F3" i="6"/>
  <c r="G3" i="6"/>
  <c r="H3" i="6"/>
  <c r="E12" i="6"/>
  <c r="G12" i="6" s="1"/>
  <c r="E4" i="6"/>
  <c r="H4" i="6" s="1"/>
  <c r="E10" i="6"/>
  <c r="H10" i="6" s="1"/>
  <c r="F2" i="6"/>
  <c r="E9" i="6"/>
  <c r="H9" i="6" s="1"/>
  <c r="F13" i="6"/>
  <c r="K13" i="7" l="1"/>
  <c r="H12" i="7"/>
  <c r="G8" i="6"/>
  <c r="H8" i="6"/>
  <c r="G7" i="6"/>
  <c r="F7" i="6"/>
  <c r="H2" i="6"/>
  <c r="F10" i="6"/>
  <c r="G10" i="6"/>
  <c r="F5" i="6"/>
  <c r="G5" i="6"/>
  <c r="F12" i="6"/>
  <c r="G11" i="6"/>
  <c r="H11" i="6"/>
  <c r="F9" i="6"/>
  <c r="G6" i="6"/>
  <c r="F6" i="6"/>
  <c r="F4" i="6"/>
  <c r="G9" i="6"/>
  <c r="G4" i="6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<sst xmlns="http://schemas.openxmlformats.org/spreadsheetml/2006/main" count="6154" uniqueCount="2122">
  <si>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</si>
  <si>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</si>
  <si>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</si>
  <si>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</si>
  <si>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</si>
  <si>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</si>
  <si>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</si>
  <si>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</si>
  <si>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</si>
  <si>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</si>
  <si>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</si>
  <si>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</si>
  <si>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</si>
  <si>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</si>
  <si>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</si>
  <si>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</si>
  <si>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</si>
  <si>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</si>
  <si>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</si>
  <si>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</si>
  <si>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</si>
  <si>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</si>
  <si>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</si>
  <si>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</si>
  <si>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</si>
  <si>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</si>
  <si>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</si>
  <si>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</si>
  <si>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</si>
  <si>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</si>
  <si>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</si>
  <si>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</si>
  <si>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</si>
  <si>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</si>
  <si>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</si>
  <si>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</si>
  <si>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</si>
  <si>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</si>
  <si>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</si>
  <si>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</si>
  <si>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</si>
  <si>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</si>
  <si>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</si>
  <si>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</si>
  <si>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</si>
  <si>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</si>
  <si>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</si>
  <si>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</si>
  <si>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</si>
  <si>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</si>
  <si>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</si>
  <si>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</si>
  <si>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</si>
  <si>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</si>
  <si>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</si>
  <si>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</si>
  <si>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</si>
  <si>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</si>
  <si>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</si>
  <si>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</si>
  <si>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</si>
  <si>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</si>
  <si>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</si>
  <si>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</si>
  <si>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</si>
  <si>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</si>
  <si>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</si>
  <si>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</si>
  <si>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</si>
  <si>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</si>
  <si>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</si>
  <si>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</si>
  <si>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</si>
  <si>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</si>
  <si>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</si>
  <si>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</si>
  <si>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</si>
  <si>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</si>
  <si>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</si>
  <si>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</si>
  <si>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</si>
  <si>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</si>
  <si>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</si>
  <si>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</si>
  <si>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</si>
  <si>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</si>
  <si>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</si>
  <si>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</si>
  <si>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</si>
  <si>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</si>
  <si>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</si>
  <si>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</si>
  <si>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</si>
  <si>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</si>
  <si>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</si>
  <si>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</si>
  <si>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</si>
  <si>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</si>
  <si>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</si>
  <si>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</si>
  <si>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</si>
  <si>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</si>
  <si>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</si>
  <si>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</si>
  <si>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</si>
  <si>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</si>
  <si>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</si>
  <si>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</si>
  <si>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</si>
  <si>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</si>
  <si>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</si>
  <si>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</si>
  <si>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</si>
  <si>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</si>
  <si>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</si>
  <si>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</si>
  <si>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</si>
  <si>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</si>
  <si>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</si>
  <si>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</si>
  <si>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</si>
  <si>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</si>
  <si>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</si>
  <si>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</si>
  <si>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</si>
  <si>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</si>
  <si>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</si>
  <si>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</si>
  <si>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</si>
  <si>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</si>
  <si>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</si>
  <si>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</si>
  <si>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</si>
  <si>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</si>
  <si>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</si>
  <si>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</si>
  <si>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</si>
  <si>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</si>
  <si>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</si>
  <si>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</si>
  <si>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</si>
  <si>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</si>
  <si>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</si>
  <si>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</si>
  <si>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</si>
  <si>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</si>
  <si>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</si>
  <si>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</si>
  <si>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</si>
  <si>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</si>
  <si>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</si>
  <si>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</si>
  <si>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</si>
  <si>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</si>
  <si>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</si>
  <si>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</si>
  <si>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</si>
  <si>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</si>
  <si>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</si>
  <si>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</si>
  <si>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</si>
  <si>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</si>
  <si>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</si>
  <si>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</si>
  <si>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</si>
  <si>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</si>
  <si>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</si>
  <si>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</si>
  <si>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</si>
  <si>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</si>
  <si>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</si>
  <si>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</si>
  <si>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</si>
  <si>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</si>
  <si>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</si>
  <si>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</si>
  <si>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</si>
  <si>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</si>
  <si>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</si>
  <si>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</si>
  <si>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</si>
  <si>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</si>
  <si>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</si>
  <si>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</si>
  <si>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</si>
  <si>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</si>
  <si>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</si>
  <si>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</si>
  <si>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</si>
  <si>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</si>
  <si>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</si>
  <si>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</si>
  <si>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</si>
  <si>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</si>
  <si>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</si>
  <si>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</si>
  <si>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</si>
  <si>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</si>
  <si>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</si>
  <si>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</si>
  <si>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</si>
  <si>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</si>
  <si>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</si>
  <si>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</si>
  <si>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</si>
  <si>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</si>
  <si>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</si>
  <si>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</si>
  <si>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</si>
  <si>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</si>
  <si>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</si>
  <si>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</si>
  <si>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</si>
  <si>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</si>
  <si>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</si>
  <si>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</si>
  <si>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</si>
  <si>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</si>
  <si>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</si>
  <si>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</si>
  <si>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</si>
  <si>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</si>
  <si>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</si>
  <si>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</si>
  <si>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</si>
  <si>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</si>
  <si>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</si>
  <si>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</si>
  <si>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</si>
  <si>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</si>
  <si>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</si>
  <si>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</si>
  <si>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</si>
  <si>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</si>
  <si>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</si>
  <si>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</si>
  <si>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</si>
  <si>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</si>
  <si>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</si>
  <si>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</si>
  <si>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</si>
  <si>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</si>
  <si>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</si>
  <si>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</si>
  <si>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</si>
  <si>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</si>
  <si>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</si>
  <si>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</si>
  <si>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</si>
  <si>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</si>
  <si>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</si>
  <si>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</si>
  <si>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</si>
  <si>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</si>
  <si>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</si>
  <si>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</si>
  <si>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</si>
  <si>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</si>
  <si>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</si>
  <si>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</si>
  <si>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</si>
  <si>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</si>
  <si>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</si>
  <si>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</si>
  <si>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</si>
  <si>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</si>
  <si>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</si>
  <si>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</si>
  <si>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</si>
  <si>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</si>
  <si>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</si>
  <si>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</si>
  <si>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</si>
  <si>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</si>
  <si>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</si>
  <si>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</si>
  <si>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</si>
  <si>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</si>
  <si>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</si>
  <si>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</si>
  <si>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</si>
  <si>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</si>
  <si>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</si>
  <si>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</si>
  <si>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</si>
  <si>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</si>
  <si>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</si>
  <si>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</si>
  <si>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</si>
  <si>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</si>
  <si>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</si>
  <si>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</si>
  <si>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</si>
  <si>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</si>
  <si>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</si>
  <si>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</si>
  <si>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</si>
  <si>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</si>
  <si>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</si>
  <si>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</si>
  <si>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</si>
  <si>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</si>
  <si>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</si>
  <si>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</si>
  <si>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</si>
  <si>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</si>
  <si>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</si>
  <si>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</si>
  <si>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</si>
  <si>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</si>
  <si>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</si>
  <si>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</si>
  <si>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</si>
  <si>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</si>
  <si>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</si>
  <si>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</si>
  <si>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</si>
  <si>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</si>
  <si>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</si>
  <si>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</si>
  <si>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</si>
  <si>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</si>
  <si>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</si>
  <si>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</si>
  <si>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</si>
  <si>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</si>
  <si>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</si>
  <si>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</si>
  <si>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</si>
  <si>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</si>
  <si>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</si>
  <si>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</si>
  <si>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</si>
  <si>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</si>
  <si>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</si>
  <si>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</si>
  <si>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</si>
  <si>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</si>
  <si>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</si>
  <si>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</si>
  <si>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</si>
  <si>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</si>
  <si>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</si>
  <si>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</si>
  <si>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</si>
  <si>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</si>
  <si>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</si>
  <si>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</si>
  <si>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</si>
  <si>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</si>
  <si>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</si>
  <si>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</si>
  <si>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</si>
  <si>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</si>
  <si>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</si>
  <si>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</si>
  <si>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</si>
  <si>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</si>
  <si>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</si>
  <si>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</si>
  <si>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</si>
  <si>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</si>
  <si>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</si>
  <si>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</si>
  <si>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</si>
  <si>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</si>
  <si>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</si>
  <si>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</si>
  <si>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</si>
  <si>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</si>
  <si>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</si>
  <si>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</si>
  <si>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</si>
  <si>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</si>
  <si>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</si>
  <si>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</si>
  <si>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</si>
  <si>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</si>
  <si>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</si>
  <si>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</si>
  <si>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</si>
  <si>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</si>
  <si>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</si>
  <si>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</si>
  <si>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</si>
  <si>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</si>
  <si>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</si>
  <si>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</si>
  <si>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</si>
  <si>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</si>
  <si>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</si>
  <si>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</si>
  <si>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</si>
  <si>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</si>
  <si>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</si>
  <si>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</si>
  <si>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</si>
  <si>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</si>
  <si>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</si>
  <si>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</si>
  <si>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</si>
  <si>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</si>
  <si>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</si>
  <si>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</si>
  <si>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</si>
  <si>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</si>
  <si>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</si>
  <si>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</si>
  <si>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</si>
  <si>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</si>
  <si>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</si>
  <si>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</si>
  <si>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</si>
  <si>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</si>
  <si>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</si>
  <si>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</si>
  <si>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</si>
  <si>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</si>
  <si>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</si>
  <si>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</si>
  <si>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</si>
  <si>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</si>
  <si>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</si>
  <si>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</si>
  <si>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</si>
  <si>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</si>
  <si>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</si>
  <si>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</si>
  <si>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</si>
  <si>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</si>
  <si>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</si>
  <si>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</si>
  <si>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</si>
  <si>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</si>
  <si>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</si>
  <si>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</si>
  <si>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</si>
  <si>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</si>
  <si>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</si>
  <si>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</si>
  <si>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</si>
  <si>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</si>
  <si>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</si>
  <si>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</si>
  <si>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</si>
  <si>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</si>
  <si>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</si>
  <si>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</si>
  <si>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</si>
  <si>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</si>
  <si>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</si>
  <si>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</si>
  <si>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</si>
  <si>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</si>
  <si>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</si>
  <si>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</si>
  <si>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</si>
  <si>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</si>
  <si>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</si>
  <si>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</si>
  <si>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</si>
  <si>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</si>
  <si>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</si>
  <si>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</si>
  <si>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</si>
  <si>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</si>
  <si>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</si>
  <si>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</si>
  <si>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</si>
  <si>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</si>
  <si>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</si>
  <si>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</si>
  <si>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</si>
  <si>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</si>
  <si>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</si>
  <si>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</si>
  <si>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</si>
  <si>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</si>
  <si>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</si>
  <si>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</si>
  <si>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</si>
  <si>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</si>
  <si>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</si>
  <si>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</si>
  <si>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</si>
  <si>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</si>
  <si>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</si>
  <si>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</si>
  <si>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</si>
  <si>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</si>
  <si>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</si>
  <si>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</si>
  <si>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</si>
  <si>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</si>
  <si>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</si>
  <si>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</si>
  <si>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</si>
  <si>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</si>
  <si>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</si>
  <si>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</si>
  <si>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</si>
  <si>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</si>
  <si>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</si>
  <si>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</si>
  <si>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</si>
  <si>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</si>
  <si>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</si>
  <si>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</si>
  <si>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</si>
  <si>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</si>
  <si>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</si>
  <si>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</si>
  <si>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</si>
  <si>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</si>
  <si>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</si>
  <si>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</si>
  <si>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</si>
  <si>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</si>
  <si>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</si>
  <si>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</si>
  <si>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</si>
  <si>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</si>
  <si>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</si>
  <si>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</si>
  <si>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</si>
  <si>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</si>
  <si>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</si>
  <si>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</si>
  <si>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</si>
  <si>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</si>
  <si>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</si>
  <si>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</si>
  <si>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</si>
  <si>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</si>
  <si>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</si>
  <si>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</si>
  <si>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</si>
  <si>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</si>
  <si>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</si>
  <si>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</si>
  <si>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</si>
  <si>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</si>
  <si>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</si>
  <si>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</si>
  <si>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</si>
  <si>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</si>
  <si>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</si>
  <si>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</si>
  <si>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</si>
  <si>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</si>
  <si>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</si>
  <si>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</si>
  <si>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</si>
  <si>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</si>
  <si>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</si>
  <si>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</si>
  <si>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</si>
  <si>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</si>
  <si>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</si>
  <si>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</si>
  <si>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</si>
  <si>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</si>
  <si>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</si>
  <si>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</si>
  <si>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</si>
  <si>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</si>
  <si>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</si>
  <si>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</si>
  <si>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</si>
  <si>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</si>
  <si>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</si>
  <si>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</si>
  <si>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</si>
  <si>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</si>
  <si>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</si>
  <si>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</si>
  <si>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</si>
  <si>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</si>
  <si>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</si>
  <si>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</si>
  <si>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</si>
  <si>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</si>
  <si>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</si>
  <si>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</si>
  <si>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</si>
  <si>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</si>
  <si>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</si>
  <si>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</si>
  <si>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</si>
  <si>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</si>
  <si>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</si>
  <si>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</si>
  <si>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</si>
  <si>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</si>
  <si>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</si>
  <si>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</si>
  <si>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</si>
  <si>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</si>
  <si>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</si>
  <si>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</si>
  <si>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</si>
  <si>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</si>
  <si>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</si>
  <si>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</si>
  <si>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</si>
  <si>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</si>
  <si>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</si>
  <si>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</si>
  <si>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</si>
  <si>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</si>
  <si>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</si>
  <si>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</si>
  <si>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</si>
  <si>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</si>
  <si>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</si>
  <si>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</si>
  <si>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</si>
  <si>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</si>
  <si>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</si>
  <si>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</si>
  <si>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</si>
  <si>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</si>
  <si>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</si>
  <si>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</si>
  <si>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</si>
  <si>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</si>
  <si>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</si>
  <si>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</si>
  <si>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</si>
  <si>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</si>
  <si>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</si>
  <si>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</si>
  <si>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</si>
  <si>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</si>
  <si>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</si>
  <si>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</si>
  <si>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</si>
  <si>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</si>
  <si>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</si>
  <si>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</si>
  <si>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</si>
  <si>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</si>
  <si>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</si>
  <si>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</si>
  <si>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</si>
  <si>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</si>
  <si>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</si>
  <si>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</si>
  <si>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</si>
  <si>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</si>
  <si>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</si>
  <si>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</si>
  <si>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</si>
  <si>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</si>
  <si>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</si>
  <si>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</si>
  <si>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</si>
  <si>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</si>
  <si>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</si>
  <si>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</si>
  <si>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</si>
  <si>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</si>
  <si>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</si>
  <si>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</si>
  <si>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</si>
  <si>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</si>
  <si>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</si>
  <si>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</si>
  <si>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</si>
  <si>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</si>
  <si>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</si>
  <si>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</si>
  <si>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</si>
  <si>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</si>
  <si>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</si>
  <si>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</si>
  <si>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</si>
  <si>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</si>
  <si>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</si>
  <si>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</si>
  <si>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</si>
  <si>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</si>
  <si>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</si>
  <si>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</si>
  <si>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</si>
  <si>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</si>
  <si>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</si>
  <si>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</si>
  <si>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</si>
  <si>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</si>
  <si>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</si>
  <si>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</si>
  <si>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</si>
  <si>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</si>
  <si>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</si>
  <si>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</si>
  <si>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</si>
  <si>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</si>
  <si>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</si>
  <si>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</si>
  <si>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</si>
  <si>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</si>
  <si>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</si>
  <si>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</si>
  <si>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</si>
  <si>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</si>
  <si>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</si>
  <si>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</si>
  <si>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</si>
  <si>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</si>
  <si>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</si>
  <si>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</si>
  <si>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</si>
  <si>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</si>
  <si>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</si>
  <si>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</si>
  <si>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</si>
  <si>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</si>
  <si>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</si>
  <si>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</si>
  <si>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</si>
  <si>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</si>
  <si>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</si>
  <si>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</si>
  <si>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</si>
  <si>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</si>
  <si>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</si>
  <si>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</si>
  <si>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</si>
  <si>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</si>
  <si>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</si>
  <si>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</si>
  <si>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</si>
  <si>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</si>
  <si>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</si>
  <si>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</si>
  <si>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</si>
  <si>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</si>
  <si>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</si>
  <si>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</si>
  <si>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</si>
  <si>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</si>
  <si>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</si>
  <si>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</si>
  <si>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</si>
  <si>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</si>
  <si>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</si>
  <si>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</si>
  <si>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</si>
  <si>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</si>
  <si>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</si>
  <si>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</si>
  <si>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</si>
  <si>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</si>
  <si>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</si>
  <si>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</si>
  <si>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</si>
  <si>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</si>
  <si>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</si>
  <si>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</si>
  <si>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</si>
  <si>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</si>
  <si>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</si>
  <si>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</si>
  <si>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</si>
  <si>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</si>
  <si>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</si>
  <si>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</si>
  <si>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</si>
  <si>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</si>
  <si>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</si>
  <si>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</si>
  <si>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</si>
  <si>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</si>
  <si>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</si>
  <si>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</si>
  <si>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</si>
  <si>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</si>
  <si>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</si>
  <si>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</si>
  <si>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</si>
  <si>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</si>
  <si>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</si>
  <si>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</si>
  <si>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</si>
  <si>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</si>
  <si>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</si>
  <si>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</si>
  <si>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</si>
  <si>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</si>
  <si>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</si>
  <si>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</si>
  <si>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</si>
  <si>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</si>
  <si>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</si>
  <si>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</si>
  <si>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</si>
  <si>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</si>
  <si>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</si>
  <si>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</si>
  <si>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</si>
  <si>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</si>
  <si>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</si>
  <si>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</si>
  <si>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</si>
  <si>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</si>
  <si>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</si>
  <si>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</si>
  <si>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</si>
  <si>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</si>
  <si>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</si>
  <si>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</si>
  <si>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</si>
  <si>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</si>
  <si>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</si>
  <si>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</si>
  <si>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</si>
  <si>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</si>
  <si>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</si>
  <si>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</si>
  <si>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</si>
  <si>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</si>
  <si>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</si>
  <si>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</si>
  <si>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</si>
  <si>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</si>
  <si>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</si>
  <si>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</si>
  <si>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</si>
  <si>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</si>
  <si>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</si>
  <si>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</si>
  <si>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</si>
  <si>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</si>
  <si>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</si>
  <si>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</si>
  <si>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</si>
  <si>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</si>
  <si>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</si>
  <si>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</si>
  <si>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</si>
  <si>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</si>
  <si>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</si>
  <si>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</si>
  <si>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</si>
  <si>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</si>
  <si>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</si>
  <si>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</si>
  <si>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</si>
  <si>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</si>
  <si>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</si>
  <si>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</si>
  <si>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</si>
  <si>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</si>
  <si>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</si>
  <si>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</si>
  <si>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</si>
  <si>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</si>
  <si>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</si>
  <si>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</si>
  <si>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</si>
  <si>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</si>
  <si>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</si>
  <si>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</si>
  <si>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</si>
  <si>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</si>
  <si>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</si>
  <si>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</si>
  <si>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</si>
  <si>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</si>
  <si>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</si>
  <si>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</si>
  <si>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</si>
  <si>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</si>
  <si>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</si>
  <si>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</si>
  <si>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</si>
  <si>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</si>
  <si>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</si>
  <si>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</si>
  <si>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</si>
  <si>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</si>
  <si>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</si>
  <si>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</si>
  <si>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</si>
  <si>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</si>
  <si>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</si>
  <si>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</si>
  <si>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</si>
  <si>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</si>
  <si>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</si>
  <si>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</si>
  <si>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</si>
  <si>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</si>
  <si>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</si>
  <si>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</si>
  <si>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</si>
  <si>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</si>
  <si>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</si>
  <si>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</si>
  <si>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</si>
  <si>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</si>
  <si>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</si>
  <si>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</si>
  <si>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</si>
  <si>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</si>
  <si>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</si>
  <si>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</si>
  <si>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</si>
  <si>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</si>
  <si>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</si>
  <si>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</si>
  <si>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</si>
  <si>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</si>
  <si>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</si>
  <si>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</si>
  <si>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</si>
  <si>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</si>
  <si>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</si>
  <si>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</si>
  <si>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</si>
  <si>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</si>
  <si>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</si>
  <si>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</si>
  <si>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</si>
  <si>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</si>
  <si>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</si>
  <si>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</si>
  <si>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</si>
  <si>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</si>
  <si>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</si>
  <si>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</si>
  <si>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</si>
  <si>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</si>
  <si>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</si>
  <si>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</si>
  <si>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</si>
  <si>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</si>
  <si>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</si>
  <si>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</si>
  <si>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</si>
  <si>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</si>
  <si>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</si>
  <si>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</si>
  <si>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</si>
  <si>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</si>
  <si>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</si>
  <si>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</si>
  <si>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</si>
  <si>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</si>
  <si>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</si>
  <si>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</si>
  <si>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</si>
  <si>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</si>
  <si>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</si>
  <si>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</si>
  <si>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</si>
  <si>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</si>
  <si>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</si>
  <si>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</si>
  <si>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</si>
  <si>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</si>
  <si>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</si>
  <si>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</si>
  <si>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</si>
  <si>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</si>
  <si>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</si>
  <si>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</si>
  <si>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</si>
  <si>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</si>
  <si>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</si>
  <si>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</si>
  <si>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</si>
  <si>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</si>
  <si>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</si>
  <si>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</si>
  <si>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</si>
  <si>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</si>
  <si>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</si>
  <si>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</si>
  <si>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</si>
  <si>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</si>
  <si>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</si>
  <si>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</si>
  <si>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</si>
  <si>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</si>
  <si>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</si>
  <si>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</si>
  <si>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</si>
  <si>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</si>
  <si>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</si>
  <si>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</si>
  <si>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</si>
  <si>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</si>
  <si>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</si>
  <si>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</si>
  <si>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</si>
  <si>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</si>
  <si>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</si>
  <si>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</si>
  <si>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</si>
  <si>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</si>
  <si>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</si>
  <si>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</si>
  <si>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</si>
  <si>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</si>
  <si>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</si>
  <si>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</si>
  <si>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</si>
  <si>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</si>
  <si>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</si>
  <si>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</si>
  <si>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</si>
  <si>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</si>
  <si>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</si>
  <si>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</si>
  <si>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</si>
  <si>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</si>
  <si>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</si>
  <si>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</si>
  <si>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</si>
  <si>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</si>
  <si>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</si>
  <si>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</si>
  <si>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</si>
  <si>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</si>
  <si>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</si>
  <si>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</si>
  <si>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</si>
  <si>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</si>
  <si>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</si>
  <si>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</si>
  <si>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</si>
  <si>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</si>
  <si>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</si>
  <si>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</si>
  <si>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</si>
  <si>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</si>
  <si>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</si>
  <si>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</si>
  <si>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</si>
  <si>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</si>
  <si>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</si>
  <si>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</si>
  <si>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</si>
  <si>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</si>
  <si>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</si>
  <si>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</si>
  <si>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</si>
  <si>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</si>
  <si>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</si>
  <si>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</si>
  <si>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</si>
  <si>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</si>
  <si>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</si>
  <si>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</si>
  <si>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</si>
  <si>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</si>
  <si>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</si>
  <si>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</si>
  <si>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</si>
  <si>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</si>
  <si>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</si>
  <si>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</si>
  <si>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</si>
  <si>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</si>
  <si>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</si>
  <si>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</si>
  <si>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</si>
  <si>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</si>
  <si>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</si>
  <si>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</si>
  <si>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</si>
  <si>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</si>
  <si>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</si>
  <si>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</si>
  <si>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</si>
  <si>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</si>
  <si>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</si>
  <si>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</si>
  <si>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</si>
  <si>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</si>
  <si>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</si>
  <si>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</si>
  <si>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</si>
  <si>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</si>
  <si>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</si>
  <si>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</si>
  <si>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</si>
  <si>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</si>
  <si>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</si>
  <si>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</si>
  <si>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</si>
  <si>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</si>
  <si>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</si>
  <si>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</si>
  <si>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</si>
  <si>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</si>
  <si>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</si>
  <si>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</si>
  <si>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</si>
  <si>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</si>
  <si>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</si>
  <si>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</si>
  <si>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</si>
  <si>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</si>
  <si>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</si>
  <si>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</si>
  <si>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</si>
  <si>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</si>
  <si>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</si>
  <si>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</si>
  <si>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</si>
  <si>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</si>
  <si>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</si>
  <si>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</si>
  <si>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</si>
  <si>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</si>
  <si>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</si>
  <si>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</si>
  <si>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</si>
  <si>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</si>
  <si>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</si>
  <si>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</si>
  <si>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</si>
  <si>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</si>
  <si>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</si>
  <si>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</si>
  <si>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</si>
  <si>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</si>
  <si>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</si>
  <si>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</si>
  <si>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</si>
  <si>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</si>
  <si>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</si>
  <si>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</si>
  <si>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</si>
  <si>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</si>
  <si>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</si>
  <si>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</si>
  <si>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</si>
  <si>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</si>
  <si>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</si>
  <si>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</si>
  <si>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</si>
  <si>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</si>
  <si>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</si>
  <si>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</si>
  <si>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</si>
  <si>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</si>
  <si>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</si>
  <si>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</si>
  <si>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</si>
  <si>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</si>
  <si>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</si>
  <si>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</si>
  <si>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</si>
  <si>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</si>
  <si>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</si>
  <si>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</si>
  <si>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</si>
  <si>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</si>
  <si>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</si>
  <si>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</si>
  <si>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</si>
  <si>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</si>
  <si>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</si>
  <si>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</si>
  <si>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</si>
  <si>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</si>
  <si>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</si>
  <si>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</si>
  <si>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</si>
  <si>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</si>
  <si>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</si>
  <si>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</si>
  <si>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</si>
  <si>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</si>
  <si>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</si>
  <si>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</si>
  <si>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</si>
  <si>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</si>
  <si>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</si>
  <si>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</si>
  <si>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</si>
  <si>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</si>
  <si>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</si>
  <si>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</si>
  <si>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</si>
  <si>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</si>
  <si>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</si>
  <si>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</si>
  <si>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</si>
  <si>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</si>
  <si>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</si>
  <si>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</si>
  <si>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</si>
  <si>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</si>
  <si>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</si>
  <si>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</si>
  <si>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</si>
  <si>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</si>
  <si>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</si>
  <si>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</si>
  <si>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</si>
  <si>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</si>
  <si>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</si>
  <si>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</si>
  <si>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</si>
  <si>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</si>
  <si>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</si>
  <si>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</si>
  <si>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</si>
  <si>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</si>
  <si>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</si>
  <si>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</si>
  <si>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</si>
  <si>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</si>
  <si>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</si>
  <si>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</si>
  <si>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</si>
  <si>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</si>
  <si>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</si>
  <si>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</si>
  <si>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</si>
  <si>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</si>
  <si>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</si>
  <si>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</si>
  <si>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</si>
  <si>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</si>
  <si>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</si>
  <si>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</si>
  <si>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</si>
  <si>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</si>
  <si>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</si>
  <si>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</si>
  <si>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</si>
  <si>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</si>
  <si>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</si>
  <si>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</si>
  <si>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</si>
  <si>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</si>
  <si>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</si>
  <si>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</si>
  <si>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</si>
  <si>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</si>
  <si>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</si>
  <si>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</si>
  <si>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</si>
  <si>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</si>
  <si>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</si>
  <si>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</si>
  <si>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</si>
  <si>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</si>
  <si>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</si>
  <si>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</si>
  <si>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</si>
  <si>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</si>
  <si>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</si>
  <si>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</si>
  <si>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</si>
  <si>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</si>
  <si>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</si>
  <si>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</si>
  <si>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</si>
  <si>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</si>
  <si>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</si>
  <si>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</si>
  <si>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</si>
  <si>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</si>
  <si>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</si>
  <si>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</si>
  <si>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</si>
  <si>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</si>
  <si>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</si>
  <si>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</si>
  <si>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</si>
  <si>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</si>
  <si>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</si>
  <si>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</si>
  <si>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</si>
  <si>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</si>
  <si>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</si>
  <si>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</si>
  <si>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</si>
  <si>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</si>
  <si>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</si>
  <si>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</si>
  <si>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</si>
  <si>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</si>
  <si>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</si>
  <si>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</si>
  <si>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</si>
  <si>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</si>
  <si>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</si>
  <si>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</si>
  <si>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</si>
  <si>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</si>
  <si>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</si>
  <si>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</si>
  <si>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</si>
  <si>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</si>
  <si>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</si>
  <si>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</si>
  <si>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</si>
  <si>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</si>
  <si>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</si>
  <si>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</si>
  <si>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</si>
  <si>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</si>
  <si>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</si>
  <si>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</si>
  <si>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</si>
  <si>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</si>
  <si>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</si>
  <si>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</si>
  <si>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</si>
  <si>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</si>
  <si>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</si>
  <si>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</si>
  <si>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</si>
  <si>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</si>
  <si>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</si>
  <si>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</si>
  <si>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</si>
  <si>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</si>
  <si>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</si>
  <si>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</si>
  <si>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</si>
  <si>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</si>
  <si>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</si>
  <si>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</si>
  <si>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</si>
  <si>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</si>
  <si>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</si>
  <si>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</si>
  <si>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</si>
  <si>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</si>
  <si>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</si>
  <si>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</si>
  <si>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</si>
  <si>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</si>
  <si>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</si>
  <si>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</si>
  <si>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</si>
  <si>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</si>
  <si>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</si>
  <si>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</si>
  <si>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</si>
  <si>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</si>
  <si>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</si>
  <si>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</si>
  <si>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</si>
  <si>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</si>
  <si>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</si>
  <si>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</si>
  <si>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</si>
  <si>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</si>
  <si>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</si>
  <si>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</si>
  <si>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</si>
  <si>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</si>
  <si>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</si>
  <si>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</si>
  <si>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</si>
  <si>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</si>
  <si>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</si>
  <si>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</si>
  <si>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</si>
  <si>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</si>
  <si>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</si>
  <si>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</si>
  <si>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</si>
  <si>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</si>
  <si>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</si>
  <si>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</si>
  <si>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</si>
  <si>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</si>
  <si>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</si>
  <si>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</si>
  <si>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</si>
  <si>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</si>
  <si>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</si>
  <si>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</si>
  <si>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</si>
  <si>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</si>
  <si>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</si>
  <si>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</si>
  <si>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</si>
  <si>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</si>
  <si>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</si>
  <si>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</si>
  <si>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</si>
  <si>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</si>
  <si>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</si>
  <si>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</si>
  <si>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</si>
  <si>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</si>
  <si>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</si>
  <si>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</si>
  <si>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</si>
  <si>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</si>
  <si>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</si>
  <si>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</si>
  <si>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</si>
  <si>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</si>
  <si>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</si>
  <si>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</si>
  <si>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</si>
  <si>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</si>
  <si>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</si>
  <si>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</si>
  <si>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</si>
  <si>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</si>
  <si>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</si>
  <si>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</si>
  <si>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</si>
  <si>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</si>
  <si>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</si>
  <si>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</si>
  <si>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</si>
  <si>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</si>
  <si>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</si>
  <si>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</si>
  <si>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</si>
  <si>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</si>
  <si>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</si>
  <si>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</si>
  <si>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</si>
  <si>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</si>
  <si>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</si>
  <si>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</si>
  <si>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</si>
  <si>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</si>
  <si>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</si>
  <si>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</si>
  <si>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</si>
  <si>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</si>
  <si>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</si>
  <si>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</si>
  <si>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</si>
  <si>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</si>
  <si>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</si>
  <si>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</si>
  <si>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</si>
  <si>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</si>
  <si>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</si>
  <si>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</si>
  <si>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</si>
  <si>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</si>
  <si>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</si>
  <si>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</si>
  <si>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</si>
  <si>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</si>
  <si>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</si>
  <si>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</si>
  <si>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</si>
  <si>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</si>
  <si>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</si>
  <si>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</si>
  <si>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</si>
  <si>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</si>
  <si>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</si>
  <si>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</si>
  <si>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</si>
  <si>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</si>
  <si>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</si>
  <si>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</si>
  <si>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</si>
  <si>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</si>
  <si>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</si>
  <si>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</si>
  <si>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</si>
  <si>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</si>
  <si>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</si>
  <si>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</si>
  <si>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</si>
  <si>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</si>
  <si>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</si>
  <si>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</si>
  <si>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</si>
  <si>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</si>
  <si>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</si>
  <si>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</si>
  <si>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</si>
  <si>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</si>
  <si>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</si>
  <si>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</si>
  <si>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</si>
  <si>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</si>
  <si>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</si>
  <si>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</si>
  <si>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</si>
  <si>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</si>
  <si>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</si>
  <si>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</si>
  <si>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</si>
  <si>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</si>
  <si>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</si>
  <si>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</si>
  <si>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</si>
  <si>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</si>
  <si>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</si>
  <si>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</si>
  <si>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</si>
  <si>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</si>
  <si>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</si>
  <si>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</si>
  <si>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</si>
  <si>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</si>
  <si>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</si>
  <si>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</si>
  <si>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</si>
  <si>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</si>
  <si>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</si>
  <si>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</si>
  <si>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</si>
  <si>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</si>
  <si>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</si>
  <si>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</si>
  <si>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</si>
  <si>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</si>
  <si>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</si>
  <si>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</si>
  <si>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</si>
  <si>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</si>
  <si>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</si>
  <si>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</si>
  <si>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</si>
  <si>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</si>
  <si>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</si>
  <si>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</si>
  <si>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</si>
  <si>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</si>
  <si>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</si>
  <si>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</si>
  <si>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</si>
  <si>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</si>
  <si>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</si>
  <si>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</si>
  <si>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</si>
  <si>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</si>
  <si>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</si>
  <si>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</si>
  <si>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</si>
  <si>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</si>
  <si>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</si>
  <si>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</si>
  <si>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</si>
  <si>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</si>
  <si>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</si>
  <si>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</si>
  <si>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</si>
  <si>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</si>
  <si>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</si>
  <si>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</si>
  <si>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</si>
  <si>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</si>
  <si>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</si>
  <si>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</si>
  <si>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</si>
  <si>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</si>
  <si>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</si>
  <si>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</si>
  <si>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</si>
  <si>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</si>
  <si>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</si>
  <si>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</si>
  <si>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</si>
  <si>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</si>
  <si>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</si>
  <si>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</si>
  <si>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</si>
  <si>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</si>
  <si>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</si>
  <si>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</si>
  <si>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</si>
  <si>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</si>
  <si>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</si>
  <si>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</si>
  <si>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</si>
  <si>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</si>
  <si>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</si>
  <si>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</si>
  <si>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</si>
  <si>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</si>
  <si>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</si>
  <si>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</si>
  <si>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</si>
  <si>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</si>
  <si>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</si>
  <si>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</si>
  <si>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</si>
  <si>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</si>
  <si>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</si>
  <si>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</si>
  <si>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</si>
  <si>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</si>
  <si>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</si>
  <si>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</si>
  <si>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</si>
  <si>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</si>
  <si>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</si>
  <si>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</si>
  <si>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</si>
  <si>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</si>
  <si>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</si>
  <si>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</si>
  <si>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</si>
  <si>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</si>
  <si>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</si>
  <si>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</si>
  <si>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</si>
  <si>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</si>
  <si>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</si>
  <si>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</si>
  <si>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</si>
  <si>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</si>
  <si>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</si>
  <si>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</si>
  <si>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</si>
  <si>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</si>
  <si>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</si>
  <si>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</si>
  <si>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</si>
  <si>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</si>
  <si>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</si>
  <si>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</si>
  <si>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</si>
  <si>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</si>
  <si>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</si>
  <si>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</si>
  <si>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</si>
  <si>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</si>
  <si>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</si>
  <si>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</si>
  <si>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</si>
  <si>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</si>
  <si>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</si>
  <si>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</si>
  <si>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</si>
  <si>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</si>
  <si>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</si>
  <si>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</si>
  <si>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</si>
  <si>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</si>
  <si>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</si>
  <si>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</si>
  <si>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</si>
  <si>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</si>
  <si>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</si>
  <si>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</si>
  <si>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</si>
  <si>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</si>
  <si>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</si>
  <si>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</si>
  <si>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</si>
  <si>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</si>
  <si>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</si>
  <si>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</si>
  <si>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</si>
  <si>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</si>
  <si>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</si>
  <si>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</si>
  <si>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</si>
  <si>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</si>
  <si>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</si>
  <si>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</si>
  <si>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</si>
  <si>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</si>
  <si>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</si>
  <si>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</si>
  <si>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</si>
  <si>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</si>
  <si>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</si>
  <si>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</si>
  <si>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</si>
  <si>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</si>
  <si>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</si>
  <si>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</si>
  <si>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</si>
  <si>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</si>
  <si>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</si>
  <si>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</si>
  <si>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</si>
  <si>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</si>
  <si>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</si>
  <si>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</si>
  <si>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</si>
  <si>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</si>
  <si>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</si>
  <si>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</si>
  <si>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</si>
  <si>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</si>
  <si>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</si>
  <si>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</si>
  <si>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</si>
  <si>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</si>
  <si>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</si>
  <si>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</si>
  <si>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</si>
  <si>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</si>
  <si>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</si>
  <si>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</si>
  <si>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</si>
  <si>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</si>
  <si>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</si>
  <si>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</si>
  <si>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</si>
  <si>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</si>
  <si>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</si>
  <si>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</si>
  <si>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</si>
  <si>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</si>
  <si>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</si>
  <si>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</si>
  <si>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</si>
  <si>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</si>
  <si>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</si>
  <si>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</si>
  <si>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</si>
  <si>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</si>
  <si>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</si>
  <si>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</si>
  <si>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</si>
  <si>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</si>
  <si>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</si>
  <si>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</si>
  <si>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</si>
  <si>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</si>
  <si>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</si>
  <si>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</si>
  <si>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</si>
  <si>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</si>
  <si>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</si>
  <si>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</si>
  <si>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</si>
  <si>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</si>
  <si>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</si>
  <si>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</si>
  <si>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</si>
  <si>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</si>
  <si>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</si>
  <si>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</si>
  <si>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</si>
  <si>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</si>
  <si>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</si>
  <si>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</si>
  <si>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</si>
  <si>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</si>
  <si>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</si>
  <si>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</si>
  <si>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</si>
  <si>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</si>
  <si>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</si>
  <si>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</si>
  <si>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</si>
  <si>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</si>
  <si>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</si>
  <si>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</si>
  <si>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</si>
  <si>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</si>
  <si>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</si>
  <si>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</si>
  <si>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</si>
  <si>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</si>
  <si>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</si>
  <si>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</si>
  <si>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</si>
  <si>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</si>
  <si>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</si>
  <si>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</si>
  <si>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</si>
  <si>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</si>
  <si>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</si>
  <si>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</si>
  <si>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</si>
  <si>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</si>
  <si>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</si>
  <si>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</si>
  <si>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</si>
  <si>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</si>
  <si>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</si>
  <si>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</si>
  <si>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</si>
  <si>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</si>
  <si>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</si>
  <si>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</si>
  <si>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</si>
  <si>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</si>
  <si>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</si>
  <si>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</si>
  <si>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</si>
  <si>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</si>
  <si>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</si>
  <si>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</si>
  <si>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</si>
  <si>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</si>
  <si>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</si>
  <si>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</si>
  <si>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</si>
  <si>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</si>
  <si>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</si>
  <si>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</si>
  <si>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</si>
  <si>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</si>
  <si>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</si>
  <si>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</si>
  <si>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</si>
  <si>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</si>
  <si>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</si>
  <si>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</si>
  <si>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</si>
  <si>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</si>
  <si>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</si>
  <si>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</si>
  <si>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</si>
  <si>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</si>
  <si>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</si>
  <si>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</si>
  <si>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</si>
  <si>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</si>
  <si>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</si>
  <si>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</si>
  <si>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</si>
  <si>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</si>
  <si>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</si>
  <si>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</si>
  <si>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</si>
  <si>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</si>
  <si>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</si>
  <si>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</si>
  <si>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</si>
  <si>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</si>
  <si>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</si>
  <si>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</si>
  <si>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</si>
  <si>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</si>
  <si>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</si>
  <si>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</si>
  <si>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</si>
  <si>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</si>
  <si>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</si>
  <si>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</si>
  <si>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</si>
  <si>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</si>
  <si>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</si>
  <si>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</si>
  <si>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</si>
  <si>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</si>
  <si>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</si>
  <si>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</si>
  <si>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</si>
  <si>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</si>
  <si>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</si>
  <si>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</si>
  <si>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</si>
  <si>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</si>
  <si>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</si>
  <si>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</si>
  <si>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</si>
  <si>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</si>
  <si>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</si>
  <si>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</si>
  <si>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</si>
  <si>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</si>
  <si>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</si>
  <si>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</si>
  <si>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</si>
  <si>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</si>
  <si>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</si>
  <si>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</si>
  <si>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</si>
  <si>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</si>
  <si>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</si>
  <si>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</si>
  <si>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</si>
  <si>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</si>
  <si>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</si>
  <si>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</si>
  <si>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</si>
  <si>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</si>
  <si>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</si>
  <si>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</si>
  <si>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</si>
  <si>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</si>
  <si>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</si>
  <si>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</si>
  <si>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</si>
  <si>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</si>
  <si>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</si>
  <si>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</si>
  <si>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</si>
  <si>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</si>
  <si>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</si>
  <si>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</si>
  <si>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</si>
  <si>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</si>
  <si>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</si>
  <si>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</si>
  <si>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</si>
  <si>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</si>
  <si>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</si>
  <si>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</si>
  <si>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</si>
  <si>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</si>
  <si>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</si>
  <si>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</si>
  <si>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</si>
  <si>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</si>
  <si>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</si>
  <si>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</si>
  <si>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</si>
  <si>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</si>
  <si>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</si>
  <si>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</si>
  <si>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</si>
  <si>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</si>
  <si>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</si>
  <si>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</si>
  <si>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</si>
  <si>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</si>
  <si>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</si>
  <si>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</si>
  <si>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</si>
  <si>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</si>
  <si>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</si>
  <si>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</si>
  <si>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</si>
  <si>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</si>
  <si>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</si>
  <si>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</si>
  <si>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</si>
  <si>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</si>
  <si>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</si>
  <si>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</si>
  <si>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</si>
  <si>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</si>
  <si>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</si>
  <si>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</si>
  <si>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</si>
  <si>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</si>
  <si>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</si>
  <si>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</si>
  <si>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</si>
  <si>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</si>
  <si>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</si>
  <si>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</si>
  <si>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</si>
  <si>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</si>
  <si>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</si>
  <si>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</si>
  <si>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</si>
  <si>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</si>
  <si>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</si>
  <si>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</si>
  <si>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</si>
  <si>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</si>
  <si>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</si>
  <si>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</si>
  <si>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</si>
  <si>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</si>
  <si>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</si>
  <si>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</si>
  <si>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</si>
  <si>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</si>
  <si>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</si>
  <si>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</si>
  <si>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</si>
  <si>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</si>
  <si>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</si>
  <si>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</si>
  <si>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</si>
  <si>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</si>
  <si>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</si>
  <si>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</si>
  <si>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</si>
  <si>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</si>
  <si>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</si>
  <si>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</si>
  <si>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</si>
  <si>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</si>
  <si>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</si>
  <si>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</si>
  <si>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</si>
  <si>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</si>
  <si>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</si>
  <si>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</si>
  <si>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</si>
  <si>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</si>
  <si>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</si>
  <si>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</si>
  <si>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</si>
  <si>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</si>
  <si>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</si>
  <si>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</si>
  <si>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</si>
  <si>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</si>
  <si>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</si>
  <si>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</si>
  <si>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</si>
  <si>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</si>
  <si>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</si>
  <si>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</si>
  <si>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</si>
  <si>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</si>
  <si>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</si>
  <si>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</si>
  <si>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</si>
  <si>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</si>
  <si>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</si>
  <si>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</si>
  <si>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</si>
  <si>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</si>
  <si>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</si>
  <si>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</si>
  <si>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</si>
  <si>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</si>
  <si>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</si>
  <si>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</si>
  <si>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</si>
  <si>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</si>
  <si>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</si>
  <si>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</si>
  <si>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</si>
  <si>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</si>
  <si>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</si>
  <si>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</si>
  <si>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</si>
  <si>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</si>
  <si>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</si>
  <si>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</si>
  <si>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</si>
  <si>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</si>
  <si>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</si>
  <si>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</si>
  <si>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</si>
  <si>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</si>
  <si>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</si>
  <si>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</si>
  <si>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</si>
  <si>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</si>
  <si>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</si>
  <si>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</si>
  <si>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</si>
  <si>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</si>
  <si>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</si>
  <si>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</si>
  <si>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</si>
  <si>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</si>
  <si>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</si>
  <si>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</si>
  <si>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</si>
  <si>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</si>
  <si>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</si>
  <si>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</si>
  <si>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</si>
  <si>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</si>
  <si>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</si>
  <si>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</si>
  <si>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</si>
  <si>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</si>
  <si>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</si>
  <si>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</si>
  <si>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</si>
  <si>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</si>
  <si>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</si>
  <si>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</si>
  <si>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</si>
  <si>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</si>
  <si>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</si>
  <si>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</si>
  <si>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</si>
  <si>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</si>
  <si>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</si>
  <si>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</si>
  <si>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</si>
  <si>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</si>
  <si>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</si>
  <si>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</si>
  <si>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</si>
  <si>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</si>
  <si>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</si>
  <si>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</si>
  <si>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</si>
  <si>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</si>
  <si>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</si>
  <si>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</si>
  <si>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</si>
  <si>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</si>
  <si>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</si>
  <si>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</si>
  <si>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</si>
  <si>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</si>
  <si>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</si>
  <si>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</si>
  <si>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</si>
  <si>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</si>
  <si>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</si>
  <si>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</si>
  <si>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</si>
  <si>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</si>
  <si>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</si>
  <si>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</si>
  <si>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</si>
  <si>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</si>
  <si>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</si>
  <si>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</si>
  <si>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</si>
  <si>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</si>
  <si>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</si>
  <si>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</si>
  <si>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</si>
  <si>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</si>
  <si>
    <t>Q3</t>
  </si>
  <si>
    <t>Q1</t>
  </si>
  <si>
    <t>IQR</t>
  </si>
  <si>
    <t>Q1 - (1.5 * IQR) Boundary</t>
  </si>
  <si>
    <t>Q3 + (1.5 * IQR) Boundary</t>
  </si>
  <si>
    <t>High outliers (Count)</t>
  </si>
  <si>
    <t>Total Count</t>
  </si>
  <si>
    <r>
      <rPr>
        <b/>
        <sz val="12"/>
        <color theme="1"/>
        <rFont val="Calibri"/>
        <family val="2"/>
        <scheme val="minor"/>
      </rPr>
      <t>Mean</t>
    </r>
    <r>
      <rPr>
        <sz val="12"/>
        <color theme="1"/>
        <rFont val="Calibri"/>
        <family val="2"/>
        <scheme val="minor"/>
      </rPr>
      <t xml:space="preserve"> summarizes the data better than Median. Looking into IQR makes this clear.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</si>
</sst>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5B9BD5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</dxfs>
  <tableStyles count="0" defaultTableStyle="TableStyleMedium2" defaultPivotStyle="PivotStyleLight16"/>
  <colors>
    <mruColors>
      <color rgb="FFFF9799"/>
      <color rgb="FFA9D08F"/>
      <color rgb="FF264478"/>
      <color rgb="FFFFC000"/>
      <color rgb="FF5B9BD5"/>
      <color rgb="FF0070C0"/>
      <color rgb="FFFA6A6B"/>
      <color rgb="FFFFDA66"/>
      <color rgb="FFC0000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C-6243-A6CB-840F95D9311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C-6243-A6CB-840F95D9311E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C-6243-A6CB-840F95D93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5B9BD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E-B64C-B072-5DBF3A4B4BD7}"/>
              </c:ext>
            </c:extLst>
          </c:dPt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E-B64C-B072-5DBF3A4B4BD7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E-B64C-B072-5DBF3A4B4BD7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E-B64C-B072-5DBF3A4B4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32544"/>
        <c:axId val="1864455792"/>
      </c:lineChart>
      <c:catAx>
        <c:axId val="7024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55792"/>
        <c:crosses val="autoZero"/>
        <c:auto val="1"/>
        <c:lblAlgn val="ctr"/>
        <c:lblOffset val="100"/>
        <c:noMultiLvlLbl val="0"/>
      </c:catAx>
      <c:valAx>
        <c:axId val="18644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2ABBECE7-4475-974B-B2CF-0B7C791FF4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ACD8C3BB-EFB0-034B-9FEF-CAB7F825D1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13</xdr:row>
      <xdr:rowOff>165100</xdr:rowOff>
    </xdr:from>
    <xdr:to>
      <xdr:col>14</xdr:col>
      <xdr:colOff>228600</xdr:colOff>
      <xdr:row>38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FCB2F-14DF-765A-FD06-BF476CD1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9</xdr:col>
      <xdr:colOff>1206500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6DCDC8-8B1E-0840-A78B-DE148E33F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3251200"/>
              <a:ext cx="4673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0</xdr:rowOff>
    </xdr:from>
    <xdr:to>
      <xdr:col>15</xdr:col>
      <xdr:colOff>342900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BABFFE4-294F-9046-857B-6B7730CF4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86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5" priority="4" operator="equal">
      <formula>"successful"</formula>
    </cfRule>
    <cfRule type="cellIs" dxfId="4" priority="5" operator="equal">
      <formula>"failed"</formula>
    </cfRule>
    <cfRule type="cellIs" dxfId="3" priority="6" operator="equal">
      <formula>"canceled"</formula>
    </cfRule>
    <cfRule type="cellIs" dxfId="2" priority="7" operator="equal">
      <formula>"live"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2040</v>
      </c>
      <c r="E8">
        <v>4</v>
      </c>
      <c r="F8">
        <v>4</v>
      </c>
    </row>
    <row r="9" spans="1:6" x14ac:dyDescent="0.2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2035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2050</v>
      </c>
      <c r="E7">
        <v>4</v>
      </c>
      <c r="F7">
        <v>4</v>
      </c>
    </row>
    <row r="8" spans="1:6" x14ac:dyDescent="0.2">
      <c r="A8" s="6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2053</v>
      </c>
      <c r="C10">
        <v>8</v>
      </c>
      <c r="E10">
        <v>10</v>
      </c>
      <c r="F10">
        <v>18</v>
      </c>
    </row>
    <row r="11" spans="1:6" x14ac:dyDescent="0.2">
      <c r="A11" s="6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2058</v>
      </c>
      <c r="C15">
        <v>3</v>
      </c>
      <c r="E15">
        <v>4</v>
      </c>
      <c r="F15">
        <v>7</v>
      </c>
    </row>
    <row r="16" spans="1:6" x14ac:dyDescent="0.2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2063</v>
      </c>
      <c r="C20">
        <v>4</v>
      </c>
      <c r="E20">
        <v>4</v>
      </c>
      <c r="F20">
        <v>8</v>
      </c>
    </row>
    <row r="21" spans="1:6" x14ac:dyDescent="0.2">
      <c r="A21" s="6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2065</v>
      </c>
      <c r="C22">
        <v>9</v>
      </c>
      <c r="E22">
        <v>5</v>
      </c>
      <c r="F22">
        <v>14</v>
      </c>
    </row>
    <row r="23" spans="1:6" x14ac:dyDescent="0.2">
      <c r="A23" s="6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2068</v>
      </c>
      <c r="C25">
        <v>7</v>
      </c>
      <c r="E25">
        <v>14</v>
      </c>
      <c r="F25">
        <v>21</v>
      </c>
    </row>
    <row r="26" spans="1:6" x14ac:dyDescent="0.2">
      <c r="A26" s="6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2072</v>
      </c>
      <c r="E29">
        <v>3</v>
      </c>
      <c r="F29">
        <v>3</v>
      </c>
    </row>
    <row r="30" spans="1:6" x14ac:dyDescent="0.2">
      <c r="A30" s="6" t="s">
        <v>2046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2085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COUNTIFS(all_outcomes,"=successful",all_goals,"&lt;1000")</f>
        <v>30</v>
      </c>
      <c r="C2">
        <f>COUNTIFS(all_outcomes,"=failed",all_goals,"&lt;1000")</f>
        <v>20</v>
      </c>
      <c r="D2">
        <f>COUNTIFS(all_outcomes,"=canceled",all_goals,"&lt;1000")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COUNTIFS(all_outcomes,"=successful",all_goals,"&gt;=1000",all_goals,"&lt;4999")</f>
        <v>191</v>
      </c>
      <c r="C3">
        <f>COUNTIFS(all_outcomes,"=failed",all_goals,"&gt;=1000",all_goals,"&lt;4999")</f>
        <v>38</v>
      </c>
      <c r="D3">
        <f>COUNTIFS(all_outcomes,"=canceled",all_goals,"&gt;=1000",all_goals,"&lt;4999")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COUNTIFS(all_outcomes,"=successful",all_goals,"&gt;=5000",all_goals,"&lt;=9999")</f>
        <v>164</v>
      </c>
      <c r="C4">
        <f>COUNTIFS(all_outcomes,"=failed",all_goals,"&gt;=5000",all_goals,"&lt;=9999")</f>
        <v>126</v>
      </c>
      <c r="D4">
        <f>COUNTIFS(all_outcomes,"=canceled",all_goals,"&gt;=5000",all_goals,"&lt;=9999")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COUNTIFS(all_outcomes,"=successful",all_goals,"&gt;=10000",all_goals,"&lt;=14999")</f>
        <v>4</v>
      </c>
      <c r="C5">
        <f>COUNTIFS(all_outcomes,"=failed",all_goals,"&gt;=10000",all_goals,"&lt;=14999")</f>
        <v>5</v>
      </c>
      <c r="D5">
        <f>COUNTIFS(all_outcomes,"=canceled",all_goals,"&gt;=10000",all_goals,"&lt;=14999")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COUNTIFS(all_outcomes,"=successful",all_goals,"&gt;=15000",all_goals,"&lt;=19999")</f>
        <v>10</v>
      </c>
      <c r="C6">
        <f>COUNTIFS(all_outcomes,"=failed",all_goals,"&gt;=15000",all_goals,"&lt;=19999")</f>
        <v>0</v>
      </c>
      <c r="D6">
        <f>COUNTIFS(all_outcomes,"=canceled",all_goals,"&gt;=15000",all_goals,"&lt;=19999")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COUNTIFS(all_outcomes,"=successful",all_goals,"&gt;=20000",all_goals,"&lt;=24999")</f>
        <v>7</v>
      </c>
      <c r="C7">
        <f>COUNTIFS(all_outcomes,"=failed",all_goals,"&gt;=20000",all_goals,"&lt;=24999")</f>
        <v>0</v>
      </c>
      <c r="D7">
        <f>COUNTIFS(all_outcomes,"=canceled",all_goals,"&gt;=20000",all_goals,"&lt;=24999")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COUNTIFS(all_outcomes,"=successful",all_goals,"&gt;=25000",all_goals,"&lt;=29999")</f>
        <v>11</v>
      </c>
      <c r="C8">
        <f>COUNTIFS(all_outcomes,"=failed",all_goals,"&gt;=25000",all_goals,"&lt;=29999")</f>
        <v>3</v>
      </c>
      <c r="D8">
        <f>COUNTIFS(all_outcomes,"=canceled",all_goals,"&gt;=25000",all_goals,"&lt;=29999")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COUNTIFS(all_outcomes,"=successful",all_goals,"&gt;=30000",all_goals,"&lt;=34999")</f>
        <v>7</v>
      </c>
      <c r="C9">
        <f>COUNTIFS(all_outcomes,"=failed",all_goals,"&gt;=30000",all_goals,"&lt;=34999")</f>
        <v>0</v>
      </c>
      <c r="D9">
        <f>COUNTIFS(all_outcomes,"=canceled",all_goals,"&gt;=30000",all_goals,"&lt;=34999")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COUNTIFS(all_outcomes,"=successful",all_goals,"&gt;=35000",all_goals,"&lt;=39999")</f>
        <v>8</v>
      </c>
      <c r="C10">
        <f>COUNTIFS(all_outcomes,"=failed",all_goals,"&gt;=35000",all_goals,"&lt;=39999")</f>
        <v>3</v>
      </c>
      <c r="D10">
        <f>COUNTIFS(all_outcomes,"=canceled",all_goals,"&gt;=35000",all_goals,"&lt;=39999")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COUNTIFS(all_outcomes,"=successful",all_goals,"&gt;=40000",all_goals,"&lt;=44999")</f>
        <v>11</v>
      </c>
      <c r="C11">
        <f>COUNTIFS(all_outcomes,"=failed",all_goals,"&gt;=40000",all_goals,"&lt;=44999")</f>
        <v>3</v>
      </c>
      <c r="D11">
        <f>COUNTIFS(all_outcomes,"=canceled",all_goals,"&gt;=40000",all_goals,"&lt;=44999")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COUNTIFS(all_outcomes,"=successful",all_goals,"&gt;=45000",all_goals,"&lt;=49999")</f>
        <v>8</v>
      </c>
      <c r="C12">
        <f>COUNTIFS(all_outcomes,"=failed",all_goals,"&gt;=45000",all_goals,"&lt;=49999")</f>
        <v>3</v>
      </c>
      <c r="D12">
        <f>COUNTIFS(all_outcomes,"=canceled",all_goals,"&gt;=45000",all_goals,"&lt;=49999")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COUNTIFS(all_outcomes,"=successful",all_goals,"&gt;=50000")</f>
        <v>114</v>
      </c>
      <c r="C13">
        <f>COUNTIFS(all_outcomes,"=failed",all_goals,"&gt;=50000")</f>
        <v>163</v>
      </c>
      <c r="D13">
        <f>COUNTIFS(all_outcomes,"=canceled",all_goals,"&gt;=50000")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AB3-D881-D149-BF0E-CE65F2F603A3}">
  <dimension ref="A1:O566"/>
  <sheetViews>
    <sheetView zoomScale="120" zoomScaleNormal="120" workbookViewId="0"/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7" max="7" width="22.5" bestFit="1" customWidth="1"/>
    <col min="8" max="8" width="12.1640625" bestFit="1" customWidth="1"/>
    <col min="10" max="10" width="22.83203125" bestFit="1" customWidth="1"/>
    <col min="11" max="11" width="12.1640625" bestFit="1" customWidth="1"/>
  </cols>
  <sheetData>
    <row r="1" spans="1:15" x14ac:dyDescent="0.2">
      <c r="A1" s="8" t="s">
        <v>4</v>
      </c>
      <c r="B1" s="8" t="s">
        <v>5</v>
      </c>
      <c r="C1" s="8"/>
      <c r="D1" s="8" t="s">
        <v>4</v>
      </c>
      <c r="E1" s="8" t="s">
        <v>5</v>
      </c>
      <c r="G1" s="10" t="s">
        <v>2107</v>
      </c>
      <c r="H1" s="10"/>
      <c r="J1" s="10" t="s">
        <v>2113</v>
      </c>
      <c r="K1" s="10"/>
    </row>
    <row r="2" spans="1:15" x14ac:dyDescent="0.2">
      <c r="A2" t="str" cm="1">
        <f t="array" ref="A2:B566">_xlfn._xlws.FILTER(outcomes_and_backers,all_outcomes="successful")</f>
        <v>successful</v>
      </c>
      <c r="B2">
        <v>158</v>
      </c>
      <c r="D2" t="str" cm="1">
        <f t="array" ref="D2:E365">_xlfn._xlws.FILTER(outcomes_and_backers,all_outcomes="failed")</f>
        <v>failed</v>
      </c>
      <c r="E2">
        <v>0</v>
      </c>
      <c r="G2" t="s">
        <v>2106</v>
      </c>
      <c r="H2">
        <f>AVERAGE(backers_successful)</f>
        <v>851.14690265486729</v>
      </c>
      <c r="J2" t="s">
        <v>2106</v>
      </c>
      <c r="K2">
        <f>AVERAGE(backers_failed)</f>
        <v>585.61538461538464</v>
      </c>
      <c r="M2" s="11" t="s">
        <v>2121</v>
      </c>
      <c r="N2" s="11"/>
      <c r="O2" s="11"/>
    </row>
    <row r="3" spans="1:15" x14ac:dyDescent="0.2">
      <c r="A3" t="str">
        <v>successful</v>
      </c>
      <c r="B3">
        <v>1425</v>
      </c>
      <c r="D3" t="str">
        <v>failed</v>
      </c>
      <c r="E3">
        <v>24</v>
      </c>
      <c r="G3" t="s">
        <v>2108</v>
      </c>
      <c r="H3">
        <f>MEDIAN(backers_successful)</f>
        <v>201</v>
      </c>
      <c r="J3" t="s">
        <v>2108</v>
      </c>
      <c r="K3">
        <f>MEDIAN(backers_failed)</f>
        <v>114.5</v>
      </c>
      <c r="M3" s="11"/>
      <c r="N3" s="11"/>
      <c r="O3" s="11"/>
    </row>
    <row r="4" spans="1:15" x14ac:dyDescent="0.2">
      <c r="A4" t="str">
        <v>successful</v>
      </c>
      <c r="B4">
        <v>174</v>
      </c>
      <c r="D4" t="str">
        <v>failed</v>
      </c>
      <c r="E4">
        <v>53</v>
      </c>
      <c r="G4" t="s">
        <v>2109</v>
      </c>
      <c r="H4">
        <f>MIN(backers_successful)</f>
        <v>16</v>
      </c>
      <c r="J4" t="s">
        <v>2109</v>
      </c>
      <c r="K4">
        <f>MIN(backers_failed)</f>
        <v>0</v>
      </c>
      <c r="M4" s="11"/>
      <c r="N4" s="11"/>
      <c r="O4" s="11"/>
    </row>
    <row r="5" spans="1:15" x14ac:dyDescent="0.2">
      <c r="A5" t="str">
        <v>successful</v>
      </c>
      <c r="B5">
        <v>227</v>
      </c>
      <c r="D5" t="str">
        <v>failed</v>
      </c>
      <c r="E5">
        <v>18</v>
      </c>
      <c r="G5" t="s">
        <v>2110</v>
      </c>
      <c r="H5">
        <f>MAX(backers_successful)</f>
        <v>7295</v>
      </c>
      <c r="J5" t="s">
        <v>2110</v>
      </c>
      <c r="K5">
        <f>MAX(backers_failed)</f>
        <v>6080</v>
      </c>
      <c r="M5" s="11"/>
      <c r="N5" s="11"/>
      <c r="O5" s="11"/>
    </row>
    <row r="6" spans="1:15" x14ac:dyDescent="0.2">
      <c r="A6" t="str">
        <v>successful</v>
      </c>
      <c r="B6">
        <v>220</v>
      </c>
      <c r="D6" t="str">
        <v>failed</v>
      </c>
      <c r="E6">
        <v>44</v>
      </c>
      <c r="G6" t="s">
        <v>2111</v>
      </c>
      <c r="H6">
        <f>_xlfn.VAR.S(backers_successful)</f>
        <v>1606216.5936295739</v>
      </c>
      <c r="J6" t="s">
        <v>2111</v>
      </c>
      <c r="K6">
        <f>_xlfn.VAR.S(backers_failed)</f>
        <v>924113.45496927318</v>
      </c>
      <c r="M6" s="11"/>
      <c r="N6" s="11"/>
      <c r="O6" s="11"/>
    </row>
    <row r="7" spans="1:15" x14ac:dyDescent="0.2">
      <c r="A7" t="str">
        <v>successful</v>
      </c>
      <c r="B7">
        <v>98</v>
      </c>
      <c r="D7" t="str">
        <v>failed</v>
      </c>
      <c r="E7">
        <v>27</v>
      </c>
      <c r="G7" t="s">
        <v>2112</v>
      </c>
      <c r="H7">
        <f>STDEV(backers_successful)</f>
        <v>1267.366006183523</v>
      </c>
      <c r="J7" t="s">
        <v>2112</v>
      </c>
      <c r="K7">
        <f>STDEV(backers_failed)</f>
        <v>961.30819978260524</v>
      </c>
      <c r="M7" s="11"/>
      <c r="N7" s="11"/>
      <c r="O7" s="11"/>
    </row>
    <row r="8" spans="1:15" x14ac:dyDescent="0.2">
      <c r="A8" t="str">
        <v>successful</v>
      </c>
      <c r="B8">
        <v>100</v>
      </c>
      <c r="D8" t="str">
        <v>failed</v>
      </c>
      <c r="E8">
        <v>55</v>
      </c>
    </row>
    <row r="9" spans="1:15" x14ac:dyDescent="0.2">
      <c r="A9" t="str">
        <v>successful</v>
      </c>
      <c r="B9">
        <v>1249</v>
      </c>
      <c r="D9" t="str">
        <v>failed</v>
      </c>
      <c r="E9">
        <v>200</v>
      </c>
      <c r="G9" t="s">
        <v>2115</v>
      </c>
      <c r="H9">
        <f>_xlfn.QUARTILE.EXC(backers_successful,1)</f>
        <v>127.5</v>
      </c>
      <c r="J9" t="s">
        <v>2115</v>
      </c>
      <c r="K9">
        <f>_xlfn.QUARTILE.EXC(backers_failed,1)</f>
        <v>38</v>
      </c>
    </row>
    <row r="10" spans="1:15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2114</v>
      </c>
      <c r="H10">
        <f>_xlfn.QUARTILE.EXC(backers_successful,3)</f>
        <v>1288.5</v>
      </c>
      <c r="J10" t="s">
        <v>2114</v>
      </c>
      <c r="K10">
        <f>_xlfn.QUARTILE.EXC(backers_failed,3)</f>
        <v>789.5</v>
      </c>
    </row>
    <row r="11" spans="1:15" x14ac:dyDescent="0.2">
      <c r="A11" t="str">
        <v>successful</v>
      </c>
      <c r="B11">
        <v>890</v>
      </c>
      <c r="D11" t="str">
        <v>failed</v>
      </c>
      <c r="E11">
        <v>674</v>
      </c>
      <c r="G11" t="s">
        <v>2116</v>
      </c>
      <c r="H11">
        <f>H10-H9</f>
        <v>1161</v>
      </c>
      <c r="J11" t="s">
        <v>2116</v>
      </c>
      <c r="K11">
        <f>K10-K9</f>
        <v>751.5</v>
      </c>
    </row>
    <row r="12" spans="1:15" x14ac:dyDescent="0.2">
      <c r="A12" t="str">
        <v>successful</v>
      </c>
      <c r="B12">
        <v>142</v>
      </c>
      <c r="D12" t="str">
        <v>failed</v>
      </c>
      <c r="E12">
        <v>558</v>
      </c>
      <c r="G12" t="s">
        <v>2117</v>
      </c>
      <c r="H12">
        <f>H9-(1.5*H11)</f>
        <v>-1614</v>
      </c>
      <c r="J12" t="s">
        <v>2117</v>
      </c>
      <c r="K12">
        <f>K9-(1.5*K11)</f>
        <v>-1089.25</v>
      </c>
    </row>
    <row r="13" spans="1:15" x14ac:dyDescent="0.2">
      <c r="A13" t="str">
        <v>successful</v>
      </c>
      <c r="B13">
        <v>2673</v>
      </c>
      <c r="D13" t="str">
        <v>failed</v>
      </c>
      <c r="E13">
        <v>15</v>
      </c>
      <c r="G13" t="s">
        <v>2118</v>
      </c>
      <c r="H13">
        <f>H10+(1.5*H11)</f>
        <v>3030</v>
      </c>
      <c r="J13" t="s">
        <v>2118</v>
      </c>
      <c r="K13">
        <f>K10+(1.5*K11)</f>
        <v>1916.75</v>
      </c>
    </row>
    <row r="14" spans="1:15" x14ac:dyDescent="0.2">
      <c r="A14" t="str">
        <v>successful</v>
      </c>
      <c r="B14">
        <v>163</v>
      </c>
      <c r="D14" t="str">
        <v>failed</v>
      </c>
      <c r="E14">
        <v>2307</v>
      </c>
      <c r="G14" t="s">
        <v>2119</v>
      </c>
      <c r="H14">
        <f>COUNTIF(backers_successful,"&gt;="&amp;H13)</f>
        <v>41</v>
      </c>
      <c r="J14" t="s">
        <v>2119</v>
      </c>
      <c r="K14">
        <f>COUNTIF(backers_failed,"&gt;="&amp;K13)</f>
        <v>31</v>
      </c>
    </row>
    <row r="15" spans="1:15" x14ac:dyDescent="0.2">
      <c r="A15" t="str">
        <v>successful</v>
      </c>
      <c r="B15">
        <v>2220</v>
      </c>
      <c r="D15" t="str">
        <v>failed</v>
      </c>
      <c r="E15">
        <v>88</v>
      </c>
      <c r="G15" t="s">
        <v>2120</v>
      </c>
      <c r="H15">
        <f>COUNTA(backers_successful)</f>
        <v>565</v>
      </c>
      <c r="J15" t="s">
        <v>2120</v>
      </c>
      <c r="K15">
        <f>COUNTA(backers_failed)</f>
        <v>364</v>
      </c>
    </row>
    <row r="16" spans="1:15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3">
    <mergeCell ref="G1:H1"/>
    <mergeCell ref="J1:K1"/>
    <mergeCell ref="M2:O7"/>
  </mergeCells>
  <conditionalFormatting sqref="A2:A1001">
    <cfRule type="containsText" dxfId="1" priority="1" operator="containsText" text="successful">
      <formula>NOT(ISERROR(SEARCH("successful",A2)))</formula>
    </cfRule>
  </conditionalFormatting>
  <conditionalFormatting sqref="D2:D1001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Crowdfunding</vt:lpstr>
      <vt:lpstr>Sheet1</vt:lpstr>
      <vt:lpstr>Sheet2</vt:lpstr>
      <vt:lpstr>Sheet3</vt:lpstr>
      <vt:lpstr>Sheet4</vt:lpstr>
      <vt:lpstr>Sheet5</vt:lpstr>
      <vt:lpstr>all_goals</vt:lpstr>
      <vt:lpstr>all_outcomes</vt:lpstr>
      <vt:lpstr>backers_failed</vt:lpstr>
      <vt:lpstr>backers_successful</vt:lpstr>
      <vt:lpstr>outcomes_and_backers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2023-01-03T05:03:36Z</dcterms:modified>
</cp:coreProperties>
</file>