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hn/Personal/GitHub/UofT-Data-Analytics/excel-challenge/"/>
    </mc:Choice>
  </mc:AlternateContent>
  <xr:revisionPtr revIDLastSave="0" documentId="13_ncr:1_{E21D8972-2A9F-CB49-A051-976519CA8173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  <sheet name="Sheet1" sheetId="2" r:id="rId2"/>
    <sheet name="Sheet2" sheetId="3" r:id="rId3"/>
    <sheet name="Sheet3" sheetId="5" r:id="rId4"/>
    <sheet name="Sheet4" sheetId="6" r:id="rId5"/>
    <sheet name="Sheet5" sheetId="7" r:id="rId6"/>
    <sheet name="Sheet6" sheetId="8" r:id="rId7"/>
    <sheet name="Sheet6-Copy" sheetId="9" r:id="rId8"/>
    <sheet name="Sheet7" sheetId="10" r:id="rId9"/>
  </sheets>
  <definedNames>
    <definedName name="_xlchart.v1.0" hidden="1">Sheet5!$B$2:$B$566</definedName>
    <definedName name="_xlchart.v1.1" hidden="1">Sheet5!$E$2:$E$365</definedName>
    <definedName name="_xlchart.v1.10" hidden="1">'Sheet6-Copy'!$K$1</definedName>
    <definedName name="_xlchart.v1.11" hidden="1">'Sheet6-Copy'!$K$2:$K$10</definedName>
    <definedName name="_xlchart.v1.2" hidden="1">'Sheet6-Copy'!$A$2:$A$10</definedName>
    <definedName name="_xlchart.v1.3" hidden="1">'Sheet6-Copy'!$J$1</definedName>
    <definedName name="_xlchart.v1.4" hidden="1">'Sheet6-Copy'!$J$2:$J$10</definedName>
    <definedName name="_xlchart.v1.5" hidden="1">'Sheet6-Copy'!$K$1</definedName>
    <definedName name="_xlchart.v1.6" hidden="1">'Sheet6-Copy'!$K$2:$K$10</definedName>
    <definedName name="_xlchart.v1.7" hidden="1">'Sheet6-Copy'!$A$2:$A$10</definedName>
    <definedName name="_xlchart.v1.8" hidden="1">'Sheet6-Copy'!$J$1</definedName>
    <definedName name="_xlchart.v1.9" hidden="1">'Sheet6-Copy'!$J$2:$J$10</definedName>
    <definedName name="all_backers">Crowdfunding!$H$2:$H$1001</definedName>
    <definedName name="all_categories">Crowdfunding!$S$2:$T$1001</definedName>
    <definedName name="all_goals">Crowdfunding!$D$2:$D$1001</definedName>
    <definedName name="all_outcomes">Crowdfunding!$G$2:$G$1001</definedName>
    <definedName name="all_spotlights">Crowdfunding!$Q$2:$Q$1001</definedName>
    <definedName name="all_staff_picks">Crowdfunding!$P$2:$P$1001</definedName>
    <definedName name="average_donations">Crowdfunding!$I$2:$I$1001</definedName>
    <definedName name="backers_failed">Sheet5!$E$2:$E$365</definedName>
    <definedName name="backers_successful">Sheet5!$B$2:$B$566</definedName>
    <definedName name="outcomes_and_backers">Crowdfunding!$G$2:$H$1001</definedName>
    <definedName name="parent_category">Crowdfunding!$S$2:$S$1001</definedName>
    <definedName name="percent_funded">Crowdfunding!$F$2:$F$1001</definedName>
    <definedName name="sub_category">Crowdfunding!$T$2:$T$1001</definedName>
  </definedNames>
  <calcPr calcId="191029"/>
  <pivotCaches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2" i="10"/>
  <c r="B3" i="10"/>
  <c r="B4" i="10"/>
  <c r="B5" i="10"/>
  <c r="B6" i="10"/>
  <c r="B7" i="10"/>
  <c r="B8" i="10"/>
  <c r="B9" i="10"/>
  <c r="B10" i="10"/>
  <c r="B2" i="10"/>
  <c r="A2" i="10" a="1"/>
  <c r="A2" i="10" s="1"/>
  <c r="K3" i="9"/>
  <c r="K4" i="9"/>
  <c r="K5" i="9"/>
  <c r="K6" i="9"/>
  <c r="K7" i="9"/>
  <c r="K8" i="9"/>
  <c r="K9" i="9"/>
  <c r="K10" i="9"/>
  <c r="K2" i="9"/>
  <c r="J3" i="9"/>
  <c r="J4" i="9"/>
  <c r="J5" i="9"/>
  <c r="J6" i="9"/>
  <c r="J7" i="9"/>
  <c r="J8" i="9"/>
  <c r="J9" i="9"/>
  <c r="J10" i="9"/>
  <c r="J2" i="9"/>
  <c r="I3" i="8"/>
  <c r="I4" i="8"/>
  <c r="I5" i="8"/>
  <c r="I6" i="8"/>
  <c r="I7" i="8"/>
  <c r="I8" i="8"/>
  <c r="I9" i="8"/>
  <c r="I10" i="8"/>
  <c r="I2" i="8"/>
  <c r="H3" i="8"/>
  <c r="H4" i="8"/>
  <c r="H5" i="8"/>
  <c r="H6" i="8"/>
  <c r="H7" i="8"/>
  <c r="H8" i="8"/>
  <c r="H9" i="8"/>
  <c r="H10" i="8"/>
  <c r="H2" i="8"/>
  <c r="G3" i="8"/>
  <c r="G4" i="8"/>
  <c r="G5" i="8"/>
  <c r="G6" i="8"/>
  <c r="G7" i="8"/>
  <c r="G8" i="8"/>
  <c r="G9" i="8"/>
  <c r="G10" i="8"/>
  <c r="F3" i="8"/>
  <c r="F4" i="8"/>
  <c r="F5" i="8"/>
  <c r="F6" i="8"/>
  <c r="F7" i="8"/>
  <c r="F8" i="8"/>
  <c r="F9" i="8"/>
  <c r="F10" i="8"/>
  <c r="G2" i="8"/>
  <c r="F2" i="8"/>
  <c r="E3" i="8"/>
  <c r="E4" i="8"/>
  <c r="E5" i="8"/>
  <c r="E6" i="8"/>
  <c r="E7" i="8"/>
  <c r="E8" i="8"/>
  <c r="E9" i="8"/>
  <c r="E10" i="8"/>
  <c r="E2" i="8"/>
  <c r="D3" i="8"/>
  <c r="D4" i="8"/>
  <c r="D5" i="8"/>
  <c r="D6" i="8"/>
  <c r="D7" i="8"/>
  <c r="D8" i="8"/>
  <c r="D9" i="8"/>
  <c r="D10" i="8"/>
  <c r="D2" i="8"/>
  <c r="C3" i="8"/>
  <c r="C4" i="8"/>
  <c r="C5" i="8"/>
  <c r="C6" i="8"/>
  <c r="C7" i="8"/>
  <c r="C8" i="8"/>
  <c r="C9" i="8"/>
  <c r="C10" i="8"/>
  <c r="C2" i="8"/>
  <c r="B3" i="8"/>
  <c r="B4" i="8"/>
  <c r="B5" i="8"/>
  <c r="B6" i="8"/>
  <c r="B7" i="8"/>
  <c r="B8" i="8"/>
  <c r="B9" i="8"/>
  <c r="B10" i="8"/>
  <c r="B2" i="8"/>
  <c r="A2" i="8" a="1"/>
  <c r="A2" i="8" s="1"/>
  <c r="K15" i="7"/>
  <c r="H15" i="7"/>
  <c r="K14" i="7"/>
  <c r="H14" i="7"/>
  <c r="K7" i="7"/>
  <c r="K6" i="7"/>
  <c r="K5" i="7"/>
  <c r="K4" i="7"/>
  <c r="K3" i="7"/>
  <c r="K2" i="7"/>
  <c r="K9" i="7"/>
  <c r="K10" i="7"/>
  <c r="H10" i="7"/>
  <c r="H9" i="7"/>
  <c r="H7" i="7"/>
  <c r="H6" i="7"/>
  <c r="H5" i="7"/>
  <c r="H4" i="7"/>
  <c r="H3" i="7"/>
  <c r="H2" i="7"/>
  <c r="A2" i="7" a="1"/>
  <c r="A2" i="7" s="1"/>
  <c r="D2" i="7" a="1"/>
  <c r="D2" i="7" s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K11" i="7" l="1"/>
  <c r="K12" i="7" s="1"/>
  <c r="H11" i="7"/>
  <c r="H13" i="7" s="1"/>
  <c r="E7" i="6"/>
  <c r="H7" i="6" s="1"/>
  <c r="E13" i="6"/>
  <c r="E8" i="6"/>
  <c r="F8" i="6" s="1"/>
  <c r="E5" i="6"/>
  <c r="H5" i="6" s="1"/>
  <c r="E3" i="6"/>
  <c r="E2" i="6"/>
  <c r="G2" i="6" s="1"/>
  <c r="G13" i="6"/>
  <c r="H13" i="6"/>
  <c r="E11" i="6"/>
  <c r="F11" i="6" s="1"/>
  <c r="E6" i="6"/>
  <c r="H6" i="6" s="1"/>
  <c r="F3" i="6"/>
  <c r="G3" i="6"/>
  <c r="H3" i="6"/>
  <c r="E12" i="6"/>
  <c r="G12" i="6" s="1"/>
  <c r="E4" i="6"/>
  <c r="H4" i="6" s="1"/>
  <c r="E10" i="6"/>
  <c r="H10" i="6" s="1"/>
  <c r="F2" i="6"/>
  <c r="E9" i="6"/>
  <c r="H9" i="6" s="1"/>
  <c r="F13" i="6"/>
  <c r="K13" i="7" l="1"/>
  <c r="H12" i="7"/>
  <c r="G8" i="6"/>
  <c r="H8" i="6"/>
  <c r="G7" i="6"/>
  <c r="F7" i="6"/>
  <c r="H2" i="6"/>
  <c r="F10" i="6"/>
  <c r="G10" i="6"/>
  <c r="F5" i="6"/>
  <c r="G5" i="6"/>
  <c r="F12" i="6"/>
  <c r="G11" i="6"/>
  <c r="H11" i="6"/>
  <c r="F9" i="6"/>
  <c r="G6" i="6"/>
  <c r="F6" i="6"/>
  <c r="F4" i="6"/>
  <c r="G9" i="6"/>
  <c r="G4" i="6"/>
  <c r="H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<sst xmlns="http://schemas.openxmlformats.org/spreadsheetml/2006/main" count="6168" uniqueCount="2115">
  <si>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</si>
  <si>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</si>
  <si>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</si>
  <si>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</si>
  <si>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</si>
  <si>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</si>
  <si>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</si>
  <si>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</si>
  <si>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</si>
  <si>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</si>
  <si>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</si>
  <si>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</si>
  <si>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</si>
  <si>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</si>
  <si>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</si>
  <si>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</si>
  <si>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</si>
  <si>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</si>
  <si>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</si>
  <si>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</si>
  <si>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</si>
  <si>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</si>
  <si>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</si>
  <si>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</si>
  <si>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</si>
  <si>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</si>
  <si>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</si>
  <si>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</si>
  <si>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</si>
  <si>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</si>
  <si>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</si>
  <si>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</si>
  <si>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</si>
  <si>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</si>
  <si>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</si>
  <si>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</si>
  <si>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</si>
  <si>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</si>
  <si>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</si>
  <si>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</si>
  <si>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</si>
  <si>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</si>
  <si>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</si>
  <si>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</si>
  <si>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</si>
  <si>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</si>
  <si>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</si>
  <si>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</si>
  <si>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</si>
  <si>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</si>
  <si>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</si>
  <si>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</si>
  <si>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</si>
  <si>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</si>
  <si>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</si>
  <si>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</si>
  <si>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</si>
  <si>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</si>
  <si>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</si>
  <si>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</si>
  <si>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</si>
  <si>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</si>
  <si>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</si>
  <si>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</si>
  <si>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</si>
  <si>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</si>
  <si>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</si>
  <si>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</si>
  <si>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</si>
  <si>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</si>
  <si>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</si>
  <si>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</si>
  <si>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</si>
  <si>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</si>
  <si>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</si>
  <si>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</si>
  <si>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</si>
  <si>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</si>
  <si>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</si>
  <si>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</si>
  <si>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</si>
  <si>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</si>
  <si>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</si>
  <si>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</si>
  <si>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</si>
  <si>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</si>
  <si>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</si>
  <si>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</si>
  <si>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</si>
  <si>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</si>
  <si>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</si>
  <si>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</si>
  <si>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</si>
  <si>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</si>
  <si>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</si>
  <si>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</si>
  <si>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</si>
  <si>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</si>
  <si>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</si>
  <si>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</si>
  <si>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</si>
  <si>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</si>
  <si>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</si>
  <si>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</si>
  <si>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</si>
  <si>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</si>
  <si>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</si>
  <si>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</si>
  <si>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</si>
  <si>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</si>
  <si>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</si>
  <si>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</si>
  <si>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</si>
  <si>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</si>
  <si>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</si>
  <si>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</si>
  <si>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</si>
  <si>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</si>
  <si>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</si>
  <si>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</si>
  <si>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</si>
  <si>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</si>
  <si>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</si>
  <si>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</si>
  <si>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</si>
  <si>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</si>
  <si>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</si>
  <si>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</si>
  <si>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</si>
  <si>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</si>
  <si>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</si>
  <si>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</si>
  <si>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</si>
  <si>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</si>
  <si>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</si>
  <si>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</si>
  <si>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</si>
  <si>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</si>
  <si>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</si>
  <si>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</si>
  <si>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</si>
  <si>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</si>
  <si>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</si>
  <si>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</si>
  <si>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</si>
  <si>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</si>
  <si>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</si>
  <si>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</si>
  <si>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</si>
  <si>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</si>
  <si>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</si>
  <si>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</si>
  <si>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</si>
  <si>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</si>
  <si>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</si>
  <si>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</si>
  <si>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</si>
  <si>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</si>
  <si>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</si>
  <si>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</si>
  <si>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</si>
  <si>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</si>
  <si>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</si>
  <si>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</si>
  <si>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</si>
  <si>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</si>
  <si>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</si>
  <si>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</si>
  <si>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</si>
  <si>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</si>
  <si>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</si>
  <si>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</si>
  <si>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</si>
  <si>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</si>
  <si>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</si>
  <si>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</si>
  <si>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</si>
  <si>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</si>
  <si>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</si>
  <si>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</si>
  <si>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</si>
  <si>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</si>
  <si>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</si>
  <si>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</si>
  <si>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</si>
  <si>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</si>
  <si>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</si>
  <si>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</si>
  <si>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</si>
  <si>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</si>
  <si>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</si>
  <si>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</si>
  <si>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</si>
  <si>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</si>
  <si>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</si>
  <si>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</si>
  <si>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</si>
  <si>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</si>
  <si>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</si>
  <si>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</si>
  <si>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</si>
  <si>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</si>
  <si>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</si>
  <si>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</si>
  <si>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</si>
  <si>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</si>
  <si>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</si>
  <si>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</si>
  <si>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</si>
  <si>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</si>
  <si>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</si>
  <si>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</si>
  <si>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</si>
  <si>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</si>
  <si>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</si>
  <si>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</si>
  <si>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</si>
  <si>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</si>
  <si>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</si>
  <si>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</si>
  <si>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</si>
  <si>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</si>
  <si>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</si>
  <si>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</si>
  <si>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</si>
  <si>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</si>
  <si>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</si>
  <si>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</si>
  <si>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</si>
  <si>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</si>
  <si>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</si>
  <si>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</si>
  <si>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</si>
  <si>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</si>
  <si>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</si>
  <si>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</si>
  <si>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</si>
  <si>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</si>
  <si>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</si>
  <si>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</si>
  <si>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</si>
  <si>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</si>
  <si>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</si>
  <si>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</si>
  <si>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</si>
  <si>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</si>
  <si>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</si>
  <si>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</si>
  <si>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</si>
  <si>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</si>
  <si>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</si>
  <si>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</si>
  <si>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</si>
  <si>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</si>
  <si>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</si>
  <si>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</si>
  <si>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</si>
  <si>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</si>
  <si>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</si>
  <si>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</si>
  <si>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</si>
  <si>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</si>
  <si>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</si>
  <si>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</si>
  <si>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</si>
  <si>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</si>
  <si>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</si>
  <si>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</si>
  <si>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</si>
  <si>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</si>
  <si>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</si>
  <si>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</si>
  <si>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</si>
  <si>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</si>
  <si>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</si>
  <si>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</si>
  <si>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</si>
  <si>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</si>
  <si>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</si>
  <si>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</si>
  <si>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</si>
  <si>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</si>
  <si>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</si>
  <si>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</si>
  <si>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</si>
  <si>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</si>
  <si>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</si>
  <si>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</si>
  <si>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</si>
  <si>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</si>
  <si>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</si>
  <si>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</si>
  <si>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</si>
  <si>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</si>
  <si>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</si>
  <si>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</si>
  <si>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</si>
  <si>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</si>
  <si>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</si>
  <si>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</si>
  <si>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</si>
  <si>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</si>
  <si>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</si>
  <si>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</si>
  <si>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</si>
  <si>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</si>
  <si>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</si>
  <si>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</si>
  <si>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</si>
  <si>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</si>
  <si>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</si>
  <si>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</si>
  <si>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</si>
  <si>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</si>
  <si>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</si>
  <si>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</si>
  <si>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</si>
  <si>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</si>
  <si>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</si>
  <si>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</si>
  <si>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</si>
  <si>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</si>
  <si>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</si>
  <si>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</si>
  <si>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</si>
  <si>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</si>
  <si>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</si>
  <si>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</si>
  <si>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</si>
  <si>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</si>
  <si>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</si>
  <si>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</si>
  <si>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</si>
  <si>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</si>
  <si>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</si>
  <si>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</si>
  <si>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</si>
  <si>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</si>
  <si>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</si>
  <si>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</si>
  <si>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</si>
  <si>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</si>
  <si>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</si>
  <si>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</si>
  <si>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</si>
  <si>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</si>
  <si>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</si>
  <si>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</si>
  <si>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</si>
  <si>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</si>
  <si>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</si>
  <si>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</si>
  <si>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</si>
  <si>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</si>
  <si>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</si>
  <si>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</si>
  <si>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</si>
  <si>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</si>
  <si>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</si>
  <si>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</si>
  <si>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</si>
  <si>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</si>
  <si>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</si>
  <si>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</si>
  <si>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</si>
  <si>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</si>
  <si>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</si>
  <si>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</si>
  <si>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</si>
  <si>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</si>
  <si>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</si>
  <si>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</si>
  <si>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</si>
  <si>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</si>
  <si>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</si>
  <si>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</si>
  <si>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</si>
  <si>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</si>
  <si>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</si>
  <si>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</si>
  <si>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</si>
  <si>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</si>
  <si>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</si>
  <si>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</si>
  <si>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</si>
  <si>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</si>
  <si>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</si>
  <si>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</si>
  <si>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</si>
  <si>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</si>
  <si>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</si>
  <si>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</si>
  <si>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</si>
  <si>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</si>
  <si>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</si>
  <si>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</si>
  <si>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</si>
  <si>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</si>
  <si>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</si>
  <si>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</si>
  <si>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</si>
  <si>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</si>
  <si>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</si>
  <si>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</si>
  <si>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</si>
  <si>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</si>
  <si>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</si>
  <si>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</si>
  <si>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</si>
  <si>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</si>
  <si>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</si>
  <si>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</si>
  <si>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</si>
  <si>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</si>
  <si>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</si>
  <si>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</si>
  <si>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</si>
  <si>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</si>
  <si>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</si>
  <si>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</si>
  <si>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</si>
  <si>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</si>
  <si>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</si>
  <si>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</si>
  <si>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</si>
  <si>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</si>
  <si>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</si>
  <si>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</si>
  <si>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</si>
  <si>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</si>
  <si>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</si>
  <si>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</si>
  <si>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</si>
  <si>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</si>
  <si>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</si>
  <si>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</si>
  <si>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</si>
  <si>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</si>
  <si>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</si>
  <si>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</si>
  <si>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</si>
  <si>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</si>
  <si>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</si>
  <si>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</si>
  <si>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</si>
  <si>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</si>
  <si>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</si>
  <si>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</si>
  <si>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</si>
  <si>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</si>
  <si>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</si>
  <si>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</si>
  <si>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</si>
  <si>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</si>
  <si>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</si>
  <si>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</si>
  <si>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</si>
  <si>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</si>
  <si>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</si>
  <si>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</si>
  <si>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</si>
  <si>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</si>
  <si>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</si>
  <si>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</si>
  <si>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</si>
  <si>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</si>
  <si>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</si>
  <si>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</si>
  <si>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</si>
  <si>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</si>
  <si>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</si>
  <si>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</si>
  <si>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</si>
  <si>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</si>
  <si>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</si>
  <si>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</si>
  <si>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</si>
  <si>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</si>
  <si>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</si>
  <si>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</si>
  <si>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</si>
  <si>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</si>
  <si>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</si>
  <si>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</si>
  <si>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</si>
  <si>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</si>
  <si>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</si>
  <si>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</si>
  <si>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</si>
  <si>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</si>
  <si>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</si>
  <si>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</si>
  <si>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</si>
  <si>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</si>
  <si>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</si>
  <si>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</si>
  <si>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</si>
  <si>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</si>
  <si>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</si>
  <si>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</si>
  <si>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</si>
  <si>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</si>
  <si>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</si>
  <si>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</si>
  <si>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</si>
  <si>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</si>
  <si>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</si>
  <si>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</si>
  <si>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</si>
  <si>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</si>
  <si>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</si>
  <si>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</si>
  <si>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</si>
  <si>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</si>
  <si>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</si>
  <si>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</si>
  <si>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</si>
  <si>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</si>
  <si>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</si>
  <si>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</si>
  <si>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</si>
  <si>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</si>
  <si>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</si>
  <si>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</si>
  <si>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</si>
  <si>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</si>
  <si>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</si>
  <si>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</si>
  <si>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</si>
  <si>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</si>
  <si>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</si>
  <si>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</si>
  <si>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</si>
  <si>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</si>
  <si>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</si>
  <si>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</si>
  <si>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</si>
  <si>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</si>
  <si>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</si>
  <si>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</si>
  <si>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</si>
  <si>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</si>
  <si>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</si>
  <si>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</si>
  <si>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</si>
  <si>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</si>
  <si>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</si>
  <si>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</si>
  <si>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</si>
  <si>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</si>
  <si>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</si>
  <si>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</si>
  <si>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</si>
  <si>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</si>
  <si>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</si>
  <si>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</si>
  <si>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</si>
  <si>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</si>
  <si>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</si>
  <si>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</si>
  <si>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</si>
  <si>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</si>
  <si>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</si>
  <si>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</si>
  <si>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</si>
  <si>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</si>
  <si>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</si>
  <si>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</si>
  <si>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</si>
  <si>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</si>
  <si>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</si>
  <si>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</si>
  <si>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</si>
  <si>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</si>
  <si>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</si>
  <si>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</si>
  <si>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</si>
  <si>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</si>
  <si>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</si>
  <si>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</si>
  <si>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</si>
  <si>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</si>
  <si>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</si>
  <si>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</si>
  <si>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</si>
  <si>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</si>
  <si>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</si>
  <si>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</si>
  <si>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</si>
  <si>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</si>
  <si>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</si>
  <si>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</si>
  <si>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</si>
  <si>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</si>
  <si>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</si>
  <si>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</si>
  <si>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</si>
  <si>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</si>
  <si>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</si>
  <si>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</si>
  <si>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</si>
  <si>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</si>
  <si>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</si>
  <si>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</si>
  <si>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</si>
  <si>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</si>
  <si>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</si>
  <si>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</si>
  <si>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</si>
  <si>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</si>
  <si>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</si>
  <si>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</si>
  <si>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</si>
  <si>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</si>
  <si>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</si>
  <si>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</si>
  <si>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</si>
  <si>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</si>
  <si>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</si>
  <si>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</si>
  <si>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</si>
  <si>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</si>
  <si>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</si>
  <si>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</si>
  <si>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</si>
  <si>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</si>
  <si>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</si>
  <si>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</si>
  <si>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</si>
  <si>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</si>
  <si>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</si>
  <si>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</si>
  <si>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</si>
  <si>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</si>
  <si>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</si>
  <si>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</si>
  <si>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</si>
  <si>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</si>
  <si>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</si>
  <si>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</si>
  <si>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</si>
  <si>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</si>
  <si>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</si>
  <si>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</si>
  <si>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</si>
  <si>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</si>
  <si>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</si>
  <si>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</si>
  <si>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</si>
  <si>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</si>
  <si>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</si>
  <si>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</si>
  <si>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</si>
  <si>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</si>
  <si>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</si>
  <si>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</si>
  <si>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</si>
  <si>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</si>
  <si>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</si>
  <si>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</si>
  <si>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</si>
  <si>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</si>
  <si>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</si>
  <si>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</si>
  <si>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</si>
  <si>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</si>
  <si>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</si>
  <si>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</si>
  <si>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</si>
  <si>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</si>
  <si>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</si>
  <si>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</si>
  <si>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</si>
  <si>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</si>
  <si>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</si>
  <si>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</si>
  <si>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</si>
  <si>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</si>
  <si>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</si>
  <si>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</si>
  <si>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</si>
  <si>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</si>
  <si>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</si>
  <si>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</si>
  <si>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</si>
  <si>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</si>
  <si>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</si>
  <si>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</si>
  <si>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</si>
  <si>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</si>
  <si>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</si>
  <si>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</si>
  <si>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</si>
  <si>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</si>
  <si>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</si>
  <si>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</si>
  <si>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</si>
  <si>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</si>
  <si>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</si>
  <si>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</si>
  <si>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</si>
  <si>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</si>
  <si>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</si>
  <si>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</si>
  <si>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</si>
  <si>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</si>
  <si>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</si>
  <si>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</si>
  <si>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</si>
  <si>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</si>
  <si>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</si>
  <si>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</si>
  <si>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</si>
  <si>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</si>
  <si>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</si>
  <si>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</si>
  <si>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</si>
  <si>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</si>
  <si>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</si>
  <si>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</si>
  <si>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</si>
  <si>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</si>
  <si>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</si>
  <si>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</si>
  <si>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</si>
  <si>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</si>
  <si>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</si>
  <si>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</si>
  <si>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</si>
  <si>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</si>
  <si>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</si>
  <si>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</si>
  <si>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</si>
  <si>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</si>
  <si>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</si>
  <si>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</si>
  <si>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</si>
  <si>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</si>
  <si>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</si>
  <si>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</si>
  <si>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</si>
  <si>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</si>
  <si>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</si>
  <si>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</si>
  <si>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</si>
  <si>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</si>
  <si>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</si>
  <si>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</si>
  <si>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</si>
  <si>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</si>
  <si>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</si>
  <si>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</si>
  <si>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</si>
  <si>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</si>
  <si>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</si>
  <si>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</si>
  <si>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</si>
  <si>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</si>
  <si>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</si>
  <si>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</si>
  <si>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</si>
  <si>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</si>
  <si>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</si>
  <si>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</si>
  <si>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</si>
  <si>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</si>
  <si>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</si>
  <si>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</si>
  <si>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</si>
  <si>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</si>
  <si>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</si>
  <si>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</si>
  <si>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</si>
  <si>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</si>
  <si>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</si>
  <si>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</si>
  <si>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</si>
  <si>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</si>
  <si>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</si>
  <si>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</si>
  <si>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</si>
  <si>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</si>
  <si>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</si>
  <si>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</si>
  <si>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</si>
  <si>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</si>
  <si>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</si>
  <si>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</si>
  <si>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</si>
  <si>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</si>
  <si>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</si>
  <si>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</si>
  <si>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</si>
  <si>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</si>
  <si>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</si>
  <si>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</si>
  <si>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</si>
  <si>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</si>
  <si>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</si>
  <si>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</si>
  <si>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</si>
  <si>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</si>
  <si>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</si>
  <si>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</si>
  <si>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</si>
  <si>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</si>
  <si>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</si>
  <si>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</si>
  <si>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</si>
  <si>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</si>
  <si>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</si>
  <si>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</si>
  <si>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</si>
  <si>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</si>
  <si>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</si>
  <si>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</si>
  <si>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</si>
  <si>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</si>
  <si>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</si>
  <si>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</si>
  <si>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</si>
  <si>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</si>
  <si>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</si>
  <si>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</si>
  <si>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</si>
  <si>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</si>
  <si>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</si>
  <si>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</si>
  <si>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</si>
  <si>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</si>
  <si>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</si>
  <si>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</si>
  <si>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</si>
  <si>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</si>
  <si>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</si>
  <si>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</si>
  <si>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</si>
  <si>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</si>
  <si>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</si>
  <si>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</si>
  <si>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</si>
  <si>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</si>
  <si>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</si>
  <si>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</si>
  <si>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</si>
  <si>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</si>
  <si>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</si>
  <si>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</si>
  <si>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</si>
  <si>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</si>
  <si>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</si>
  <si>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</si>
  <si>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</si>
  <si>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</si>
  <si>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</si>
  <si>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</si>
  <si>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</si>
  <si>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</si>
  <si>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</si>
  <si>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</si>
  <si>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</si>
  <si>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</si>
  <si>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</si>
  <si>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</si>
  <si>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</si>
  <si>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</si>
  <si>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</si>
  <si>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</si>
  <si>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</si>
  <si>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</si>
  <si>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</si>
  <si>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</si>
  <si>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</si>
  <si>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</si>
  <si>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</si>
  <si>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</si>
  <si>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</si>
  <si>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</si>
  <si>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</si>
  <si>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</si>
  <si>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</si>
  <si>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</si>
  <si>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</si>
  <si>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</si>
  <si>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</si>
  <si>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</si>
  <si>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</si>
  <si>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</si>
  <si>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</si>
  <si>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</si>
  <si>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</si>
  <si>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</si>
  <si>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</si>
  <si>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</si>
  <si>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</si>
  <si>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</si>
  <si>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</si>
  <si>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</si>
  <si>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</si>
  <si>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</si>
  <si>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</si>
  <si>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</si>
  <si>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</si>
  <si>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</si>
  <si>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</si>
  <si>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</si>
  <si>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</si>
  <si>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</si>
  <si>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</si>
  <si>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</si>
  <si>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</si>
  <si>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</si>
  <si>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</si>
  <si>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</si>
  <si>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</si>
  <si>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</si>
  <si>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</si>
  <si>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</si>
  <si>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</si>
  <si>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</si>
  <si>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</si>
  <si>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</si>
  <si>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</si>
  <si>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</si>
  <si>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</si>
  <si>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</si>
  <si>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</si>
  <si>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</si>
  <si>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</si>
  <si>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</si>
  <si>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</si>
  <si>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</si>
  <si>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</si>
  <si>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</si>
  <si>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</si>
  <si>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</si>
  <si>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</si>
  <si>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</si>
  <si>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</si>
  <si>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</si>
  <si>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</si>
  <si>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</si>
  <si>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</si>
  <si>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</si>
  <si>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</si>
  <si>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</si>
  <si>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</si>
  <si>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</si>
  <si>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</si>
  <si>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</si>
  <si>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</si>
  <si>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</si>
  <si>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</si>
  <si>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</si>
  <si>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</si>
  <si>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</si>
  <si>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</si>
  <si>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</si>
  <si>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</si>
  <si>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</si>
  <si>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</si>
  <si>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</si>
  <si>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</si>
  <si>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</si>
  <si>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</si>
  <si>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</si>
  <si>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</si>
  <si>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</si>
  <si>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</si>
  <si>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</si>
  <si>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</si>
  <si>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</si>
  <si>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</si>
  <si>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</si>
  <si>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</si>
  <si>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</si>
  <si>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</si>
  <si>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</si>
  <si>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</si>
  <si>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</si>
  <si>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</si>
  <si>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</si>
  <si>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</si>
  <si>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</si>
  <si>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</si>
  <si>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</si>
  <si>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</si>
  <si>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</si>
  <si>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</si>
  <si>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</si>
  <si>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</si>
  <si>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</si>
  <si>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</si>
  <si>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</si>
  <si>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</si>
  <si>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</si>
  <si>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</si>
  <si>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</si>
  <si>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</si>
  <si>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</si>
  <si>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</si>
  <si>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</si>
  <si>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</si>
  <si>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</si>
  <si>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</si>
  <si>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</si>
  <si>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</si>
  <si>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</si>
  <si>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</si>
  <si>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</si>
  <si>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</si>
  <si>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</si>
  <si>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</si>
  <si>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</si>
  <si>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</si>
  <si>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</si>
  <si>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</si>
  <si>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</si>
  <si>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</si>
  <si>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</si>
  <si>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</si>
  <si>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</si>
  <si>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</si>
  <si>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</si>
  <si>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</si>
  <si>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</si>
  <si>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</si>
  <si>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</si>
  <si>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</si>
  <si>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</si>
  <si>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</si>
  <si>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</si>
  <si>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</si>
  <si>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</si>
  <si>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</si>
  <si>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</si>
  <si>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</si>
  <si>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</si>
  <si>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</si>
  <si>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</si>
  <si>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</si>
  <si>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</si>
  <si>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</si>
  <si>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</si>
  <si>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</si>
  <si>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</si>
  <si>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</si>
  <si>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</si>
  <si>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</si>
  <si>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</si>
  <si>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</si>
  <si>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</si>
  <si>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</si>
  <si>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</si>
  <si>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</si>
  <si>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</si>
  <si>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</si>
  <si>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</si>
  <si>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</si>
  <si>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</si>
  <si>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</si>
  <si>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</si>
  <si>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</si>
  <si>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</si>
  <si>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</si>
  <si>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</si>
  <si>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</si>
  <si>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</si>
  <si>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</si>
  <si>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</si>
  <si>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</si>
  <si>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</si>
  <si>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</si>
  <si>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</si>
  <si>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</si>
  <si>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</si>
  <si>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</si>
  <si>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</si>
  <si>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</si>
  <si>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</si>
  <si>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</si>
  <si>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</si>
  <si>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</si>
  <si>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</si>
  <si>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</si>
  <si>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</si>
  <si>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</si>
  <si>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</si>
  <si>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</si>
  <si>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</si>
  <si>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</si>
  <si>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</si>
  <si>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</si>
  <si>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</si>
  <si>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</si>
  <si>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</si>
  <si>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</si>
  <si>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</si>
  <si>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</si>
  <si>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</si>
  <si>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</si>
  <si>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</si>
  <si>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</si>
  <si>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</si>
  <si>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</si>
  <si>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</si>
  <si>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</si>
  <si>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</si>
  <si>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</si>
  <si>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</si>
  <si>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</si>
  <si>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</si>
  <si>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</si>
  <si>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</si>
  <si>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</si>
  <si>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</si>
  <si>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</si>
  <si>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</si>
  <si>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</si>
  <si>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</si>
  <si>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</si>
  <si>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</si>
  <si>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</si>
  <si>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</si>
  <si>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</si>
  <si>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</si>
  <si>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</si>
  <si>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</si>
  <si>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</si>
  <si>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</si>
  <si>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</si>
  <si>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</si>
  <si>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</si>
  <si>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</si>
  <si>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</si>
  <si>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</si>
  <si>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</si>
  <si>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</si>
  <si>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</si>
  <si>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</si>
  <si>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</si>
  <si>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</si>
  <si>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</si>
  <si>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</si>
  <si>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</si>
  <si>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</si>
  <si>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</si>
  <si>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</si>
  <si>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</si>
  <si>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</si>
  <si>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</si>
  <si>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</si>
  <si>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</si>
  <si>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</si>
  <si>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</si>
  <si>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</si>
  <si>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</si>
  <si>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</si>
  <si>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</si>
  <si>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</si>
  <si>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</si>
  <si>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</si>
  <si>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</si>
  <si>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</si>
  <si>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</si>
  <si>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</si>
  <si>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</si>
  <si>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</si>
  <si>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</si>
  <si>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</si>
  <si>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</si>
  <si>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</si>
  <si>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</si>
  <si>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</si>
  <si>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</si>
  <si>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</si>
  <si>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</si>
  <si>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</si>
  <si>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</si>
  <si>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</si>
  <si>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</si>
  <si>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</si>
  <si>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</si>
  <si>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</si>
  <si>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</si>
  <si>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</si>
  <si>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</si>
  <si>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</si>
  <si>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</si>
  <si>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</si>
  <si>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</si>
  <si>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</si>
  <si>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</si>
  <si>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</si>
  <si>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</si>
  <si>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</si>
  <si>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</si>
  <si>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</si>
  <si>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</si>
  <si>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</si>
  <si>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</si>
  <si>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</si>
  <si>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</si>
  <si>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</si>
  <si>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</si>
  <si>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</si>
  <si>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</si>
  <si>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</si>
  <si>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</si>
  <si>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</si>
  <si>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</si>
  <si>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</si>
  <si>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</si>
  <si>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</si>
  <si>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</si>
  <si>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</si>
  <si>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</si>
  <si>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</si>
  <si>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</si>
  <si>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</si>
  <si>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</si>
  <si>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</si>
  <si>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</si>
  <si>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</si>
  <si>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</si>
  <si>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</si>
  <si>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</si>
  <si>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</si>
  <si>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</si>
  <si>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</si>
  <si>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</si>
  <si>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</si>
  <si>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</si>
  <si>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</si>
  <si>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</si>
  <si>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</si>
  <si>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</si>
  <si>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</si>
  <si>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</si>
  <si>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</si>
  <si>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</si>
  <si>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</si>
  <si>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</si>
  <si>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</si>
  <si>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</si>
  <si>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</si>
  <si>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</si>
  <si>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</si>
  <si>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</si>
  <si>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</si>
  <si>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</si>
  <si>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</si>
  <si>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</si>
  <si>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</si>
  <si>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</si>
  <si>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</si>
  <si>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</si>
  <si>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</si>
  <si>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</si>
  <si>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</si>
  <si>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</si>
  <si>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</si>
  <si>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</si>
  <si>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</si>
  <si>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</si>
  <si>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</si>
  <si>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</si>
  <si>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</si>
  <si>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</si>
  <si>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</si>
  <si>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</si>
  <si>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</si>
  <si>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</si>
  <si>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</si>
  <si>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</si>
  <si>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</si>
  <si>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</si>
  <si>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</si>
  <si>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</si>
  <si>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</si>
  <si>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</si>
  <si>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</si>
  <si>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</si>
  <si>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</si>
  <si>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</si>
  <si>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</si>
  <si>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</si>
  <si>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</si>
  <si>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</si>
  <si>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</si>
  <si>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</si>
  <si>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</si>
  <si>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</si>
  <si>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</si>
  <si>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</si>
  <si>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</si>
  <si>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</si>
  <si>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</si>
  <si>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</si>
  <si>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</si>
  <si>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</si>
  <si>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</si>
  <si>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</si>
  <si>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</si>
  <si>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</si>
  <si>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</si>
  <si>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</si>
  <si>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</si>
  <si>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</si>
  <si>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</si>
  <si>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</si>
  <si>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</si>
  <si>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</si>
  <si>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</si>
  <si>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</si>
  <si>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</si>
  <si>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</si>
  <si>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</si>
  <si>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</si>
  <si>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</si>
  <si>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</si>
  <si>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</si>
  <si>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</si>
  <si>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</si>
  <si>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</si>
  <si>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</si>
  <si>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</si>
  <si>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</si>
  <si>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</si>
  <si>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</si>
  <si>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</si>
  <si>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</si>
  <si>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</si>
  <si>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</si>
  <si>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</si>
  <si>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</si>
  <si>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</si>
  <si>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</si>
  <si>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</si>
  <si>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</si>
  <si>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</si>
  <si>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</si>
  <si>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</si>
  <si>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</si>
  <si>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</si>
  <si>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</si>
  <si>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</si>
  <si>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</si>
  <si>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</si>
  <si>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</si>
  <si>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</si>
  <si>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</si>
  <si>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</si>
  <si>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</si>
  <si>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</si>
  <si>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</si>
  <si>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</si>
  <si>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</si>
  <si>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</si>
  <si>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</si>
  <si>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</si>
  <si>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</si>
  <si>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</si>
  <si>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</si>
  <si>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</si>
  <si>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</si>
  <si>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</si>
  <si>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</si>
  <si>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</si>
  <si>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</si>
  <si>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</si>
  <si>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</si>
  <si>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</si>
  <si>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</si>
  <si>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</si>
  <si>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</si>
  <si>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</si>
  <si>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</si>
  <si>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</si>
  <si>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</si>
  <si>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</si>
  <si>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</si>
  <si>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</si>
  <si>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</si>
  <si>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</si>
  <si>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</si>
  <si>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</si>
  <si>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</si>
  <si>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</si>
  <si>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</si>
  <si>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</si>
  <si>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</si>
  <si>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</si>
  <si>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</si>
  <si>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</si>
  <si>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</si>
  <si>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</si>
  <si>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</si>
  <si>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</si>
  <si>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</si>
  <si>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</si>
  <si>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</si>
  <si>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</si>
  <si>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</si>
  <si>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</si>
  <si>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</si>
  <si>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</si>
  <si>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</si>
  <si>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</si>
  <si>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</si>
  <si>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</si>
  <si>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</si>
  <si>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</si>
  <si>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</si>
  <si>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</si>
  <si>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</si>
  <si>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</si>
  <si>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</si>
  <si>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</si>
  <si>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</si>
  <si>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</si>
  <si>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</si>
  <si>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</si>
  <si>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</si>
  <si>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</si>
  <si>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</si>
  <si>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</si>
  <si>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</si>
  <si>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</si>
  <si>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</si>
  <si>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</si>
  <si>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</si>
  <si>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</si>
  <si>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</si>
  <si>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</si>
  <si>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</si>
  <si>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</si>
  <si>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</si>
  <si>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</si>
  <si>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</si>
  <si>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</si>
  <si>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</si>
  <si>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</si>
  <si>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</si>
  <si>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</si>
  <si>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</si>
  <si>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</si>
  <si>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</si>
  <si>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</si>
  <si>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</si>
  <si>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</si>
  <si>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</si>
  <si>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</si>
  <si>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</si>
  <si>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</si>
  <si>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</si>
  <si>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</si>
  <si>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</si>
  <si>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</si>
  <si>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</si>
  <si>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</si>
  <si>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</si>
  <si>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</si>
  <si>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</si>
  <si>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</si>
  <si>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</si>
  <si>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</si>
  <si>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</si>
  <si>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</si>
  <si>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</si>
  <si>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</si>
  <si>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</si>
  <si>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</si>
  <si>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</si>
  <si>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</si>
  <si>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</si>
  <si>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</si>
  <si>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</si>
  <si>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</si>
  <si>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</si>
  <si>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</si>
  <si>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</si>
  <si>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</si>
  <si>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</si>
  <si>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</si>
  <si>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</si>
  <si>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</si>
  <si>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</si>
  <si>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</si>
  <si>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</si>
  <si>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</si>
  <si>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</si>
  <si>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</si>
  <si>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</si>
  <si>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</si>
  <si>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</si>
  <si>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</si>
  <si>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</si>
  <si>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</si>
  <si>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</si>
  <si>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</si>
  <si>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</si>
  <si>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</si>
  <si>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</si>
  <si>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</si>
  <si>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</si>
  <si>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</si>
  <si>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</si>
  <si>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</si>
  <si>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</si>
  <si>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</si>
  <si>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</si>
  <si>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</si>
  <si>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</si>
  <si>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</si>
  <si>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</si>
  <si>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</si>
  <si>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</si>
  <si>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</si>
  <si>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</si>
  <si>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</si>
  <si>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</si>
  <si>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</si>
  <si>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</si>
  <si>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</si>
  <si>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</si>
  <si>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</si>
  <si>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</si>
  <si>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</si>
  <si>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</si>
  <si>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</si>
  <si>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</si>
  <si>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</si>
  <si>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</si>
  <si>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</si>
  <si>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</si>
  <si>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</si>
  <si>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</si>
  <si>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</si>
  <si>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</si>
  <si>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</si>
  <si>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</si>
  <si>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</si>
  <si>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</si>
  <si>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</si>
  <si>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</si>
  <si>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</si>
  <si>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</si>
  <si>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</si>
  <si>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</si>
  <si>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</si>
  <si>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</si>
  <si>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</si>
  <si>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</si>
  <si>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</si>
  <si>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</si>
  <si>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</si>
  <si>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</si>
  <si>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</si>
  <si>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</si>
  <si>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</si>
  <si>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</si>
  <si>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</si>
  <si>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</si>
  <si>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</si>
  <si>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</si>
  <si>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</si>
  <si>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</si>
  <si>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</si>
  <si>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</si>
  <si>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</si>
  <si>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</si>
  <si>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</si>
  <si>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</si>
  <si>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</si>
  <si>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</si>
  <si>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</si>
  <si>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</si>
  <si>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</si>
  <si>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</si>
  <si>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</si>
  <si>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</si>
  <si>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</si>
  <si>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</si>
  <si>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</si>
  <si>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</si>
  <si>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</si>
  <si>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</si>
  <si>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</si>
  <si>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</si>
  <si>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</si>
  <si>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</si>
  <si>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</si>
  <si>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</si>
  <si>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</si>
  <si>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</si>
  <si>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</si>
  <si>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</si>
  <si>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</si>
  <si>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</si>
  <si>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</si>
  <si>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</si>
  <si>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</si>
  <si>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</si>
  <si>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</si>
  <si>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</si>
  <si>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</si>
  <si>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</si>
  <si>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</si>
  <si>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</si>
  <si>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</si>
  <si>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</si>
  <si>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</si>
  <si>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</si>
  <si>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</si>
  <si>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</si>
  <si>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</si>
  <si>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</si>
  <si>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</si>
  <si>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</si>
  <si>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</si>
  <si>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</si>
  <si>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</si>
  <si>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</si>
  <si>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</si>
  <si>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</si>
  <si>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</si>
  <si>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</si>
  <si>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</si>
  <si>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</si>
  <si>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</si>
  <si>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</si>
  <si>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</si>
  <si>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</si>
  <si>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</si>
  <si>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</si>
  <si>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</si>
  <si>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</si>
  <si>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</si>
  <si>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</si>
  <si>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</si>
  <si>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</si>
  <si>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</si>
  <si>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</si>
  <si>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</si>
  <si>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</si>
  <si>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</si>
  <si>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</si>
  <si>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</si>
  <si>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</si>
  <si>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</si>
  <si>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</si>
  <si>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</si>
  <si>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</si>
  <si>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</si>
  <si>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</si>
  <si>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</si>
  <si>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</si>
  <si>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</si>
  <si>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</si>
  <si>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</si>
  <si>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</si>
  <si>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</si>
  <si>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</si>
  <si>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</si>
  <si>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</si>
  <si>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</si>
  <si>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</si>
  <si>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</si>
  <si>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</si>
  <si>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</si>
  <si>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</si>
  <si>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</si>
  <si>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</si>
  <si>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</si>
  <si>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</si>
  <si>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</si>
  <si>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</si>
  <si>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</si>
  <si>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</si>
  <si>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</si>
  <si>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</si>
  <si>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</si>
  <si>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</si>
  <si>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</si>
  <si>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</si>
  <si>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</si>
  <si>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</si>
  <si>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</si>
  <si>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</si>
  <si>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</si>
  <si>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</si>
  <si>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</si>
  <si>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</si>
  <si>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</si>
  <si>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</si>
  <si>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</si>
  <si>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</si>
  <si>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</si>
  <si>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</si>
  <si>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</si>
  <si>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</si>
  <si>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</si>
  <si>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</si>
  <si>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</si>
  <si>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</si>
  <si>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</si>
  <si>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</si>
  <si>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</si>
  <si>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</si>
  <si>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</si>
  <si>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</si>
  <si>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</si>
  <si>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</si>
  <si>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</si>
  <si>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</si>
  <si>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</si>
  <si>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</si>
  <si>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</si>
  <si>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</si>
  <si>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</si>
  <si>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</si>
  <si>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</si>
  <si>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</si>
  <si>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</si>
  <si>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</si>
  <si>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</si>
  <si>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</si>
  <si>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</si>
  <si>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</si>
  <si>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</si>
  <si>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</si>
  <si>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</si>
  <si>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</si>
  <si>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</si>
  <si>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</si>
  <si>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</si>
  <si>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</si>
  <si>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</si>
  <si>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</si>
  <si>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</si>
  <si>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</si>
  <si>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</si>
  <si>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</si>
  <si>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</si>
  <si>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</si>
  <si>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</si>
  <si>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</si>
  <si>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</si>
  <si>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</si>
  <si>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</si>
  <si>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</si>
  <si>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</si>
  <si>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</si>
  <si>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</si>
  <si>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</si>
  <si>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</si>
  <si>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</si>
  <si>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</si>
  <si>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</si>
  <si>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</si>
  <si>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</si>
  <si>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</si>
  <si>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</si>
  <si>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</si>
  <si>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</si>
  <si>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</si>
  <si>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</si>
  <si>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</si>
  <si>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</si>
  <si>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</si>
  <si>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</si>
  <si>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</si>
  <si>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</si>
  <si>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</si>
  <si>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</si>
  <si>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</si>
  <si>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</si>
  <si>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</si>
  <si>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</si>
  <si>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</si>
  <si>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</si>
  <si>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</si>
  <si>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</si>
  <si>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</si>
  <si>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</si>
  <si>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</si>
  <si>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</si>
  <si>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</si>
  <si>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</si>
  <si>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</si>
  <si>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</si>
  <si>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</si>
  <si>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</si>
  <si>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</si>
  <si>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</si>
  <si>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</si>
  <si>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</si>
  <si>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</si>
  <si>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</si>
  <si>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</si>
  <si>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</si>
  <si>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</si>
  <si>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</si>
  <si>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</si>
  <si>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</si>
  <si>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</si>
  <si>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</si>
  <si>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</si>
  <si>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</si>
  <si>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</si>
  <si>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</si>
  <si>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</si>
  <si>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</si>
  <si>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</si>
  <si>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</si>
  <si>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</si>
  <si>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</si>
  <si>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</si>
  <si>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</si>
  <si>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</si>
  <si>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</si>
  <si>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</si>
  <si>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</si>
  <si>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</si>
  <si>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</si>
  <si>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</si>
  <si>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</si>
  <si>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</si>
  <si>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</si>
  <si>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</si>
  <si>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</si>
  <si>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</si>
  <si>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</si>
  <si>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</si>
  <si>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</si>
  <si>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</si>
  <si>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</si>
  <si>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</si>
  <si>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</si>
  <si>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</si>
  <si>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</si>
  <si>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</si>
  <si>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</si>
  <si>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</si>
  <si>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</si>
  <si>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</si>
  <si>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</si>
  <si>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</si>
  <si>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</si>
  <si>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</si>
  <si>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</si>
  <si>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</si>
  <si>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</si>
  <si>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</si>
  <si>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</si>
  <si>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</si>
  <si>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</si>
  <si>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</si>
  <si>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</si>
  <si>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</si>
  <si>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</si>
  <si>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</si>
  <si>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</si>
  <si>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</si>
  <si>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</si>
  <si>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</si>
  <si>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</si>
  <si>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</si>
  <si>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</si>
  <si>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</si>
  <si>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</si>
  <si>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</si>
  <si>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</si>
  <si>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</si>
  <si>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</si>
  <si>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</si>
  <si>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</si>
  <si>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</si>
  <si>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</si>
  <si>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</si>
  <si>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</si>
  <si>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</si>
  <si>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</si>
  <si>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</si>
  <si>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</si>
  <si>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</si>
  <si>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</si>
  <si>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</si>
  <si>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</si>
  <si>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</si>
  <si>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</si>
  <si>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</si>
  <si>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</si>
  <si>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</si>
  <si>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</si>
  <si>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</si>
  <si>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</si>
  <si>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</si>
  <si>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</si>
  <si>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</si>
  <si>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</si>
  <si>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</si>
  <si>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</si>
  <si>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</si>
  <si>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</si>
  <si>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</si>
  <si>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</si>
  <si>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</si>
  <si>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</si>
  <si>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</si>
  <si>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</si>
  <si>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</si>
  <si>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</si>
  <si>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</si>
  <si>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</si>
  <si>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</si>
  <si>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</si>
  <si>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</si>
  <si>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</si>
  <si>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</si>
  <si>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</si>
  <si>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</si>
  <si>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</si>
  <si>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</si>
  <si>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</si>
  <si>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</si>
  <si>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</si>
  <si>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</si>
  <si>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</si>
  <si>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</si>
  <si>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</si>
  <si>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</si>
  <si>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</si>
  <si>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</si>
  <si>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</si>
  <si>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</si>
  <si>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</si>
  <si>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</si>
  <si>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</si>
  <si>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</si>
  <si>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</si>
  <si>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</si>
  <si>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</si>
  <si>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</si>
  <si>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</si>
  <si>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</si>
  <si>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</si>
  <si>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</si>
  <si>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</si>
  <si>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</si>
  <si>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</si>
  <si>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</si>
  <si>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</si>
  <si>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</si>
  <si>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</si>
  <si>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</si>
  <si>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</si>
  <si>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</si>
  <si>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</si>
  <si>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</si>
  <si>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</si>
  <si>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</si>
  <si>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</si>
  <si>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</si>
  <si>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</si>
  <si>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</si>
  <si>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</si>
  <si>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</si>
  <si>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</si>
  <si>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</si>
  <si>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</si>
  <si>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</si>
  <si>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</si>
  <si>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</si>
  <si>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</si>
  <si>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</si>
  <si>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</si>
  <si>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</si>
  <si>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</si>
  <si>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</si>
  <si>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</si>
  <si>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</si>
  <si>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</si>
  <si>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</si>
  <si>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</si>
  <si>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</si>
  <si>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</si>
  <si>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</si>
  <si>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</si>
  <si>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</si>
  <si>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</si>
  <si>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</si>
  <si>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</si>
  <si>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</si>
  <si>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</si>
  <si>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</si>
  <si>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</si>
  <si>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</si>
  <si>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</si>
  <si>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</si>
  <si>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</si>
  <si>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</si>
  <si>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</si>
  <si>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</si>
  <si>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</si>
  <si>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</si>
  <si>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</si>
  <si>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</si>
  <si>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</si>
  <si>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</si>
  <si>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</si>
  <si>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</si>
  <si>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</si>
  <si>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</si>
  <si>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</si>
  <si>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</si>
  <si>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</si>
  <si>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</si>
  <si>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</si>
  <si>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</si>
  <si>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</si>
  <si>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</si>
  <si>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</si>
  <si>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</si>
  <si>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</si>
  <si>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</si>
  <si>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</si>
  <si>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</si>
  <si>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</si>
  <si>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</si>
  <si>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</si>
  <si>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</si>
  <si>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</si>
  <si>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</si>
  <si>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</si>
  <si>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</si>
  <si>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</si>
  <si>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</si>
  <si>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</si>
  <si>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</si>
  <si>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</si>
  <si>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</si>
  <si>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</si>
  <si>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</si>
  <si>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</si>
  <si>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</si>
  <si>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</si>
  <si>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</si>
  <si>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</si>
  <si>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</si>
  <si>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</si>
  <si>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</si>
  <si>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</si>
  <si>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</si>
  <si>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</si>
  <si>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</si>
  <si>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</si>
  <si>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</si>
  <si>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</si>
  <si>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</si>
  <si>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</si>
  <si>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</si>
  <si>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</si>
  <si>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</si>
  <si>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</si>
  <si>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</si>
  <si>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</si>
  <si>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</si>
  <si>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</si>
  <si>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</si>
  <si>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</si>
  <si>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</si>
  <si>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</si>
  <si>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</si>
  <si>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</si>
  <si>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</si>
  <si>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</si>
  <si>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</si>
  <si>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</si>
  <si>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</si>
  <si>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</si>
  <si>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</si>
  <si>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</si>
  <si>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</si>
  <si>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</si>
  <si>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</si>
  <si>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</si>
  <si>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</si>
  <si>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Successful</t>
  </si>
  <si>
    <t>Median</t>
  </si>
  <si>
    <t>Minimum</t>
  </si>
  <si>
    <t>Maximum</t>
  </si>
  <si>
    <t>Variance</t>
  </si>
  <si>
    <t>Standard Deviation</t>
  </si>
  <si>
    <t>Failed</t>
  </si>
  <si>
    <t>Q3</t>
  </si>
  <si>
    <t>Q1</t>
  </si>
  <si>
    <t>IQR</t>
  </si>
  <si>
    <t>Q1 - (1.5 * IQR) Boundary</t>
  </si>
  <si>
    <t>Q3 + (1.5 * IQR) Boundary</t>
  </si>
  <si>
    <t>High outliers (Count)</t>
  </si>
  <si>
    <t>Total Count</t>
  </si>
  <si>
    <t>Count of Canceled</t>
  </si>
  <si>
    <t>Count of Successful</t>
  </si>
  <si>
    <t>Count of Failed</t>
  </si>
  <si>
    <t>Total</t>
  </si>
  <si>
    <t>Percentage of Success</t>
  </si>
  <si>
    <t>Total Backers for Successful Projects</t>
  </si>
  <si>
    <t>Goals for Successful Projects</t>
  </si>
  <si>
    <t>Average Count of Backers</t>
  </si>
  <si>
    <t>Average Goal</t>
  </si>
  <si>
    <t>Count of Staff Picks</t>
  </si>
  <si>
    <t>Count of Spotlights</t>
  </si>
  <si>
    <r>
      <rPr>
        <b/>
        <sz val="12"/>
        <color theme="1"/>
        <rFont val="Calibri"/>
        <family val="2"/>
        <scheme val="minor"/>
      </rPr>
      <t>Mean</t>
    </r>
    <r>
      <rPr>
        <sz val="12"/>
        <color theme="1"/>
        <rFont val="Calibri"/>
        <family val="2"/>
        <scheme val="minor"/>
      </rPr>
      <t xml:space="preserve"> summarizes the data better than Median. Looking into Box and Whisker plot makes this clear.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</si>
</sst>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d\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/>
    <xf numFmtId="0" fontId="16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5B9BD5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A9D08F"/>
        </patternFill>
      </fill>
    </dxf>
  </dxfs>
  <tableStyles count="0" defaultTableStyle="TableStyleMedium2" defaultPivotStyle="PivotStyleLight16"/>
  <colors>
    <mruColors>
      <color rgb="FFFF9799"/>
      <color rgb="FFA9D08F"/>
      <color rgb="FF264478"/>
      <color rgb="FFFFC000"/>
      <color rgb="FF5B9BD5"/>
      <color rgb="FF0070C0"/>
      <color rgb="FFFA6A6B"/>
      <color rgb="FFFFDA66"/>
      <color rgb="FFC00000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E9A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23F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E4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5-B64E-B627-665D58A2E10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2E9AE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5-B64E-B627-665D58A2E10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23F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5-B64E-B627-665D58A2E10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E4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5-B64E-B627-665D58A2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193183"/>
        <c:axId val="1707616672"/>
      </c:barChart>
      <c:catAx>
        <c:axId val="190119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16672"/>
        <c:crosses val="autoZero"/>
        <c:auto val="1"/>
        <c:lblAlgn val="ctr"/>
        <c:lblOffset val="100"/>
        <c:noMultiLvlLbl val="0"/>
      </c:catAx>
      <c:valAx>
        <c:axId val="17076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9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C9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Sheet2!$A$6:$A$12</c:f>
              <c:strCache>
                <c:ptCount val="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science fiction</c:v>
                </c:pt>
                <c:pt idx="4">
                  <c:v>shorts</c:v>
                </c:pt>
                <c:pt idx="5">
                  <c:v>television</c:v>
                </c:pt>
              </c:strCache>
            </c:strRef>
          </c:cat>
          <c:val>
            <c:numRef>
              <c:f>Sheet2!$B$6:$B$12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C-6243-A6CB-840F95D9311E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Sheet2!$A$6:$A$12</c:f>
              <c:strCache>
                <c:ptCount val="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science fiction</c:v>
                </c:pt>
                <c:pt idx="4">
                  <c:v>shorts</c:v>
                </c:pt>
                <c:pt idx="5">
                  <c:v>television</c:v>
                </c:pt>
              </c:strCache>
            </c:strRef>
          </c:cat>
          <c:val>
            <c:numRef>
              <c:f>Sheet2!$C$6:$C$12</c:f>
              <c:numCache>
                <c:formatCode>General</c:formatCode>
                <c:ptCount val="6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98-214B-849E-AA8A7C94FB45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Sheet2!$A$6:$A$12</c:f>
              <c:strCache>
                <c:ptCount val="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science fiction</c:v>
                </c:pt>
                <c:pt idx="4">
                  <c:v>shorts</c:v>
                </c:pt>
                <c:pt idx="5">
                  <c:v>television</c:v>
                </c:pt>
              </c:strCache>
            </c:strRef>
          </c:cat>
          <c:val>
            <c:numRef>
              <c:f>Sheet2!$D$6:$D$12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98-214B-849E-AA8A7C94FB45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C9BD5"/>
            </a:solidFill>
            <a:ln>
              <a:noFill/>
            </a:ln>
            <a:effectLst/>
          </c:spPr>
          <c:invertIfNegative val="0"/>
          <c:cat>
            <c:strRef>
              <c:f>Sheet2!$A$6:$A$12</c:f>
              <c:strCache>
                <c:ptCount val="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science fiction</c:v>
                </c:pt>
                <c:pt idx="4">
                  <c:v>shorts</c:v>
                </c:pt>
                <c:pt idx="5">
                  <c:v>television</c:v>
                </c:pt>
              </c:strCache>
            </c:strRef>
          </c:cat>
          <c:val>
            <c:numRef>
              <c:f>Sheet2!$E$6:$E$12</c:f>
              <c:numCache>
                <c:formatCode>General</c:formatCode>
                <c:ptCount val="6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98-214B-849E-AA8A7C94F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857887"/>
        <c:axId val="1782455295"/>
      </c:barChart>
      <c:catAx>
        <c:axId val="19018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55295"/>
        <c:crosses val="autoZero"/>
        <c:auto val="1"/>
        <c:lblAlgn val="ctr"/>
        <c:lblOffset val="100"/>
        <c:noMultiLvlLbl val="0"/>
      </c:catAx>
      <c:valAx>
        <c:axId val="178245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DA66"/>
            </a:solidFill>
            <a:round/>
          </a:ln>
          <a:effectLst/>
        </c:spPr>
        <c:marker>
          <c:symbol val="circle"/>
          <c:size val="5"/>
          <c:spPr>
            <a:solidFill>
              <a:srgbClr val="FFDA66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A6A6B"/>
            </a:solidFill>
            <a:round/>
          </a:ln>
          <a:effectLst/>
        </c:spPr>
        <c:marker>
          <c:symbol val="circle"/>
          <c:size val="5"/>
          <c:spPr>
            <a:solidFill>
              <a:srgbClr val="FA6A6B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A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A6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3-AC4C-AD00-799EEE91F93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A6A6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6A6B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3-AC4C-AD00-799EEE91F93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3-AC4C-AD00-799EEE91F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28736"/>
        <c:axId val="2029216575"/>
      </c:lineChart>
      <c:catAx>
        <c:axId val="1476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16575"/>
        <c:crosses val="autoZero"/>
        <c:auto val="1"/>
        <c:lblAlgn val="ctr"/>
        <c:lblOffset val="100"/>
        <c:noMultiLvlLbl val="0"/>
      </c:catAx>
      <c:valAx>
        <c:axId val="20292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2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5B9BD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CEE-B64C-B072-5DBF3A4B4BD7}"/>
              </c:ext>
            </c:extLst>
          </c:dPt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EE-B64C-B072-5DBF3A4B4BD7}"/>
            </c:ext>
          </c:extLst>
        </c:ser>
        <c:ser>
          <c:idx val="5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EE-B64C-B072-5DBF3A4B4BD7}"/>
            </c:ext>
          </c:extLst>
        </c:ser>
        <c:ser>
          <c:idx val="6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264478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EE-B64C-B072-5DBF3A4B4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432544"/>
        <c:axId val="1864455792"/>
      </c:lineChart>
      <c:catAx>
        <c:axId val="7024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55792"/>
        <c:crosses val="autoZero"/>
        <c:auto val="1"/>
        <c:lblAlgn val="ctr"/>
        <c:lblOffset val="100"/>
        <c:noMultiLvlLbl val="0"/>
      </c:catAx>
      <c:valAx>
        <c:axId val="18644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Sheet6!$F$1</c:f>
              <c:strCache>
                <c:ptCount val="1"/>
                <c:pt idx="0">
                  <c:v>Percentage of Success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Sheet6!$A$2:$A$10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publishing</c:v>
                </c:pt>
                <c:pt idx="6">
                  <c:v>games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Sheet6!$F$2:$F$10</c:f>
              <c:numCache>
                <c:formatCode>0%</c:formatCode>
                <c:ptCount val="9"/>
                <c:pt idx="0">
                  <c:v>0.47826086956521741</c:v>
                </c:pt>
                <c:pt idx="1">
                  <c:v>0.56571428571428573</c:v>
                </c:pt>
                <c:pt idx="2">
                  <c:v>0.68085106382978722</c:v>
                </c:pt>
                <c:pt idx="3">
                  <c:v>0.54678362573099415</c:v>
                </c:pt>
                <c:pt idx="4">
                  <c:v>0.58959537572254339</c:v>
                </c:pt>
                <c:pt idx="5">
                  <c:v>0.60606060606060608</c:v>
                </c:pt>
                <c:pt idx="6">
                  <c:v>0.46666666666666667</c:v>
                </c:pt>
                <c:pt idx="7">
                  <c:v>0.63414634146341464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19-B742-9517-111E76EBE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Sheet6!$B$1</c:f>
              <c:strCache>
                <c:ptCount val="1"/>
                <c:pt idx="0">
                  <c:v>Count of Successful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Sheet6!$A$2:$A$10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publishing</c:v>
                </c:pt>
                <c:pt idx="6">
                  <c:v>games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Sheet6!$B$2:$B$10</c:f>
              <c:numCache>
                <c:formatCode>General</c:formatCode>
                <c:ptCount val="9"/>
                <c:pt idx="0">
                  <c:v>22</c:v>
                </c:pt>
                <c:pt idx="1">
                  <c:v>99</c:v>
                </c:pt>
                <c:pt idx="2">
                  <c:v>64</c:v>
                </c:pt>
                <c:pt idx="3">
                  <c:v>187</c:v>
                </c:pt>
                <c:pt idx="4">
                  <c:v>102</c:v>
                </c:pt>
                <c:pt idx="5">
                  <c:v>40</c:v>
                </c:pt>
                <c:pt idx="6">
                  <c:v>21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8-AB41-B414-69F594219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2ABBECE7-4475-974B-B2CF-0B7C791FF40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ACD8C3BB-EFB0-034B-9FEF-CAB7F825D19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2</xdr:row>
      <xdr:rowOff>63500</xdr:rowOff>
    </xdr:from>
    <xdr:to>
      <xdr:col>16</xdr:col>
      <xdr:colOff>372532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24672-1004-F162-38B8-B5C9BE484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2</xdr:row>
      <xdr:rowOff>99060</xdr:rowOff>
    </xdr:from>
    <xdr:to>
      <xdr:col>17</xdr:col>
      <xdr:colOff>563032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CC8E-DA7E-1CC2-8729-348EEAF23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63499</xdr:colOff>
      <xdr:row>1</xdr:row>
      <xdr:rowOff>63500</xdr:rowOff>
    </xdr:from>
    <xdr:to>
      <xdr:col>16</xdr:col>
      <xdr:colOff>232832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5DF85-888E-CB80-8D8C-871A1F3F2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237068</xdr:colOff>
      <xdr:row>13</xdr:row>
      <xdr:rowOff>165100</xdr:rowOff>
    </xdr:from>
    <xdr:to>
      <xdr:col>14</xdr:col>
      <xdr:colOff>228600</xdr:colOff>
      <xdr:row>38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AFCB2F-14DF-765A-FD06-BF476CD1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9</xdr:col>
      <xdr:colOff>1206500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96DCDC8-8B1E-0840-A78B-DE148E33F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0" y="3251200"/>
              <a:ext cx="4673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16</xdr:row>
      <xdr:rowOff>0</xdr:rowOff>
    </xdr:from>
    <xdr:to>
      <xdr:col>15</xdr:col>
      <xdr:colOff>342900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BABFFE4-294F-9046-857B-6B7730CF40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88600" y="325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1009650</xdr:colOff>
      <xdr:row>12</xdr:row>
      <xdr:rowOff>6350</xdr:rowOff>
    </xdr:from>
    <xdr:to>
      <xdr:col>9</xdr:col>
      <xdr:colOff>6350</xdr:colOff>
      <xdr:row>25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25D97C-6B85-5E3C-4987-899E59A9B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</xdr:colOff>
      <xdr:row>12</xdr:row>
      <xdr:rowOff>6350</xdr:rowOff>
    </xdr:from>
    <xdr:to>
      <xdr:col>6</xdr:col>
      <xdr:colOff>31750</xdr:colOff>
      <xdr:row>25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5A27CF-9E8C-E9B0-07F1-350BCAFE4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28.680328009257" createdVersion="8" refreshedVersion="8" minRefreshableVersion="3" recordCount="1000" xr:uid="{332DB61F-2DCE-1D46-8FEC-E7DB3EB8511D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5CAB9-4992-8A4D-AA21-704F9120D72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7421E-B487-BA42-BBAB-11A544E1E8F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2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multipleItemSelectionAllowed="1" showAll="0">
      <items count="10">
        <item x="4"/>
        <item h="1" x="0"/>
        <item h="1" x="6"/>
        <item h="1" x="8"/>
        <item h="1" x="1"/>
        <item h="1" x="7"/>
        <item h="1" x="5"/>
        <item h="1" x="2"/>
        <item h="1"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7">
    <i>
      <x/>
    </i>
    <i>
      <x v="2"/>
    </i>
    <i>
      <x v="3"/>
    </i>
    <i>
      <x v="16"/>
    </i>
    <i>
      <x v="17"/>
    </i>
    <i>
      <x v="1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6E6A0-1F80-1E4C-BE18-0D3A5DA322B5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1.8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s="4">
        <f t="shared" ref="N2:N65" si="0">DATE(1970,1,1)+(L2/86400)</f>
        <v>42336.25</v>
      </c>
      <c r="O2" s="4">
        <f t="shared" ref="O2:O65" si="1">DATE(1970,1,1)+(M2/86400)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2">ROUND((E3/D3)*100,0)</f>
        <v>1040</v>
      </c>
      <c r="G3" t="s">
        <v>20</v>
      </c>
      <c r="H3">
        <v>158</v>
      </c>
      <c r="I3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 t="shared" si="0"/>
        <v>41870.208333333336</v>
      </c>
      <c r="O3" s="4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2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 t="shared" si="0"/>
        <v>41595.25</v>
      </c>
      <c r="O4" s="4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 t="shared" si="0"/>
        <v>43688.208333333328</v>
      </c>
      <c r="O5" s="4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 t="shared" si="0"/>
        <v>43485.25</v>
      </c>
      <c r="O6" s="4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 t="shared" si="0"/>
        <v>41149.208333333336</v>
      </c>
      <c r="O7" s="4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 t="shared" si="0"/>
        <v>42991.208333333328</v>
      </c>
      <c r="O8" s="4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 t="shared" si="0"/>
        <v>42229.208333333328</v>
      </c>
      <c r="O9" s="4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0"/>
        <v>40399.208333333336</v>
      </c>
      <c r="O10" s="4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0"/>
        <v>41536.208333333336</v>
      </c>
      <c r="O11" s="4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0"/>
        <v>40404.208333333336</v>
      </c>
      <c r="O12" s="4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0"/>
        <v>40442.208333333336</v>
      </c>
      <c r="O13" s="4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0"/>
        <v>43760.208333333328</v>
      </c>
      <c r="O14" s="4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0"/>
        <v>42532.208333333328</v>
      </c>
      <c r="O15" s="4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0"/>
        <v>40974.25</v>
      </c>
      <c r="O16" s="4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0"/>
        <v>43809.25</v>
      </c>
      <c r="O17" s="4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0"/>
        <v>41661.25</v>
      </c>
      <c r="O18" s="4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0"/>
        <v>40555.25</v>
      </c>
      <c r="O19" s="4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0"/>
        <v>43351.208333333328</v>
      </c>
      <c r="O20" s="4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0"/>
        <v>43528.25</v>
      </c>
      <c r="O21" s="4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0"/>
        <v>41848.208333333336</v>
      </c>
      <c r="O22" s="4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0"/>
        <v>40770.208333333336</v>
      </c>
      <c r="O23" s="4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0"/>
        <v>43193.208333333328</v>
      </c>
      <c r="O24" s="4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0"/>
        <v>43510.25</v>
      </c>
      <c r="O25" s="4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0"/>
        <v>41811.208333333336</v>
      </c>
      <c r="O26" s="4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0"/>
        <v>40681.208333333336</v>
      </c>
      <c r="O27" s="4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0"/>
        <v>43312.208333333328</v>
      </c>
      <c r="O28" s="4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0"/>
        <v>42280.208333333328</v>
      </c>
      <c r="O29" s="4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0"/>
        <v>40218.25</v>
      </c>
      <c r="O30" s="4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0"/>
        <v>43301.208333333328</v>
      </c>
      <c r="O31" s="4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0"/>
        <v>43609.208333333328</v>
      </c>
      <c r="O32" s="4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0"/>
        <v>42374.25</v>
      </c>
      <c r="O33" s="4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0"/>
        <v>43110.25</v>
      </c>
      <c r="O34" s="4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0"/>
        <v>41917.208333333336</v>
      </c>
      <c r="O35" s="4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0"/>
        <v>42817.208333333328</v>
      </c>
      <c r="O36" s="4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0"/>
        <v>43484.25</v>
      </c>
      <c r="O37" s="4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0"/>
        <v>40600.25</v>
      </c>
      <c r="O38" s="4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0"/>
        <v>43744.208333333328</v>
      </c>
      <c r="O39" s="4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0"/>
        <v>40469.208333333336</v>
      </c>
      <c r="O40" s="4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0"/>
        <v>41330.25</v>
      </c>
      <c r="O41" s="4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0"/>
        <v>40334.208333333336</v>
      </c>
      <c r="O42" s="4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0"/>
        <v>41156.208333333336</v>
      </c>
      <c r="O43" s="4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0"/>
        <v>40728.208333333336</v>
      </c>
      <c r="O44" s="4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0"/>
        <v>41844.208333333336</v>
      </c>
      <c r="O45" s="4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0"/>
        <v>43541.208333333328</v>
      </c>
      <c r="O46" s="4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0"/>
        <v>42676.208333333328</v>
      </c>
      <c r="O47" s="4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0"/>
        <v>40367.208333333336</v>
      </c>
      <c r="O48" s="4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0"/>
        <v>41727.208333333336</v>
      </c>
      <c r="O49" s="4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0"/>
        <v>42180.208333333328</v>
      </c>
      <c r="O50" s="4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0"/>
        <v>43758.208333333328</v>
      </c>
      <c r="O51" s="4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0"/>
        <v>41487.208333333336</v>
      </c>
      <c r="O52" s="4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0"/>
        <v>40995.208333333336</v>
      </c>
      <c r="O53" s="4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0"/>
        <v>40436.208333333336</v>
      </c>
      <c r="O54" s="4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0"/>
        <v>41779.208333333336</v>
      </c>
      <c r="O55" s="4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0"/>
        <v>43170.25</v>
      </c>
      <c r="O56" s="4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0"/>
        <v>43311.208333333328</v>
      </c>
      <c r="O57" s="4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0"/>
        <v>42014.25</v>
      </c>
      <c r="O58" s="4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0"/>
        <v>42979.208333333328</v>
      </c>
      <c r="O59" s="4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0"/>
        <v>42268.208333333328</v>
      </c>
      <c r="O60" s="4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0"/>
        <v>42898.208333333328</v>
      </c>
      <c r="O61" s="4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0"/>
        <v>41107.208333333336</v>
      </c>
      <c r="O62" s="4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0"/>
        <v>40595.25</v>
      </c>
      <c r="O63" s="4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0"/>
        <v>42160.208333333328</v>
      </c>
      <c r="O64" s="4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0"/>
        <v>42853.208333333328</v>
      </c>
      <c r="O65" s="4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 t="shared" ref="N66:N129" si="4">DATE(1970,1,1)+(L66/86400)</f>
        <v>43283.208333333328</v>
      </c>
      <c r="O66" s="4">
        <f t="shared" ref="O66:O129" si="5">DATE(1970,1,1)+(M66/86400)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 t="shared" si="4"/>
        <v>40570.25</v>
      </c>
      <c r="O67" s="4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4"/>
        <v>42102.208333333328</v>
      </c>
      <c r="O68" s="4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4"/>
        <v>40203.25</v>
      </c>
      <c r="O69" s="4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4"/>
        <v>42943.208333333328</v>
      </c>
      <c r="O70" s="4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4"/>
        <v>40531.25</v>
      </c>
      <c r="O71" s="4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4"/>
        <v>40484.208333333336</v>
      </c>
      <c r="O72" s="4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4"/>
        <v>43799.25</v>
      </c>
      <c r="O73" s="4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4"/>
        <v>42186.208333333328</v>
      </c>
      <c r="O74" s="4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4"/>
        <v>42701.25</v>
      </c>
      <c r="O75" s="4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4"/>
        <v>42456.208333333328</v>
      </c>
      <c r="O76" s="4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4"/>
        <v>43296.208333333328</v>
      </c>
      <c r="O77" s="4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4"/>
        <v>42027.25</v>
      </c>
      <c r="O78" s="4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4"/>
        <v>40448.208333333336</v>
      </c>
      <c r="O79" s="4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4"/>
        <v>43206.208333333328</v>
      </c>
      <c r="O80" s="4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4"/>
        <v>43267.208333333328</v>
      </c>
      <c r="O81" s="4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4"/>
        <v>42976.208333333328</v>
      </c>
      <c r="O82" s="4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4"/>
        <v>43062.25</v>
      </c>
      <c r="O83" s="4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4"/>
        <v>43482.25</v>
      </c>
      <c r="O84" s="4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4"/>
        <v>42579.208333333328</v>
      </c>
      <c r="O85" s="4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4"/>
        <v>41118.208333333336</v>
      </c>
      <c r="O86" s="4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4"/>
        <v>40797.208333333336</v>
      </c>
      <c r="O87" s="4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4"/>
        <v>42128.208333333328</v>
      </c>
      <c r="O88" s="4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4"/>
        <v>40610.25</v>
      </c>
      <c r="O89" s="4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4"/>
        <v>42110.208333333328</v>
      </c>
      <c r="O90" s="4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4"/>
        <v>40283.208333333336</v>
      </c>
      <c r="O91" s="4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4"/>
        <v>42425.25</v>
      </c>
      <c r="O92" s="4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4"/>
        <v>42588.208333333328</v>
      </c>
      <c r="O93" s="4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4"/>
        <v>40352.208333333336</v>
      </c>
      <c r="O94" s="4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4"/>
        <v>41202.208333333336</v>
      </c>
      <c r="O95" s="4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4"/>
        <v>43562.208333333328</v>
      </c>
      <c r="O96" s="4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4"/>
        <v>43752.208333333328</v>
      </c>
      <c r="O97" s="4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4"/>
        <v>40612.25</v>
      </c>
      <c r="O98" s="4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4"/>
        <v>42180.208333333328</v>
      </c>
      <c r="O99" s="4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4"/>
        <v>42212.208333333328</v>
      </c>
      <c r="O100" s="4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4"/>
        <v>41968.25</v>
      </c>
      <c r="O101" s="4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4"/>
        <v>40835.208333333336</v>
      </c>
      <c r="O102" s="4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4"/>
        <v>42056.25</v>
      </c>
      <c r="O103" s="4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4"/>
        <v>43234.208333333328</v>
      </c>
      <c r="O104" s="4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4"/>
        <v>40475.208333333336</v>
      </c>
      <c r="O105" s="4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4"/>
        <v>42878.208333333328</v>
      </c>
      <c r="O106" s="4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4"/>
        <v>41366.208333333336</v>
      </c>
      <c r="O107" s="4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4"/>
        <v>43716.208333333328</v>
      </c>
      <c r="O108" s="4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4"/>
        <v>43213.208333333328</v>
      </c>
      <c r="O109" s="4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4"/>
        <v>41005.208333333336</v>
      </c>
      <c r="O110" s="4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4"/>
        <v>41651.25</v>
      </c>
      <c r="O111" s="4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4"/>
        <v>43354.208333333328</v>
      </c>
      <c r="O112" s="4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4"/>
        <v>41174.208333333336</v>
      </c>
      <c r="O113" s="4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4"/>
        <v>41875.208333333336</v>
      </c>
      <c r="O114" s="4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4"/>
        <v>42990.208333333328</v>
      </c>
      <c r="O115" s="4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4"/>
        <v>43564.208333333328</v>
      </c>
      <c r="O116" s="4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4"/>
        <v>43056.25</v>
      </c>
      <c r="O117" s="4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4"/>
        <v>42265.208333333328</v>
      </c>
      <c r="O118" s="4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4"/>
        <v>40808.208333333336</v>
      </c>
      <c r="O119" s="4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4"/>
        <v>41665.25</v>
      </c>
      <c r="O120" s="4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4"/>
        <v>41806.208333333336</v>
      </c>
      <c r="O121" s="4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4"/>
        <v>42111.208333333328</v>
      </c>
      <c r="O122" s="4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4"/>
        <v>41917.208333333336</v>
      </c>
      <c r="O123" s="4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4"/>
        <v>41970.25</v>
      </c>
      <c r="O124" s="4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4"/>
        <v>42332.25</v>
      </c>
      <c r="O125" s="4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4"/>
        <v>43598.208333333328</v>
      </c>
      <c r="O126" s="4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4"/>
        <v>43362.208333333328</v>
      </c>
      <c r="O127" s="4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4"/>
        <v>42596.208333333328</v>
      </c>
      <c r="O128" s="4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4"/>
        <v>40310.208333333336</v>
      </c>
      <c r="O129" s="4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ref="N130:N193" si="8">DATE(1970,1,1)+(L130/86400)</f>
        <v>40417.208333333336</v>
      </c>
      <c r="O130" s="4">
        <f t="shared" ref="O130:O193" si="9">DATE(1970,1,1)+(M130/86400)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0">ROUND((E131/D131)*100,0)</f>
        <v>3</v>
      </c>
      <c r="G131" t="s">
        <v>74</v>
      </c>
      <c r="H131">
        <v>55</v>
      </c>
      <c r="I13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si="8"/>
        <v>42038.25</v>
      </c>
      <c r="O131" s="4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8"/>
        <v>40842.208333333336</v>
      </c>
      <c r="O132" s="4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8"/>
        <v>41607.25</v>
      </c>
      <c r="O133" s="4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8"/>
        <v>43112.25</v>
      </c>
      <c r="O134" s="4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8"/>
        <v>40767.208333333336</v>
      </c>
      <c r="O135" s="4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8"/>
        <v>40713.208333333336</v>
      </c>
      <c r="O136" s="4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8"/>
        <v>41340.25</v>
      </c>
      <c r="O137" s="4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8"/>
        <v>41797.208333333336</v>
      </c>
      <c r="O138" s="4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8"/>
        <v>40457.208333333336</v>
      </c>
      <c r="O139" s="4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8"/>
        <v>41180.208333333336</v>
      </c>
      <c r="O140" s="4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8"/>
        <v>42115.208333333328</v>
      </c>
      <c r="O141" s="4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8"/>
        <v>43156.25</v>
      </c>
      <c r="O142" s="4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8"/>
        <v>42167.208333333328</v>
      </c>
      <c r="O143" s="4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8"/>
        <v>41005.208333333336</v>
      </c>
      <c r="O144" s="4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8"/>
        <v>40357.208333333336</v>
      </c>
      <c r="O145" s="4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8"/>
        <v>43633.208333333328</v>
      </c>
      <c r="O146" s="4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8"/>
        <v>41889.208333333336</v>
      </c>
      <c r="O147" s="4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8"/>
        <v>40855.25</v>
      </c>
      <c r="O148" s="4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8"/>
        <v>42534.208333333328</v>
      </c>
      <c r="O149" s="4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8"/>
        <v>42941.208333333328</v>
      </c>
      <c r="O150" s="4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8"/>
        <v>41275.25</v>
      </c>
      <c r="O151" s="4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8"/>
        <v>43450.25</v>
      </c>
      <c r="O152" s="4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8"/>
        <v>41799.208333333336</v>
      </c>
      <c r="O153" s="4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8"/>
        <v>42783.25</v>
      </c>
      <c r="O154" s="4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8"/>
        <v>41201.208333333336</v>
      </c>
      <c r="O155" s="4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8"/>
        <v>42502.208333333328</v>
      </c>
      <c r="O156" s="4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8"/>
        <v>40262.208333333336</v>
      </c>
      <c r="O157" s="4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8"/>
        <v>43743.208333333328</v>
      </c>
      <c r="O158" s="4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8"/>
        <v>41638.25</v>
      </c>
      <c r="O159" s="4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8"/>
        <v>42346.25</v>
      </c>
      <c r="O160" s="4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8"/>
        <v>43551.208333333328</v>
      </c>
      <c r="O161" s="4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8"/>
        <v>43582.208333333328</v>
      </c>
      <c r="O162" s="4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8"/>
        <v>42270.208333333328</v>
      </c>
      <c r="O163" s="4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8"/>
        <v>43442.25</v>
      </c>
      <c r="O164" s="4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8"/>
        <v>43028.208333333328</v>
      </c>
      <c r="O165" s="4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8"/>
        <v>43016.208333333328</v>
      </c>
      <c r="O166" s="4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8"/>
        <v>42948.208333333328</v>
      </c>
      <c r="O167" s="4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8"/>
        <v>40534.25</v>
      </c>
      <c r="O168" s="4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8"/>
        <v>41435.208333333336</v>
      </c>
      <c r="O169" s="4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8"/>
        <v>43518.25</v>
      </c>
      <c r="O170" s="4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8"/>
        <v>41077.208333333336</v>
      </c>
      <c r="O171" s="4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8"/>
        <v>42950.208333333328</v>
      </c>
      <c r="O172" s="4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8"/>
        <v>41718.208333333336</v>
      </c>
      <c r="O173" s="4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8"/>
        <v>41839.208333333336</v>
      </c>
      <c r="O174" s="4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8"/>
        <v>41412.208333333336</v>
      </c>
      <c r="O175" s="4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8"/>
        <v>42282.208333333328</v>
      </c>
      <c r="O176" s="4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8"/>
        <v>42613.208333333328</v>
      </c>
      <c r="O177" s="4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8"/>
        <v>42616.208333333328</v>
      </c>
      <c r="O178" s="4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8"/>
        <v>40497.25</v>
      </c>
      <c r="O179" s="4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8"/>
        <v>42999.208333333328</v>
      </c>
      <c r="O180" s="4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8"/>
        <v>41350.208333333336</v>
      </c>
      <c r="O181" s="4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8"/>
        <v>40259.208333333336</v>
      </c>
      <c r="O182" s="4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8"/>
        <v>43012.208333333328</v>
      </c>
      <c r="O183" s="4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8"/>
        <v>43631.208333333328</v>
      </c>
      <c r="O184" s="4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8"/>
        <v>40430.208333333336</v>
      </c>
      <c r="O185" s="4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8"/>
        <v>43588.208333333328</v>
      </c>
      <c r="O186" s="4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8"/>
        <v>43233.208333333328</v>
      </c>
      <c r="O187" s="4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8"/>
        <v>41782.208333333336</v>
      </c>
      <c r="O188" s="4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8"/>
        <v>41328.25</v>
      </c>
      <c r="O189" s="4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8"/>
        <v>41975.25</v>
      </c>
      <c r="O190" s="4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8"/>
        <v>42433.25</v>
      </c>
      <c r="O191" s="4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8"/>
        <v>41429.208333333336</v>
      </c>
      <c r="O192" s="4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8"/>
        <v>43536.208333333328</v>
      </c>
      <c r="O193" s="4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ref="N194:N257" si="12">DATE(1970,1,1)+(L194/86400)</f>
        <v>41817.208333333336</v>
      </c>
      <c r="O194" s="4">
        <f t="shared" ref="O194:O257" si="13">DATE(1970,1,1)+(M194/86400)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4">ROUND((E195/D195)*100,0)</f>
        <v>46</v>
      </c>
      <c r="G195" t="s">
        <v>14</v>
      </c>
      <c r="H195">
        <v>65</v>
      </c>
      <c r="I195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si="12"/>
        <v>43198.208333333328</v>
      </c>
      <c r="O195" s="4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4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2"/>
        <v>42261.208333333328</v>
      </c>
      <c r="O196" s="4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2"/>
        <v>43310.208333333328</v>
      </c>
      <c r="O197" s="4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2"/>
        <v>42616.208333333328</v>
      </c>
      <c r="O198" s="4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2"/>
        <v>42909.208333333328</v>
      </c>
      <c r="O199" s="4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2"/>
        <v>40396.208333333336</v>
      </c>
      <c r="O200" s="4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2"/>
        <v>42192.208333333328</v>
      </c>
      <c r="O201" s="4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2"/>
        <v>40262.208333333336</v>
      </c>
      <c r="O202" s="4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2"/>
        <v>41845.208333333336</v>
      </c>
      <c r="O203" s="4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2"/>
        <v>40818.208333333336</v>
      </c>
      <c r="O204" s="4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2"/>
        <v>42752.25</v>
      </c>
      <c r="O205" s="4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2"/>
        <v>40636.208333333336</v>
      </c>
      <c r="O206" s="4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2"/>
        <v>43390.208333333328</v>
      </c>
      <c r="O207" s="4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2"/>
        <v>40236.25</v>
      </c>
      <c r="O208" s="4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2"/>
        <v>43340.208333333328</v>
      </c>
      <c r="O209" s="4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2"/>
        <v>43048.25</v>
      </c>
      <c r="O210" s="4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2"/>
        <v>42496.208333333328</v>
      </c>
      <c r="O211" s="4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2"/>
        <v>42797.25</v>
      </c>
      <c r="O212" s="4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2"/>
        <v>41513.208333333336</v>
      </c>
      <c r="O213" s="4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2"/>
        <v>43814.25</v>
      </c>
      <c r="O214" s="4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2"/>
        <v>40488.208333333336</v>
      </c>
      <c r="O215" s="4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2"/>
        <v>40409.208333333336</v>
      </c>
      <c r="O216" s="4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2"/>
        <v>43509.25</v>
      </c>
      <c r="O217" s="4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2"/>
        <v>40869.25</v>
      </c>
      <c r="O218" s="4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2"/>
        <v>43583.208333333328</v>
      </c>
      <c r="O219" s="4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2"/>
        <v>40858.25</v>
      </c>
      <c r="O220" s="4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2"/>
        <v>41137.208333333336</v>
      </c>
      <c r="O221" s="4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2"/>
        <v>40725.208333333336</v>
      </c>
      <c r="O222" s="4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2"/>
        <v>41081.208333333336</v>
      </c>
      <c r="O223" s="4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2"/>
        <v>41914.208333333336</v>
      </c>
      <c r="O224" s="4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2"/>
        <v>42445.208333333328</v>
      </c>
      <c r="O225" s="4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2"/>
        <v>41906.208333333336</v>
      </c>
      <c r="O226" s="4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2"/>
        <v>41762.208333333336</v>
      </c>
      <c r="O227" s="4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2"/>
        <v>40276.208333333336</v>
      </c>
      <c r="O228" s="4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2"/>
        <v>42139.208333333328</v>
      </c>
      <c r="O229" s="4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2"/>
        <v>42613.208333333328</v>
      </c>
      <c r="O230" s="4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2"/>
        <v>42887.208333333328</v>
      </c>
      <c r="O231" s="4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2"/>
        <v>43805.25</v>
      </c>
      <c r="O232" s="4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2"/>
        <v>41415.208333333336</v>
      </c>
      <c r="O233" s="4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2"/>
        <v>42576.208333333328</v>
      </c>
      <c r="O234" s="4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2"/>
        <v>40706.208333333336</v>
      </c>
      <c r="O235" s="4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2"/>
        <v>42969.208333333328</v>
      </c>
      <c r="O236" s="4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2"/>
        <v>42779.25</v>
      </c>
      <c r="O237" s="4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2"/>
        <v>43641.208333333328</v>
      </c>
      <c r="O238" s="4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2"/>
        <v>41754.208333333336</v>
      </c>
      <c r="O239" s="4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2"/>
        <v>43083.25</v>
      </c>
      <c r="O240" s="4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2"/>
        <v>42245.208333333328</v>
      </c>
      <c r="O241" s="4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2"/>
        <v>40396.208333333336</v>
      </c>
      <c r="O242" s="4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2"/>
        <v>41742.208333333336</v>
      </c>
      <c r="O243" s="4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2"/>
        <v>42865.208333333328</v>
      </c>
      <c r="O244" s="4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2"/>
        <v>43163.25</v>
      </c>
      <c r="O245" s="4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2"/>
        <v>41834.208333333336</v>
      </c>
      <c r="O246" s="4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2"/>
        <v>41736.208333333336</v>
      </c>
      <c r="O247" s="4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2"/>
        <v>41491.208333333336</v>
      </c>
      <c r="O248" s="4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2"/>
        <v>42726.25</v>
      </c>
      <c r="O249" s="4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2"/>
        <v>42004.25</v>
      </c>
      <c r="O250" s="4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2"/>
        <v>42006.25</v>
      </c>
      <c r="O251" s="4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2"/>
        <v>40203.25</v>
      </c>
      <c r="O252" s="4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2"/>
        <v>41252.25</v>
      </c>
      <c r="O253" s="4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2"/>
        <v>41572.208333333336</v>
      </c>
      <c r="O254" s="4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2"/>
        <v>40641.208333333336</v>
      </c>
      <c r="O255" s="4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2"/>
        <v>42787.25</v>
      </c>
      <c r="O256" s="4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2"/>
        <v>40590.25</v>
      </c>
      <c r="O257" s="4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ref="N258:N321" si="16">DATE(1970,1,1)+(L258/86400)</f>
        <v>42393.25</v>
      </c>
      <c r="O258" s="4">
        <f t="shared" ref="O258:O321" si="17">DATE(1970,1,1)+(M258/86400)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8">ROUND((E259/D259)*100,0)</f>
        <v>146</v>
      </c>
      <c r="G259" t="s">
        <v>20</v>
      </c>
      <c r="H259">
        <v>92</v>
      </c>
      <c r="I259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si="16"/>
        <v>41338.25</v>
      </c>
      <c r="O259" s="4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8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6"/>
        <v>42712.25</v>
      </c>
      <c r="O260" s="4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6"/>
        <v>41251.25</v>
      </c>
      <c r="O261" s="4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6"/>
        <v>41180.208333333336</v>
      </c>
      <c r="O262" s="4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6"/>
        <v>40415.208333333336</v>
      </c>
      <c r="O263" s="4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6"/>
        <v>40638.208333333336</v>
      </c>
      <c r="O264" s="4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6"/>
        <v>40187.25</v>
      </c>
      <c r="O265" s="4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6"/>
        <v>41317.25</v>
      </c>
      <c r="O266" s="4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6"/>
        <v>42372.25</v>
      </c>
      <c r="O267" s="4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6"/>
        <v>41950.25</v>
      </c>
      <c r="O268" s="4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6"/>
        <v>41206.208333333336</v>
      </c>
      <c r="O269" s="4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6"/>
        <v>41186.208333333336</v>
      </c>
      <c r="O270" s="4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6"/>
        <v>43496.25</v>
      </c>
      <c r="O271" s="4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6"/>
        <v>40514.25</v>
      </c>
      <c r="O272" s="4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6"/>
        <v>42345.25</v>
      </c>
      <c r="O273" s="4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6"/>
        <v>43656.208333333328</v>
      </c>
      <c r="O274" s="4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6"/>
        <v>42995.208333333328</v>
      </c>
      <c r="O275" s="4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6"/>
        <v>43045.25</v>
      </c>
      <c r="O276" s="4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6"/>
        <v>43561.208333333328</v>
      </c>
      <c r="O277" s="4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6"/>
        <v>41018.208333333336</v>
      </c>
      <c r="O278" s="4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6"/>
        <v>40378.208333333336</v>
      </c>
      <c r="O279" s="4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6"/>
        <v>41239.25</v>
      </c>
      <c r="O280" s="4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6"/>
        <v>43346.208333333328</v>
      </c>
      <c r="O281" s="4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6"/>
        <v>43060.25</v>
      </c>
      <c r="O282" s="4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6"/>
        <v>40979.25</v>
      </c>
      <c r="O283" s="4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6"/>
        <v>42701.25</v>
      </c>
      <c r="O284" s="4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6"/>
        <v>42520.208333333328</v>
      </c>
      <c r="O285" s="4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6"/>
        <v>41030.208333333336</v>
      </c>
      <c r="O286" s="4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6"/>
        <v>42623.208333333328</v>
      </c>
      <c r="O287" s="4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6"/>
        <v>42697.25</v>
      </c>
      <c r="O288" s="4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6"/>
        <v>42122.208333333328</v>
      </c>
      <c r="O289" s="4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6"/>
        <v>40982.208333333336</v>
      </c>
      <c r="O290" s="4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6"/>
        <v>42219.208333333328</v>
      </c>
      <c r="O291" s="4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6"/>
        <v>41404.208333333336</v>
      </c>
      <c r="O292" s="4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6"/>
        <v>40831.208333333336</v>
      </c>
      <c r="O293" s="4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6"/>
        <v>40984.208333333336</v>
      </c>
      <c r="O294" s="4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6"/>
        <v>40456.208333333336</v>
      </c>
      <c r="O295" s="4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6"/>
        <v>43399.208333333328</v>
      </c>
      <c r="O296" s="4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6"/>
        <v>41562.208333333336</v>
      </c>
      <c r="O297" s="4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6"/>
        <v>43493.25</v>
      </c>
      <c r="O298" s="4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6"/>
        <v>41653.25</v>
      </c>
      <c r="O299" s="4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6"/>
        <v>42426.25</v>
      </c>
      <c r="O300" s="4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6"/>
        <v>42432.25</v>
      </c>
      <c r="O301" s="4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6"/>
        <v>42977.208333333328</v>
      </c>
      <c r="O302" s="4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6"/>
        <v>42061.25</v>
      </c>
      <c r="O303" s="4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6"/>
        <v>43345.208333333328</v>
      </c>
      <c r="O304" s="4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6"/>
        <v>42376.25</v>
      </c>
      <c r="O305" s="4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6"/>
        <v>42589.208333333328</v>
      </c>
      <c r="O306" s="4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6"/>
        <v>42448.208333333328</v>
      </c>
      <c r="O307" s="4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6"/>
        <v>42930.208333333328</v>
      </c>
      <c r="O308" s="4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6"/>
        <v>41066.208333333336</v>
      </c>
      <c r="O309" s="4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6"/>
        <v>40651.208333333336</v>
      </c>
      <c r="O310" s="4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6"/>
        <v>40807.208333333336</v>
      </c>
      <c r="O311" s="4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6"/>
        <v>40277.208333333336</v>
      </c>
      <c r="O312" s="4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6"/>
        <v>40590.25</v>
      </c>
      <c r="O313" s="4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6"/>
        <v>41572.208333333336</v>
      </c>
      <c r="O314" s="4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6"/>
        <v>40966.25</v>
      </c>
      <c r="O315" s="4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6"/>
        <v>43536.208333333328</v>
      </c>
      <c r="O316" s="4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6"/>
        <v>41783.208333333336</v>
      </c>
      <c r="O317" s="4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6"/>
        <v>43788.25</v>
      </c>
      <c r="O318" s="4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6"/>
        <v>42869.208333333328</v>
      </c>
      <c r="O319" s="4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6"/>
        <v>41684.25</v>
      </c>
      <c r="O320" s="4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6"/>
        <v>40402.208333333336</v>
      </c>
      <c r="O321" s="4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ref="N322:N385" si="20">DATE(1970,1,1)+(L322/86400)</f>
        <v>40673.208333333336</v>
      </c>
      <c r="O322" s="4">
        <f t="shared" ref="O322:O385" si="21">DATE(1970,1,1)+(M322/86400)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2">ROUND((E323/D323)*100,0)</f>
        <v>94</v>
      </c>
      <c r="G323" t="s">
        <v>14</v>
      </c>
      <c r="H323">
        <v>2468</v>
      </c>
      <c r="I323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si="20"/>
        <v>40634.208333333336</v>
      </c>
      <c r="O323" s="4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2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0"/>
        <v>40507.25</v>
      </c>
      <c r="O324" s="4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0"/>
        <v>41725.208333333336</v>
      </c>
      <c r="O325" s="4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0"/>
        <v>42176.208333333328</v>
      </c>
      <c r="O326" s="4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0"/>
        <v>43267.208333333328</v>
      </c>
      <c r="O327" s="4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0"/>
        <v>42364.25</v>
      </c>
      <c r="O328" s="4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0"/>
        <v>43705.208333333328</v>
      </c>
      <c r="O329" s="4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0"/>
        <v>43434.25</v>
      </c>
      <c r="O330" s="4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0"/>
        <v>42716.25</v>
      </c>
      <c r="O331" s="4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0"/>
        <v>43077.25</v>
      </c>
      <c r="O332" s="4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0"/>
        <v>40896.25</v>
      </c>
      <c r="O333" s="4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0"/>
        <v>41361.208333333336</v>
      </c>
      <c r="O334" s="4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0"/>
        <v>43424.25</v>
      </c>
      <c r="O335" s="4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0"/>
        <v>43110.25</v>
      </c>
      <c r="O336" s="4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0"/>
        <v>43784.25</v>
      </c>
      <c r="O337" s="4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0"/>
        <v>40527.25</v>
      </c>
      <c r="O338" s="4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0"/>
        <v>43780.25</v>
      </c>
      <c r="O339" s="4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0"/>
        <v>40821.208333333336</v>
      </c>
      <c r="O340" s="4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0"/>
        <v>42949.208333333328</v>
      </c>
      <c r="O341" s="4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0"/>
        <v>40889.25</v>
      </c>
      <c r="O342" s="4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0"/>
        <v>42244.208333333328</v>
      </c>
      <c r="O343" s="4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0"/>
        <v>41475.208333333336</v>
      </c>
      <c r="O344" s="4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0"/>
        <v>41597.25</v>
      </c>
      <c r="O345" s="4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0"/>
        <v>43122.25</v>
      </c>
      <c r="O346" s="4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0"/>
        <v>42194.208333333328</v>
      </c>
      <c r="O347" s="4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0"/>
        <v>42971.208333333328</v>
      </c>
      <c r="O348" s="4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0"/>
        <v>42046.25</v>
      </c>
      <c r="O349" s="4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0"/>
        <v>42782.25</v>
      </c>
      <c r="O350" s="4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0"/>
        <v>42930.208333333328</v>
      </c>
      <c r="O351" s="4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0"/>
        <v>42144.208333333328</v>
      </c>
      <c r="O352" s="4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0"/>
        <v>42240.208333333328</v>
      </c>
      <c r="O353" s="4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0"/>
        <v>42315.25</v>
      </c>
      <c r="O354" s="4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0"/>
        <v>43651.208333333328</v>
      </c>
      <c r="O355" s="4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0"/>
        <v>41520.208333333336</v>
      </c>
      <c r="O356" s="4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0"/>
        <v>42757.25</v>
      </c>
      <c r="O357" s="4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0"/>
        <v>40922.25</v>
      </c>
      <c r="O358" s="4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0"/>
        <v>42250.208333333328</v>
      </c>
      <c r="O359" s="4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0"/>
        <v>43322.208333333328</v>
      </c>
      <c r="O360" s="4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0"/>
        <v>40782.208333333336</v>
      </c>
      <c r="O361" s="4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0"/>
        <v>40544.25</v>
      </c>
      <c r="O362" s="4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0"/>
        <v>43015.208333333328</v>
      </c>
      <c r="O363" s="4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0"/>
        <v>40570.25</v>
      </c>
      <c r="O364" s="4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0"/>
        <v>40904.25</v>
      </c>
      <c r="O365" s="4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0"/>
        <v>43164.25</v>
      </c>
      <c r="O366" s="4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0"/>
        <v>42733.25</v>
      </c>
      <c r="O367" s="4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0"/>
        <v>40546.25</v>
      </c>
      <c r="O368" s="4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0"/>
        <v>41930.208333333336</v>
      </c>
      <c r="O369" s="4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0"/>
        <v>40464.208333333336</v>
      </c>
      <c r="O370" s="4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0"/>
        <v>41308.25</v>
      </c>
      <c r="O371" s="4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0"/>
        <v>43570.208333333328</v>
      </c>
      <c r="O372" s="4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0"/>
        <v>42043.25</v>
      </c>
      <c r="O373" s="4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0"/>
        <v>42012.25</v>
      </c>
      <c r="O374" s="4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0"/>
        <v>42964.208333333328</v>
      </c>
      <c r="O375" s="4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0"/>
        <v>43476.25</v>
      </c>
      <c r="O376" s="4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0"/>
        <v>42293.208333333328</v>
      </c>
      <c r="O377" s="4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0"/>
        <v>41826.208333333336</v>
      </c>
      <c r="O378" s="4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0"/>
        <v>43760.208333333328</v>
      </c>
      <c r="O379" s="4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0"/>
        <v>43241.208333333328</v>
      </c>
      <c r="O380" s="4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0"/>
        <v>40843.208333333336</v>
      </c>
      <c r="O381" s="4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0"/>
        <v>41448.208333333336</v>
      </c>
      <c r="O382" s="4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0"/>
        <v>42163.208333333328</v>
      </c>
      <c r="O383" s="4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0"/>
        <v>43024.208333333328</v>
      </c>
      <c r="O384" s="4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0"/>
        <v>43509.25</v>
      </c>
      <c r="O385" s="4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ref="N386:N449" si="24">DATE(1970,1,1)+(L386/86400)</f>
        <v>42776.25</v>
      </c>
      <c r="O386" s="4">
        <f t="shared" ref="O386:O449" si="25">DATE(1970,1,1)+(M386/86400)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6">ROUND((E387/D387)*100,0)</f>
        <v>146</v>
      </c>
      <c r="G387" t="s">
        <v>20</v>
      </c>
      <c r="H387">
        <v>1137</v>
      </c>
      <c r="I387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si="24"/>
        <v>43553.208333333328</v>
      </c>
      <c r="O387" s="4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6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4"/>
        <v>40355.208333333336</v>
      </c>
      <c r="O388" s="4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4"/>
        <v>41072.208333333336</v>
      </c>
      <c r="O389" s="4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4"/>
        <v>40912.25</v>
      </c>
      <c r="O390" s="4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4"/>
        <v>40479.208333333336</v>
      </c>
      <c r="O391" s="4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4"/>
        <v>41530.208333333336</v>
      </c>
      <c r="O392" s="4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4"/>
        <v>41653.25</v>
      </c>
      <c r="O393" s="4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4"/>
        <v>40549.25</v>
      </c>
      <c r="O394" s="4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4"/>
        <v>42933.208333333328</v>
      </c>
      <c r="O395" s="4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4"/>
        <v>41484.208333333336</v>
      </c>
      <c r="O396" s="4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4"/>
        <v>40885.25</v>
      </c>
      <c r="O397" s="4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4"/>
        <v>43378.208333333328</v>
      </c>
      <c r="O398" s="4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4"/>
        <v>41417.208333333336</v>
      </c>
      <c r="O399" s="4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4"/>
        <v>43228.208333333328</v>
      </c>
      <c r="O400" s="4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4"/>
        <v>40576.25</v>
      </c>
      <c r="O401" s="4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4"/>
        <v>41502.208333333336</v>
      </c>
      <c r="O402" s="4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4"/>
        <v>43765.208333333328</v>
      </c>
      <c r="O403" s="4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4"/>
        <v>40914.25</v>
      </c>
      <c r="O404" s="4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4"/>
        <v>40310.208333333336</v>
      </c>
      <c r="O405" s="4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4"/>
        <v>43053.25</v>
      </c>
      <c r="O406" s="4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4"/>
        <v>43255.208333333328</v>
      </c>
      <c r="O407" s="4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4"/>
        <v>41304.25</v>
      </c>
      <c r="O408" s="4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4"/>
        <v>43751.208333333328</v>
      </c>
      <c r="O409" s="4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4"/>
        <v>42541.208333333328</v>
      </c>
      <c r="O410" s="4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4"/>
        <v>42843.208333333328</v>
      </c>
      <c r="O411" s="4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4"/>
        <v>42122.208333333328</v>
      </c>
      <c r="O412" s="4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4"/>
        <v>42884.208333333328</v>
      </c>
      <c r="O413" s="4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4"/>
        <v>41642.25</v>
      </c>
      <c r="O414" s="4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4"/>
        <v>43431.25</v>
      </c>
      <c r="O415" s="4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4"/>
        <v>40288.208333333336</v>
      </c>
      <c r="O416" s="4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4"/>
        <v>40921.25</v>
      </c>
      <c r="O417" s="4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4"/>
        <v>40560.25</v>
      </c>
      <c r="O418" s="4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4"/>
        <v>43407.208333333328</v>
      </c>
      <c r="O419" s="4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4"/>
        <v>41035.208333333336</v>
      </c>
      <c r="O420" s="4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4"/>
        <v>40899.25</v>
      </c>
      <c r="O421" s="4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4"/>
        <v>42911.208333333328</v>
      </c>
      <c r="O422" s="4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4"/>
        <v>42915.208333333328</v>
      </c>
      <c r="O423" s="4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4"/>
        <v>40285.208333333336</v>
      </c>
      <c r="O424" s="4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4"/>
        <v>40808.208333333336</v>
      </c>
      <c r="O425" s="4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4"/>
        <v>43208.208333333328</v>
      </c>
      <c r="O426" s="4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4"/>
        <v>42213.208333333328</v>
      </c>
      <c r="O427" s="4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4"/>
        <v>41332.25</v>
      </c>
      <c r="O428" s="4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4"/>
        <v>41895.208333333336</v>
      </c>
      <c r="O429" s="4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4"/>
        <v>40585.25</v>
      </c>
      <c r="O430" s="4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4"/>
        <v>41680.25</v>
      </c>
      <c r="O431" s="4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4"/>
        <v>43737.208333333328</v>
      </c>
      <c r="O432" s="4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4"/>
        <v>43273.208333333328</v>
      </c>
      <c r="O433" s="4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4"/>
        <v>41761.208333333336</v>
      </c>
      <c r="O434" s="4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4"/>
        <v>41603.25</v>
      </c>
      <c r="O435" s="4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4"/>
        <v>42705.25</v>
      </c>
      <c r="O436" s="4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4"/>
        <v>41988.25</v>
      </c>
      <c r="O437" s="4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4"/>
        <v>43575.208333333328</v>
      </c>
      <c r="O438" s="4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4"/>
        <v>42260.208333333328</v>
      </c>
      <c r="O439" s="4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4"/>
        <v>41337.25</v>
      </c>
      <c r="O440" s="4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4"/>
        <v>42680.208333333328</v>
      </c>
      <c r="O441" s="4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4"/>
        <v>42916.208333333328</v>
      </c>
      <c r="O442" s="4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4"/>
        <v>41025.208333333336</v>
      </c>
      <c r="O443" s="4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4"/>
        <v>42980.208333333328</v>
      </c>
      <c r="O444" s="4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4"/>
        <v>40451.208333333336</v>
      </c>
      <c r="O445" s="4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4"/>
        <v>40748.208333333336</v>
      </c>
      <c r="O446" s="4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4"/>
        <v>40515.25</v>
      </c>
      <c r="O447" s="4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4"/>
        <v>41261.25</v>
      </c>
      <c r="O448" s="4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4"/>
        <v>43088.25</v>
      </c>
      <c r="O449" s="4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ref="N450:N513" si="28">DATE(1970,1,1)+(L450/86400)</f>
        <v>41378.208333333336</v>
      </c>
      <c r="O450" s="4">
        <f t="shared" ref="O450:O513" si="29">DATE(1970,1,1)+(M450/86400)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30">ROUND((E451/D451)*100,0)</f>
        <v>967</v>
      </c>
      <c r="G451" t="s">
        <v>20</v>
      </c>
      <c r="H451">
        <v>86</v>
      </c>
      <c r="I45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si="28"/>
        <v>43530.25</v>
      </c>
      <c r="O451" s="4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0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28"/>
        <v>43394.208333333328</v>
      </c>
      <c r="O452" s="4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28"/>
        <v>42935.208333333328</v>
      </c>
      <c r="O453" s="4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28"/>
        <v>40365.208333333336</v>
      </c>
      <c r="O454" s="4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28"/>
        <v>42705.25</v>
      </c>
      <c r="O455" s="4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28"/>
        <v>41568.208333333336</v>
      </c>
      <c r="O456" s="4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28"/>
        <v>40809.208333333336</v>
      </c>
      <c r="O457" s="4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28"/>
        <v>43141.25</v>
      </c>
      <c r="O458" s="4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28"/>
        <v>42657.208333333328</v>
      </c>
      <c r="O459" s="4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28"/>
        <v>40265.208333333336</v>
      </c>
      <c r="O460" s="4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28"/>
        <v>42001.25</v>
      </c>
      <c r="O461" s="4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28"/>
        <v>40399.208333333336</v>
      </c>
      <c r="O462" s="4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28"/>
        <v>41757.208333333336</v>
      </c>
      <c r="O463" s="4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28"/>
        <v>41304.25</v>
      </c>
      <c r="O464" s="4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28"/>
        <v>41639.25</v>
      </c>
      <c r="O465" s="4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28"/>
        <v>43142.25</v>
      </c>
      <c r="O466" s="4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28"/>
        <v>43127.25</v>
      </c>
      <c r="O467" s="4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28"/>
        <v>41409.208333333336</v>
      </c>
      <c r="O468" s="4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28"/>
        <v>42331.25</v>
      </c>
      <c r="O469" s="4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28"/>
        <v>43569.208333333328</v>
      </c>
      <c r="O470" s="4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28"/>
        <v>42142.208333333328</v>
      </c>
      <c r="O471" s="4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28"/>
        <v>42716.25</v>
      </c>
      <c r="O472" s="4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28"/>
        <v>41031.208333333336</v>
      </c>
      <c r="O473" s="4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28"/>
        <v>43535.208333333328</v>
      </c>
      <c r="O474" s="4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28"/>
        <v>43277.208333333328</v>
      </c>
      <c r="O475" s="4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28"/>
        <v>41989.25</v>
      </c>
      <c r="O476" s="4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28"/>
        <v>41450.208333333336</v>
      </c>
      <c r="O477" s="4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28"/>
        <v>43322.208333333328</v>
      </c>
      <c r="O478" s="4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28"/>
        <v>40720.208333333336</v>
      </c>
      <c r="O479" s="4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28"/>
        <v>42072.208333333328</v>
      </c>
      <c r="O480" s="4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28"/>
        <v>42945.208333333328</v>
      </c>
      <c r="O481" s="4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28"/>
        <v>40248.25</v>
      </c>
      <c r="O482" s="4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28"/>
        <v>41913.208333333336</v>
      </c>
      <c r="O483" s="4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28"/>
        <v>40963.25</v>
      </c>
      <c r="O484" s="4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28"/>
        <v>43811.25</v>
      </c>
      <c r="O485" s="4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28"/>
        <v>41855.208333333336</v>
      </c>
      <c r="O486" s="4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28"/>
        <v>43626.208333333328</v>
      </c>
      <c r="O487" s="4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28"/>
        <v>43168.25</v>
      </c>
      <c r="O488" s="4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28"/>
        <v>42845.208333333328</v>
      </c>
      <c r="O489" s="4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28"/>
        <v>42403.25</v>
      </c>
      <c r="O490" s="4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28"/>
        <v>40406.208333333336</v>
      </c>
      <c r="O491" s="4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28"/>
        <v>43786.25</v>
      </c>
      <c r="O492" s="4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28"/>
        <v>41456.208333333336</v>
      </c>
      <c r="O493" s="4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28"/>
        <v>40336.208333333336</v>
      </c>
      <c r="O494" s="4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28"/>
        <v>43645.208333333328</v>
      </c>
      <c r="O495" s="4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28"/>
        <v>40990.208333333336</v>
      </c>
      <c r="O496" s="4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28"/>
        <v>41800.208333333336</v>
      </c>
      <c r="O497" s="4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28"/>
        <v>42876.208333333328</v>
      </c>
      <c r="O498" s="4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28"/>
        <v>42724.25</v>
      </c>
      <c r="O499" s="4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28"/>
        <v>42005.25</v>
      </c>
      <c r="O500" s="4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28"/>
        <v>42444.208333333328</v>
      </c>
      <c r="O501" s="4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28"/>
        <v>41395.208333333336</v>
      </c>
      <c r="O502" s="4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28"/>
        <v>41345.208333333336</v>
      </c>
      <c r="O503" s="4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28"/>
        <v>41117.208333333336</v>
      </c>
      <c r="O504" s="4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28"/>
        <v>42186.208333333328</v>
      </c>
      <c r="O505" s="4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28"/>
        <v>42142.208333333328</v>
      </c>
      <c r="O506" s="4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28"/>
        <v>41341.25</v>
      </c>
      <c r="O507" s="4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28"/>
        <v>43062.25</v>
      </c>
      <c r="O508" s="4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28"/>
        <v>41373.208333333336</v>
      </c>
      <c r="O509" s="4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28"/>
        <v>43310.208333333328</v>
      </c>
      <c r="O510" s="4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28"/>
        <v>41034.208333333336</v>
      </c>
      <c r="O511" s="4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28"/>
        <v>43251.208333333328</v>
      </c>
      <c r="O512" s="4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28"/>
        <v>43671.208333333328</v>
      </c>
      <c r="O513" s="4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ref="N514:N577" si="32">DATE(1970,1,1)+(L514/86400)</f>
        <v>41825.208333333336</v>
      </c>
      <c r="O514" s="4">
        <f t="shared" ref="O514:O577" si="33">DATE(1970,1,1)+(M514/86400)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4">ROUND((E515/D515)*100,0)</f>
        <v>39</v>
      </c>
      <c r="G515" t="s">
        <v>74</v>
      </c>
      <c r="H515">
        <v>35</v>
      </c>
      <c r="I515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si="32"/>
        <v>40430.208333333336</v>
      </c>
      <c r="O515" s="4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4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2"/>
        <v>41614.25</v>
      </c>
      <c r="O516" s="4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2"/>
        <v>40900.25</v>
      </c>
      <c r="O517" s="4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2"/>
        <v>40396.208333333336</v>
      </c>
      <c r="O518" s="4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2"/>
        <v>42860.208333333328</v>
      </c>
      <c r="O519" s="4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2"/>
        <v>43154.25</v>
      </c>
      <c r="O520" s="4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2"/>
        <v>42012.25</v>
      </c>
      <c r="O521" s="4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2"/>
        <v>43574.208333333328</v>
      </c>
      <c r="O522" s="4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2"/>
        <v>42605.208333333328</v>
      </c>
      <c r="O523" s="4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2"/>
        <v>41093.208333333336</v>
      </c>
      <c r="O524" s="4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2"/>
        <v>40241.25</v>
      </c>
      <c r="O525" s="4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2"/>
        <v>40294.208333333336</v>
      </c>
      <c r="O526" s="4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2"/>
        <v>40505.25</v>
      </c>
      <c r="O527" s="4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2"/>
        <v>42364.25</v>
      </c>
      <c r="O528" s="4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2"/>
        <v>42405.25</v>
      </c>
      <c r="O529" s="4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2"/>
        <v>41601.25</v>
      </c>
      <c r="O530" s="4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2"/>
        <v>41769.208333333336</v>
      </c>
      <c r="O531" s="4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2"/>
        <v>40421.208333333336</v>
      </c>
      <c r="O532" s="4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2"/>
        <v>41589.25</v>
      </c>
      <c r="O533" s="4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2"/>
        <v>43125.25</v>
      </c>
      <c r="O534" s="4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2"/>
        <v>41479.208333333336</v>
      </c>
      <c r="O535" s="4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2"/>
        <v>43329.208333333328</v>
      </c>
      <c r="O536" s="4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2"/>
        <v>43259.208333333328</v>
      </c>
      <c r="O537" s="4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2"/>
        <v>40414.208333333336</v>
      </c>
      <c r="O538" s="4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2"/>
        <v>43342.208333333328</v>
      </c>
      <c r="O539" s="4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2"/>
        <v>41539.208333333336</v>
      </c>
      <c r="O540" s="4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2"/>
        <v>43647.208333333328</v>
      </c>
      <c r="O541" s="4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2"/>
        <v>43225.208333333328</v>
      </c>
      <c r="O542" s="4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2"/>
        <v>42165.208333333328</v>
      </c>
      <c r="O543" s="4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2"/>
        <v>42391.25</v>
      </c>
      <c r="O544" s="4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2"/>
        <v>41528.208333333336</v>
      </c>
      <c r="O545" s="4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2"/>
        <v>42377.25</v>
      </c>
      <c r="O546" s="4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2"/>
        <v>43824.25</v>
      </c>
      <c r="O547" s="4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2"/>
        <v>43360.208333333328</v>
      </c>
      <c r="O548" s="4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2"/>
        <v>42029.25</v>
      </c>
      <c r="O549" s="4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2"/>
        <v>42461.208333333328</v>
      </c>
      <c r="O550" s="4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2"/>
        <v>41422.208333333336</v>
      </c>
      <c r="O551" s="4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2"/>
        <v>40968.25</v>
      </c>
      <c r="O552" s="4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2"/>
        <v>41993.25</v>
      </c>
      <c r="O553" s="4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2"/>
        <v>42700.25</v>
      </c>
      <c r="O554" s="4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2"/>
        <v>40545.25</v>
      </c>
      <c r="O555" s="4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2"/>
        <v>42723.25</v>
      </c>
      <c r="O556" s="4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2"/>
        <v>41731.208333333336</v>
      </c>
      <c r="O557" s="4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2"/>
        <v>40792.208333333336</v>
      </c>
      <c r="O558" s="4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2"/>
        <v>42279.208333333328</v>
      </c>
      <c r="O559" s="4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2"/>
        <v>42424.25</v>
      </c>
      <c r="O560" s="4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2"/>
        <v>42584.208333333328</v>
      </c>
      <c r="O561" s="4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2"/>
        <v>40865.25</v>
      </c>
      <c r="O562" s="4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2"/>
        <v>40833.208333333336</v>
      </c>
      <c r="O563" s="4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2"/>
        <v>43536.208333333328</v>
      </c>
      <c r="O564" s="4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2"/>
        <v>43417.25</v>
      </c>
      <c r="O565" s="4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2"/>
        <v>42078.208333333328</v>
      </c>
      <c r="O566" s="4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2"/>
        <v>40862.25</v>
      </c>
      <c r="O567" s="4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2"/>
        <v>42424.25</v>
      </c>
      <c r="O568" s="4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2"/>
        <v>41830.208333333336</v>
      </c>
      <c r="O569" s="4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2"/>
        <v>40374.208333333336</v>
      </c>
      <c r="O570" s="4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2"/>
        <v>40554.25</v>
      </c>
      <c r="O571" s="4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2"/>
        <v>41993.25</v>
      </c>
      <c r="O572" s="4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2"/>
        <v>42174.208333333328</v>
      </c>
      <c r="O573" s="4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2"/>
        <v>42275.208333333328</v>
      </c>
      <c r="O574" s="4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2"/>
        <v>41761.208333333336</v>
      </c>
      <c r="O575" s="4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2"/>
        <v>43806.25</v>
      </c>
      <c r="O576" s="4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2"/>
        <v>41779.208333333336</v>
      </c>
      <c r="O577" s="4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ref="N578:N641" si="36">DATE(1970,1,1)+(L578/86400)</f>
        <v>43040.208333333328</v>
      </c>
      <c r="O578" s="4">
        <f t="shared" ref="O578:O641" si="37">DATE(1970,1,1)+(M578/86400)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8">ROUND((E579/D579)*100,0)</f>
        <v>19</v>
      </c>
      <c r="G579" t="s">
        <v>74</v>
      </c>
      <c r="H579">
        <v>37</v>
      </c>
      <c r="I579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si="36"/>
        <v>40613.25</v>
      </c>
      <c r="O579" s="4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8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6"/>
        <v>40878.25</v>
      </c>
      <c r="O580" s="4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6"/>
        <v>40762.208333333336</v>
      </c>
      <c r="O581" s="4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6"/>
        <v>41696.25</v>
      </c>
      <c r="O582" s="4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6"/>
        <v>40662.208333333336</v>
      </c>
      <c r="O583" s="4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6"/>
        <v>42165.208333333328</v>
      </c>
      <c r="O584" s="4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6"/>
        <v>40959.25</v>
      </c>
      <c r="O585" s="4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6"/>
        <v>41024.208333333336</v>
      </c>
      <c r="O586" s="4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6"/>
        <v>40255.208333333336</v>
      </c>
      <c r="O587" s="4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6"/>
        <v>40499.25</v>
      </c>
      <c r="O588" s="4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6"/>
        <v>43484.25</v>
      </c>
      <c r="O589" s="4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6"/>
        <v>40262.208333333336</v>
      </c>
      <c r="O590" s="4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6"/>
        <v>42190.208333333328</v>
      </c>
      <c r="O591" s="4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6"/>
        <v>41994.25</v>
      </c>
      <c r="O592" s="4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6"/>
        <v>40373.208333333336</v>
      </c>
      <c r="O593" s="4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6"/>
        <v>41789.208333333336</v>
      </c>
      <c r="O594" s="4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6"/>
        <v>41724.208333333336</v>
      </c>
      <c r="O595" s="4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6"/>
        <v>42548.208333333328</v>
      </c>
      <c r="O596" s="4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6"/>
        <v>40253.208333333336</v>
      </c>
      <c r="O597" s="4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6"/>
        <v>42434.25</v>
      </c>
      <c r="O598" s="4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6"/>
        <v>43786.25</v>
      </c>
      <c r="O599" s="4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6"/>
        <v>40344.208333333336</v>
      </c>
      <c r="O600" s="4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6"/>
        <v>42047.25</v>
      </c>
      <c r="O601" s="4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6"/>
        <v>41485.208333333336</v>
      </c>
      <c r="O602" s="4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6"/>
        <v>41789.208333333336</v>
      </c>
      <c r="O603" s="4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6"/>
        <v>42160.208333333328</v>
      </c>
      <c r="O604" s="4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6"/>
        <v>43573.208333333328</v>
      </c>
      <c r="O605" s="4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6"/>
        <v>40565.25</v>
      </c>
      <c r="O606" s="4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6"/>
        <v>42280.208333333328</v>
      </c>
      <c r="O607" s="4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6"/>
        <v>42436.25</v>
      </c>
      <c r="O608" s="4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6"/>
        <v>41721.208333333336</v>
      </c>
      <c r="O609" s="4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6"/>
        <v>43530.25</v>
      </c>
      <c r="O610" s="4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6"/>
        <v>43481.25</v>
      </c>
      <c r="O611" s="4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6"/>
        <v>41259.25</v>
      </c>
      <c r="O612" s="4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6"/>
        <v>41480.208333333336</v>
      </c>
      <c r="O613" s="4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6"/>
        <v>40474.208333333336</v>
      </c>
      <c r="O614" s="4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6"/>
        <v>42973.208333333328</v>
      </c>
      <c r="O615" s="4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6"/>
        <v>42746.25</v>
      </c>
      <c r="O616" s="4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6"/>
        <v>42489.208333333328</v>
      </c>
      <c r="O617" s="4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6"/>
        <v>41537.208333333336</v>
      </c>
      <c r="O618" s="4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6"/>
        <v>41794.208333333336</v>
      </c>
      <c r="O619" s="4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6"/>
        <v>41396.208333333336</v>
      </c>
      <c r="O620" s="4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6"/>
        <v>40669.208333333336</v>
      </c>
      <c r="O621" s="4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6"/>
        <v>42559.208333333328</v>
      </c>
      <c r="O622" s="4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6"/>
        <v>42626.208333333328</v>
      </c>
      <c r="O623" s="4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6"/>
        <v>43205.208333333328</v>
      </c>
      <c r="O624" s="4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6"/>
        <v>42201.208333333328</v>
      </c>
      <c r="O625" s="4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6"/>
        <v>42029.25</v>
      </c>
      <c r="O626" s="4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6"/>
        <v>43857.25</v>
      </c>
      <c r="O627" s="4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6"/>
        <v>40449.208333333336</v>
      </c>
      <c r="O628" s="4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6"/>
        <v>40345.208333333336</v>
      </c>
      <c r="O629" s="4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6"/>
        <v>40455.208333333336</v>
      </c>
      <c r="O630" s="4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6"/>
        <v>42557.208333333328</v>
      </c>
      <c r="O631" s="4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6"/>
        <v>43586.208333333328</v>
      </c>
      <c r="O632" s="4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6"/>
        <v>43550.208333333328</v>
      </c>
      <c r="O633" s="4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6"/>
        <v>41945.208333333336</v>
      </c>
      <c r="O634" s="4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6"/>
        <v>42315.25</v>
      </c>
      <c r="O635" s="4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6"/>
        <v>42819.208333333328</v>
      </c>
      <c r="O636" s="4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6"/>
        <v>41314.25</v>
      </c>
      <c r="O637" s="4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6"/>
        <v>40926.25</v>
      </c>
      <c r="O638" s="4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6"/>
        <v>42688.25</v>
      </c>
      <c r="O639" s="4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6"/>
        <v>40386.208333333336</v>
      </c>
      <c r="O640" s="4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6"/>
        <v>43309.208333333328</v>
      </c>
      <c r="O641" s="4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ref="N642:N705" si="40">DATE(1970,1,1)+(L642/86400)</f>
        <v>42387.25</v>
      </c>
      <c r="O642" s="4">
        <f t="shared" ref="O642:O705" si="41">DATE(1970,1,1)+(M642/86400)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2">ROUND((E643/D643)*100,0)</f>
        <v>120</v>
      </c>
      <c r="G643" t="s">
        <v>20</v>
      </c>
      <c r="H643">
        <v>194</v>
      </c>
      <c r="I643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si="40"/>
        <v>42786.25</v>
      </c>
      <c r="O643" s="4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2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0"/>
        <v>43451.25</v>
      </c>
      <c r="O644" s="4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0"/>
        <v>42795.25</v>
      </c>
      <c r="O645" s="4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0"/>
        <v>43452.25</v>
      </c>
      <c r="O646" s="4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0"/>
        <v>43369.208333333328</v>
      </c>
      <c r="O647" s="4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0"/>
        <v>41346.208333333336</v>
      </c>
      <c r="O648" s="4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0"/>
        <v>43199.208333333328</v>
      </c>
      <c r="O649" s="4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0"/>
        <v>42922.208333333328</v>
      </c>
      <c r="O650" s="4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0"/>
        <v>40471.208333333336</v>
      </c>
      <c r="O651" s="4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0"/>
        <v>41828.208333333336</v>
      </c>
      <c r="O652" s="4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0"/>
        <v>41692.25</v>
      </c>
      <c r="O653" s="4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0"/>
        <v>42587.208333333328</v>
      </c>
      <c r="O654" s="4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0"/>
        <v>42468.208333333328</v>
      </c>
      <c r="O655" s="4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0"/>
        <v>42240.208333333328</v>
      </c>
      <c r="O656" s="4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0"/>
        <v>42796.25</v>
      </c>
      <c r="O657" s="4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0"/>
        <v>43097.25</v>
      </c>
      <c r="O658" s="4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0"/>
        <v>43096.25</v>
      </c>
      <c r="O659" s="4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0"/>
        <v>42246.208333333328</v>
      </c>
      <c r="O660" s="4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0"/>
        <v>40570.25</v>
      </c>
      <c r="O661" s="4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0"/>
        <v>42237.208333333328</v>
      </c>
      <c r="O662" s="4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0"/>
        <v>40996.208333333336</v>
      </c>
      <c r="O663" s="4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0"/>
        <v>43443.25</v>
      </c>
      <c r="O664" s="4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0"/>
        <v>40458.208333333336</v>
      </c>
      <c r="O665" s="4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0"/>
        <v>40959.25</v>
      </c>
      <c r="O666" s="4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0"/>
        <v>40733.208333333336</v>
      </c>
      <c r="O667" s="4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0"/>
        <v>41516.208333333336</v>
      </c>
      <c r="O668" s="4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0"/>
        <v>41892.208333333336</v>
      </c>
      <c r="O669" s="4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0"/>
        <v>41122.208333333336</v>
      </c>
      <c r="O670" s="4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0"/>
        <v>42912.208333333328</v>
      </c>
      <c r="O671" s="4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0"/>
        <v>42425.25</v>
      </c>
      <c r="O672" s="4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0"/>
        <v>40390.208333333336</v>
      </c>
      <c r="O673" s="4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0"/>
        <v>43180.208333333328</v>
      </c>
      <c r="O674" s="4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0"/>
        <v>42475.208333333328</v>
      </c>
      <c r="O675" s="4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0"/>
        <v>40774.208333333336</v>
      </c>
      <c r="O676" s="4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0"/>
        <v>43719.208333333328</v>
      </c>
      <c r="O677" s="4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0"/>
        <v>41178.208333333336</v>
      </c>
      <c r="O678" s="4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0"/>
        <v>42561.208333333328</v>
      </c>
      <c r="O679" s="4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0"/>
        <v>43484.25</v>
      </c>
      <c r="O680" s="4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0"/>
        <v>43756.208333333328</v>
      </c>
      <c r="O681" s="4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0"/>
        <v>43813.25</v>
      </c>
      <c r="O682" s="4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0"/>
        <v>40898.25</v>
      </c>
      <c r="O683" s="4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0"/>
        <v>41619.25</v>
      </c>
      <c r="O684" s="4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0"/>
        <v>43359.208333333328</v>
      </c>
      <c r="O685" s="4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0"/>
        <v>40358.208333333336</v>
      </c>
      <c r="O686" s="4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0"/>
        <v>42239.208333333328</v>
      </c>
      <c r="O687" s="4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0"/>
        <v>43186.208333333328</v>
      </c>
      <c r="O688" s="4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0"/>
        <v>42806.25</v>
      </c>
      <c r="O689" s="4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0"/>
        <v>43475.25</v>
      </c>
      <c r="O690" s="4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0"/>
        <v>41576.208333333336</v>
      </c>
      <c r="O691" s="4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0"/>
        <v>40874.25</v>
      </c>
      <c r="O692" s="4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0"/>
        <v>41185.208333333336</v>
      </c>
      <c r="O693" s="4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0"/>
        <v>43655.208333333328</v>
      </c>
      <c r="O694" s="4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0"/>
        <v>43025.208333333328</v>
      </c>
      <c r="O695" s="4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0"/>
        <v>43066.25</v>
      </c>
      <c r="O696" s="4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0"/>
        <v>42322.25</v>
      </c>
      <c r="O697" s="4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0"/>
        <v>42114.208333333328</v>
      </c>
      <c r="O698" s="4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0"/>
        <v>43190.208333333328</v>
      </c>
      <c r="O699" s="4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0"/>
        <v>40871.25</v>
      </c>
      <c r="O700" s="4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0"/>
        <v>43641.208333333328</v>
      </c>
      <c r="O701" s="4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0"/>
        <v>40203.25</v>
      </c>
      <c r="O702" s="4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0"/>
        <v>40629.208333333336</v>
      </c>
      <c r="O703" s="4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0"/>
        <v>41477.208333333336</v>
      </c>
      <c r="O704" s="4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0"/>
        <v>41020.208333333336</v>
      </c>
      <c r="O705" s="4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ref="N706:N769" si="44">DATE(1970,1,1)+(L706/86400)</f>
        <v>42555.208333333328</v>
      </c>
      <c r="O706" s="4">
        <f t="shared" ref="O706:O769" si="45">DATE(1970,1,1)+(M706/86400)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6">ROUND((E707/D707)*100,0)</f>
        <v>99</v>
      </c>
      <c r="G707" t="s">
        <v>14</v>
      </c>
      <c r="H707">
        <v>2025</v>
      </c>
      <c r="I707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si="44"/>
        <v>41619.25</v>
      </c>
      <c r="O707" s="4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6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4"/>
        <v>43471.25</v>
      </c>
      <c r="O708" s="4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4"/>
        <v>43442.25</v>
      </c>
      <c r="O709" s="4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4"/>
        <v>42877.208333333328</v>
      </c>
      <c r="O710" s="4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4"/>
        <v>41018.208333333336</v>
      </c>
      <c r="O711" s="4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4"/>
        <v>43295.208333333328</v>
      </c>
      <c r="O712" s="4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4"/>
        <v>42393.25</v>
      </c>
      <c r="O713" s="4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4"/>
        <v>42559.208333333328</v>
      </c>
      <c r="O714" s="4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4"/>
        <v>42604.208333333328</v>
      </c>
      <c r="O715" s="4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4"/>
        <v>41870.208333333336</v>
      </c>
      <c r="O716" s="4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4"/>
        <v>40397.208333333336</v>
      </c>
      <c r="O717" s="4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4"/>
        <v>41465.208333333336</v>
      </c>
      <c r="O718" s="4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4"/>
        <v>40777.208333333336</v>
      </c>
      <c r="O719" s="4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4"/>
        <v>41442.208333333336</v>
      </c>
      <c r="O720" s="4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4"/>
        <v>41058.208333333336</v>
      </c>
      <c r="O721" s="4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4"/>
        <v>43152.25</v>
      </c>
      <c r="O722" s="4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4"/>
        <v>43194.208333333328</v>
      </c>
      <c r="O723" s="4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4"/>
        <v>43045.25</v>
      </c>
      <c r="O724" s="4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4"/>
        <v>42431.25</v>
      </c>
      <c r="O725" s="4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4"/>
        <v>41934.208333333336</v>
      </c>
      <c r="O726" s="4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4"/>
        <v>41958.25</v>
      </c>
      <c r="O727" s="4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4"/>
        <v>40476.208333333336</v>
      </c>
      <c r="O728" s="4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4"/>
        <v>43485.25</v>
      </c>
      <c r="O729" s="4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4"/>
        <v>42515.208333333328</v>
      </c>
      <c r="O730" s="4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4"/>
        <v>41309.25</v>
      </c>
      <c r="O731" s="4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4"/>
        <v>42147.208333333328</v>
      </c>
      <c r="O732" s="4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4"/>
        <v>42939.208333333328</v>
      </c>
      <c r="O733" s="4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4"/>
        <v>42816.208333333328</v>
      </c>
      <c r="O734" s="4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4"/>
        <v>41844.208333333336</v>
      </c>
      <c r="O735" s="4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4"/>
        <v>42763.25</v>
      </c>
      <c r="O736" s="4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4"/>
        <v>42459.208333333328</v>
      </c>
      <c r="O737" s="4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4"/>
        <v>42055.25</v>
      </c>
      <c r="O738" s="4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4"/>
        <v>42685.25</v>
      </c>
      <c r="O739" s="4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4"/>
        <v>41959.25</v>
      </c>
      <c r="O740" s="4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4"/>
        <v>41089.208333333336</v>
      </c>
      <c r="O741" s="4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4"/>
        <v>42769.25</v>
      </c>
      <c r="O742" s="4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4"/>
        <v>40321.208333333336</v>
      </c>
      <c r="O743" s="4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4"/>
        <v>40197.25</v>
      </c>
      <c r="O744" s="4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4"/>
        <v>42298.208333333328</v>
      </c>
      <c r="O745" s="4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4"/>
        <v>43322.208333333328</v>
      </c>
      <c r="O746" s="4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4"/>
        <v>40328.208333333336</v>
      </c>
      <c r="O747" s="4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4"/>
        <v>40825.208333333336</v>
      </c>
      <c r="O748" s="4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4"/>
        <v>40423.208333333336</v>
      </c>
      <c r="O749" s="4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4"/>
        <v>40238.25</v>
      </c>
      <c r="O750" s="4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4"/>
        <v>41920.208333333336</v>
      </c>
      <c r="O751" s="4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4"/>
        <v>40360.208333333336</v>
      </c>
      <c r="O752" s="4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4"/>
        <v>42446.208333333328</v>
      </c>
      <c r="O753" s="4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4"/>
        <v>40395.208333333336</v>
      </c>
      <c r="O754" s="4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4"/>
        <v>40321.208333333336</v>
      </c>
      <c r="O755" s="4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4"/>
        <v>41210.208333333336</v>
      </c>
      <c r="O756" s="4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4"/>
        <v>43096.25</v>
      </c>
      <c r="O757" s="4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4"/>
        <v>42024.25</v>
      </c>
      <c r="O758" s="4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4"/>
        <v>40675.208333333336</v>
      </c>
      <c r="O759" s="4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4"/>
        <v>41936.208333333336</v>
      </c>
      <c r="O760" s="4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4"/>
        <v>43136.25</v>
      </c>
      <c r="O761" s="4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4"/>
        <v>43678.208333333328</v>
      </c>
      <c r="O762" s="4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4"/>
        <v>42938.208333333328</v>
      </c>
      <c r="O763" s="4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4"/>
        <v>41241.25</v>
      </c>
      <c r="O764" s="4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4"/>
        <v>41037.208333333336</v>
      </c>
      <c r="O765" s="4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4"/>
        <v>40676.208333333336</v>
      </c>
      <c r="O766" s="4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4"/>
        <v>42840.208333333328</v>
      </c>
      <c r="O767" s="4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4"/>
        <v>43362.208333333328</v>
      </c>
      <c r="O768" s="4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4"/>
        <v>42283.208333333328</v>
      </c>
      <c r="O769" s="4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ref="N770:N833" si="48">DATE(1970,1,1)+(L770/86400)</f>
        <v>41619.25</v>
      </c>
      <c r="O770" s="4">
        <f t="shared" ref="O770:O833" si="49">DATE(1970,1,1)+(M770/86400)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50">ROUND((E771/D771)*100,0)</f>
        <v>87</v>
      </c>
      <c r="G771" t="s">
        <v>14</v>
      </c>
      <c r="H771">
        <v>3410</v>
      </c>
      <c r="I77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si="48"/>
        <v>41501.208333333336</v>
      </c>
      <c r="O771" s="4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50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48"/>
        <v>41743.208333333336</v>
      </c>
      <c r="O772" s="4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48"/>
        <v>43491.25</v>
      </c>
      <c r="O773" s="4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48"/>
        <v>43505.25</v>
      </c>
      <c r="O774" s="4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48"/>
        <v>42838.208333333328</v>
      </c>
      <c r="O775" s="4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48"/>
        <v>42513.208333333328</v>
      </c>
      <c r="O776" s="4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48"/>
        <v>41949.25</v>
      </c>
      <c r="O777" s="4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48"/>
        <v>43650.208333333328</v>
      </c>
      <c r="O778" s="4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48"/>
        <v>40809.208333333336</v>
      </c>
      <c r="O779" s="4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48"/>
        <v>40768.208333333336</v>
      </c>
      <c r="O780" s="4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48"/>
        <v>42230.208333333328</v>
      </c>
      <c r="O781" s="4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48"/>
        <v>42573.208333333328</v>
      </c>
      <c r="O782" s="4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48"/>
        <v>40482.208333333336</v>
      </c>
      <c r="O783" s="4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48"/>
        <v>40603.25</v>
      </c>
      <c r="O784" s="4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48"/>
        <v>41625.25</v>
      </c>
      <c r="O785" s="4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48"/>
        <v>42435.25</v>
      </c>
      <c r="O786" s="4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48"/>
        <v>43582.208333333328</v>
      </c>
      <c r="O787" s="4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48"/>
        <v>43186.208333333328</v>
      </c>
      <c r="O788" s="4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48"/>
        <v>40684.208333333336</v>
      </c>
      <c r="O789" s="4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48"/>
        <v>41202.208333333336</v>
      </c>
      <c r="O790" s="4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48"/>
        <v>41786.208333333336</v>
      </c>
      <c r="O791" s="4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48"/>
        <v>40223.25</v>
      </c>
      <c r="O792" s="4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48"/>
        <v>42715.25</v>
      </c>
      <c r="O793" s="4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48"/>
        <v>41451.208333333336</v>
      </c>
      <c r="O794" s="4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48"/>
        <v>41450.208333333336</v>
      </c>
      <c r="O795" s="4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48"/>
        <v>43091.25</v>
      </c>
      <c r="O796" s="4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48"/>
        <v>42675.208333333328</v>
      </c>
      <c r="O797" s="4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48"/>
        <v>41859.208333333336</v>
      </c>
      <c r="O798" s="4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48"/>
        <v>43464.25</v>
      </c>
      <c r="O799" s="4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48"/>
        <v>41060.208333333336</v>
      </c>
      <c r="O800" s="4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48"/>
        <v>42399.25</v>
      </c>
      <c r="O801" s="4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48"/>
        <v>42167.208333333328</v>
      </c>
      <c r="O802" s="4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48"/>
        <v>43830.25</v>
      </c>
      <c r="O803" s="4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48"/>
        <v>43650.208333333328</v>
      </c>
      <c r="O804" s="4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48"/>
        <v>43492.25</v>
      </c>
      <c r="O805" s="4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48"/>
        <v>43102.25</v>
      </c>
      <c r="O806" s="4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48"/>
        <v>41958.25</v>
      </c>
      <c r="O807" s="4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48"/>
        <v>40973.25</v>
      </c>
      <c r="O808" s="4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48"/>
        <v>43753.208333333328</v>
      </c>
      <c r="O809" s="4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48"/>
        <v>42507.208333333328</v>
      </c>
      <c r="O810" s="4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48"/>
        <v>41135.208333333336</v>
      </c>
      <c r="O811" s="4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48"/>
        <v>43067.25</v>
      </c>
      <c r="O812" s="4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48"/>
        <v>42378.25</v>
      </c>
      <c r="O813" s="4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48"/>
        <v>43206.208333333328</v>
      </c>
      <c r="O814" s="4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48"/>
        <v>41148.208333333336</v>
      </c>
      <c r="O815" s="4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48"/>
        <v>42517.208333333328</v>
      </c>
      <c r="O816" s="4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48"/>
        <v>43068.25</v>
      </c>
      <c r="O817" s="4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48"/>
        <v>41680.25</v>
      </c>
      <c r="O818" s="4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48"/>
        <v>43589.208333333328</v>
      </c>
      <c r="O819" s="4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48"/>
        <v>43486.25</v>
      </c>
      <c r="O820" s="4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48"/>
        <v>41237.25</v>
      </c>
      <c r="O821" s="4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48"/>
        <v>43310.208333333328</v>
      </c>
      <c r="O822" s="4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48"/>
        <v>42794.25</v>
      </c>
      <c r="O823" s="4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48"/>
        <v>41698.25</v>
      </c>
      <c r="O824" s="4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48"/>
        <v>41892.208333333336</v>
      </c>
      <c r="O825" s="4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48"/>
        <v>40348.208333333336</v>
      </c>
      <c r="O826" s="4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48"/>
        <v>42941.208333333328</v>
      </c>
      <c r="O827" s="4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48"/>
        <v>40525.25</v>
      </c>
      <c r="O828" s="4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48"/>
        <v>40666.208333333336</v>
      </c>
      <c r="O829" s="4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48"/>
        <v>43340.208333333328</v>
      </c>
      <c r="O830" s="4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48"/>
        <v>42164.208333333328</v>
      </c>
      <c r="O831" s="4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48"/>
        <v>43103.25</v>
      </c>
      <c r="O832" s="4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48"/>
        <v>40994.208333333336</v>
      </c>
      <c r="O833" s="4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ref="N834:N897" si="52">DATE(1970,1,1)+(L834/86400)</f>
        <v>42299.208333333328</v>
      </c>
      <c r="O834" s="4">
        <f t="shared" ref="O834:O897" si="53">DATE(1970,1,1)+(M834/86400)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4">ROUND((E835/D835)*100,0)</f>
        <v>158</v>
      </c>
      <c r="G835" t="s">
        <v>20</v>
      </c>
      <c r="H835">
        <v>165</v>
      </c>
      <c r="I835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si="52"/>
        <v>40588.25</v>
      </c>
      <c r="O835" s="4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4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2"/>
        <v>41448.208333333336</v>
      </c>
      <c r="O836" s="4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2"/>
        <v>42063.25</v>
      </c>
      <c r="O837" s="4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2"/>
        <v>40214.25</v>
      </c>
      <c r="O838" s="4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2"/>
        <v>40629.208333333336</v>
      </c>
      <c r="O839" s="4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2"/>
        <v>43370.208333333328</v>
      </c>
      <c r="O840" s="4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2"/>
        <v>41715.208333333336</v>
      </c>
      <c r="O841" s="4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2"/>
        <v>41836.208333333336</v>
      </c>
      <c r="O842" s="4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2"/>
        <v>42419.25</v>
      </c>
      <c r="O843" s="4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2"/>
        <v>43266.208333333328</v>
      </c>
      <c r="O844" s="4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2"/>
        <v>43338.208333333328</v>
      </c>
      <c r="O845" s="4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2"/>
        <v>40930.25</v>
      </c>
      <c r="O846" s="4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2"/>
        <v>43235.208333333328</v>
      </c>
      <c r="O847" s="4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2"/>
        <v>43302.208333333328</v>
      </c>
      <c r="O848" s="4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2"/>
        <v>43107.25</v>
      </c>
      <c r="O849" s="4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2"/>
        <v>40341.208333333336</v>
      </c>
      <c r="O850" s="4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2"/>
        <v>40948.25</v>
      </c>
      <c r="O851" s="4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2"/>
        <v>40866.25</v>
      </c>
      <c r="O852" s="4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2"/>
        <v>41031.208333333336</v>
      </c>
      <c r="O853" s="4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2"/>
        <v>40740.208333333336</v>
      </c>
      <c r="O854" s="4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2"/>
        <v>40714.208333333336</v>
      </c>
      <c r="O855" s="4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2"/>
        <v>43787.25</v>
      </c>
      <c r="O856" s="4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2"/>
        <v>40712.208333333336</v>
      </c>
      <c r="O857" s="4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2"/>
        <v>41023.208333333336</v>
      </c>
      <c r="O858" s="4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2"/>
        <v>40944.25</v>
      </c>
      <c r="O859" s="4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2"/>
        <v>43211.208333333328</v>
      </c>
      <c r="O860" s="4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2"/>
        <v>41334.25</v>
      </c>
      <c r="O861" s="4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2"/>
        <v>43515.25</v>
      </c>
      <c r="O862" s="4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2"/>
        <v>40258.208333333336</v>
      </c>
      <c r="O863" s="4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2"/>
        <v>40756.208333333336</v>
      </c>
      <c r="O864" s="4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2"/>
        <v>42172.208333333328</v>
      </c>
      <c r="O865" s="4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2"/>
        <v>42601.208333333328</v>
      </c>
      <c r="O866" s="4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2"/>
        <v>41897.208333333336</v>
      </c>
      <c r="O867" s="4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2"/>
        <v>40671.208333333336</v>
      </c>
      <c r="O868" s="4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2"/>
        <v>43382.208333333328</v>
      </c>
      <c r="O869" s="4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2"/>
        <v>41559.208333333336</v>
      </c>
      <c r="O870" s="4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2"/>
        <v>40350.208333333336</v>
      </c>
      <c r="O871" s="4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2"/>
        <v>42240.208333333328</v>
      </c>
      <c r="O872" s="4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2"/>
        <v>43040.208333333328</v>
      </c>
      <c r="O873" s="4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2"/>
        <v>43346.208333333328</v>
      </c>
      <c r="O874" s="4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2"/>
        <v>41647.25</v>
      </c>
      <c r="O875" s="4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2"/>
        <v>40291.208333333336</v>
      </c>
      <c r="O876" s="4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2"/>
        <v>40556.25</v>
      </c>
      <c r="O877" s="4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2"/>
        <v>43624.208333333328</v>
      </c>
      <c r="O878" s="4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2"/>
        <v>42577.208333333328</v>
      </c>
      <c r="O879" s="4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2"/>
        <v>43845.25</v>
      </c>
      <c r="O880" s="4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2"/>
        <v>42788.25</v>
      </c>
      <c r="O881" s="4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2"/>
        <v>43667.208333333328</v>
      </c>
      <c r="O882" s="4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2"/>
        <v>42194.208333333328</v>
      </c>
      <c r="O883" s="4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2"/>
        <v>42025.25</v>
      </c>
      <c r="O884" s="4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2"/>
        <v>40323.208333333336</v>
      </c>
      <c r="O885" s="4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2"/>
        <v>41763.208333333336</v>
      </c>
      <c r="O886" s="4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2"/>
        <v>40335.208333333336</v>
      </c>
      <c r="O887" s="4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2"/>
        <v>40416.208333333336</v>
      </c>
      <c r="O888" s="4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2"/>
        <v>42202.208333333328</v>
      </c>
      <c r="O889" s="4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2"/>
        <v>42836.208333333328</v>
      </c>
      <c r="O890" s="4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2"/>
        <v>41710.208333333336</v>
      </c>
      <c r="O891" s="4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2"/>
        <v>43640.208333333328</v>
      </c>
      <c r="O892" s="4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2"/>
        <v>40880.25</v>
      </c>
      <c r="O893" s="4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2"/>
        <v>40319.208333333336</v>
      </c>
      <c r="O894" s="4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2"/>
        <v>42170.208333333328</v>
      </c>
      <c r="O895" s="4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2"/>
        <v>41466.208333333336</v>
      </c>
      <c r="O896" s="4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2"/>
        <v>43134.25</v>
      </c>
      <c r="O897" s="4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ref="N898:N961" si="56">DATE(1970,1,1)+(L898/86400)</f>
        <v>40738.208333333336</v>
      </c>
      <c r="O898" s="4">
        <f t="shared" ref="O898:O961" si="57">DATE(1970,1,1)+(M898/86400)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8">ROUND((E899/D899)*100,0)</f>
        <v>28</v>
      </c>
      <c r="G899" t="s">
        <v>14</v>
      </c>
      <c r="H899">
        <v>27</v>
      </c>
      <c r="I899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si="56"/>
        <v>43583.208333333328</v>
      </c>
      <c r="O899" s="4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8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6"/>
        <v>43815.25</v>
      </c>
      <c r="O900" s="4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6"/>
        <v>41554.208333333336</v>
      </c>
      <c r="O901" s="4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6"/>
        <v>41901.208333333336</v>
      </c>
      <c r="O902" s="4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6"/>
        <v>43298.208333333328</v>
      </c>
      <c r="O903" s="4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6"/>
        <v>42399.25</v>
      </c>
      <c r="O904" s="4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6"/>
        <v>41034.208333333336</v>
      </c>
      <c r="O905" s="4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6"/>
        <v>41186.208333333336</v>
      </c>
      <c r="O906" s="4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6"/>
        <v>41536.208333333336</v>
      </c>
      <c r="O907" s="4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6"/>
        <v>42868.208333333328</v>
      </c>
      <c r="O908" s="4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6"/>
        <v>40660.208333333336</v>
      </c>
      <c r="O909" s="4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6"/>
        <v>41031.208333333336</v>
      </c>
      <c r="O910" s="4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6"/>
        <v>43255.208333333328</v>
      </c>
      <c r="O911" s="4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6"/>
        <v>42026.25</v>
      </c>
      <c r="O912" s="4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6"/>
        <v>43717.208333333328</v>
      </c>
      <c r="O913" s="4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6"/>
        <v>41157.208333333336</v>
      </c>
      <c r="O914" s="4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6"/>
        <v>43597.208333333328</v>
      </c>
      <c r="O915" s="4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6"/>
        <v>41490.208333333336</v>
      </c>
      <c r="O916" s="4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6"/>
        <v>42976.208333333328</v>
      </c>
      <c r="O917" s="4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6"/>
        <v>41991.25</v>
      </c>
      <c r="O918" s="4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6"/>
        <v>40722.208333333336</v>
      </c>
      <c r="O919" s="4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6"/>
        <v>41117.208333333336</v>
      </c>
      <c r="O920" s="4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6"/>
        <v>43022.208333333328</v>
      </c>
      <c r="O921" s="4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6"/>
        <v>43503.25</v>
      </c>
      <c r="O922" s="4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6"/>
        <v>40951.25</v>
      </c>
      <c r="O923" s="4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6"/>
        <v>43443.25</v>
      </c>
      <c r="O924" s="4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6"/>
        <v>40373.208333333336</v>
      </c>
      <c r="O925" s="4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6"/>
        <v>43769.208333333328</v>
      </c>
      <c r="O926" s="4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6"/>
        <v>43000.208333333328</v>
      </c>
      <c r="O927" s="4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6"/>
        <v>42502.208333333328</v>
      </c>
      <c r="O928" s="4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6"/>
        <v>41102.208333333336</v>
      </c>
      <c r="O929" s="4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6"/>
        <v>41637.25</v>
      </c>
      <c r="O930" s="4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6"/>
        <v>42858.208333333328</v>
      </c>
      <c r="O931" s="4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6"/>
        <v>42060.25</v>
      </c>
      <c r="O932" s="4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6"/>
        <v>41818.208333333336</v>
      </c>
      <c r="O933" s="4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6"/>
        <v>41709.208333333336</v>
      </c>
      <c r="O934" s="4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6"/>
        <v>41372.208333333336</v>
      </c>
      <c r="O935" s="4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6"/>
        <v>42422.25</v>
      </c>
      <c r="O936" s="4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6"/>
        <v>42209.208333333328</v>
      </c>
      <c r="O937" s="4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6"/>
        <v>43668.208333333328</v>
      </c>
      <c r="O938" s="4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6"/>
        <v>42334.25</v>
      </c>
      <c r="O939" s="4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6"/>
        <v>43263.208333333328</v>
      </c>
      <c r="O940" s="4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6"/>
        <v>40670.208333333336</v>
      </c>
      <c r="O941" s="4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6"/>
        <v>41244.25</v>
      </c>
      <c r="O942" s="4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6"/>
        <v>40552.25</v>
      </c>
      <c r="O943" s="4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6"/>
        <v>40568.25</v>
      </c>
      <c r="O944" s="4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6"/>
        <v>41906.208333333336</v>
      </c>
      <c r="O945" s="4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6"/>
        <v>42776.25</v>
      </c>
      <c r="O946" s="4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6"/>
        <v>41004.208333333336</v>
      </c>
      <c r="O947" s="4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6"/>
        <v>40710.208333333336</v>
      </c>
      <c r="O948" s="4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6"/>
        <v>41908.208333333336</v>
      </c>
      <c r="O949" s="4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6"/>
        <v>41985.25</v>
      </c>
      <c r="O950" s="4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6"/>
        <v>42112.208333333328</v>
      </c>
      <c r="O951" s="4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6"/>
        <v>43571.208333333328</v>
      </c>
      <c r="O952" s="4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6"/>
        <v>42730.25</v>
      </c>
      <c r="O953" s="4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6"/>
        <v>42591.208333333328</v>
      </c>
      <c r="O954" s="4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6"/>
        <v>42358.25</v>
      </c>
      <c r="O955" s="4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6"/>
        <v>41174.208333333336</v>
      </c>
      <c r="O956" s="4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6"/>
        <v>41238.25</v>
      </c>
      <c r="O957" s="4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6"/>
        <v>42360.25</v>
      </c>
      <c r="O958" s="4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6"/>
        <v>40955.25</v>
      </c>
      <c r="O959" s="4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6"/>
        <v>40350.208333333336</v>
      </c>
      <c r="O960" s="4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6"/>
        <v>40357.208333333336</v>
      </c>
      <c r="O961" s="4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ref="N962:N1001" si="60">DATE(1970,1,1)+(L962/86400)</f>
        <v>42408.25</v>
      </c>
      <c r="O962" s="4">
        <f t="shared" ref="O962:O1001" si="61">DATE(1970,1,1)+(M962/86400)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2">ROUND((E963/D963)*100,0)</f>
        <v>119</v>
      </c>
      <c r="G963" t="s">
        <v>20</v>
      </c>
      <c r="H963">
        <v>155</v>
      </c>
      <c r="I963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si="60"/>
        <v>40591.25</v>
      </c>
      <c r="O963" s="4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2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0"/>
        <v>41592.25</v>
      </c>
      <c r="O964" s="4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0"/>
        <v>40607.25</v>
      </c>
      <c r="O965" s="4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0"/>
        <v>42135.208333333328</v>
      </c>
      <c r="O966" s="4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0"/>
        <v>40203.25</v>
      </c>
      <c r="O967" s="4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0"/>
        <v>42901.208333333328</v>
      </c>
      <c r="O968" s="4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0"/>
        <v>41005.208333333336</v>
      </c>
      <c r="O969" s="4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0"/>
        <v>40544.25</v>
      </c>
      <c r="O970" s="4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0"/>
        <v>43821.25</v>
      </c>
      <c r="O971" s="4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0"/>
        <v>40672.208333333336</v>
      </c>
      <c r="O972" s="4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0"/>
        <v>41555.208333333336</v>
      </c>
      <c r="O973" s="4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0"/>
        <v>41792.208333333336</v>
      </c>
      <c r="O974" s="4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0"/>
        <v>40522.25</v>
      </c>
      <c r="O975" s="4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0"/>
        <v>41412.208333333336</v>
      </c>
      <c r="O976" s="4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0"/>
        <v>42337.25</v>
      </c>
      <c r="O977" s="4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0"/>
        <v>40571.25</v>
      </c>
      <c r="O978" s="4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0"/>
        <v>43138.25</v>
      </c>
      <c r="O979" s="4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0"/>
        <v>42686.25</v>
      </c>
      <c r="O980" s="4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0"/>
        <v>42078.208333333328</v>
      </c>
      <c r="O981" s="4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0"/>
        <v>42307.208333333328</v>
      </c>
      <c r="O982" s="4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0"/>
        <v>43094.25</v>
      </c>
      <c r="O983" s="4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0"/>
        <v>40743.208333333336</v>
      </c>
      <c r="O984" s="4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0"/>
        <v>43681.208333333328</v>
      </c>
      <c r="O985" s="4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0"/>
        <v>43716.208333333328</v>
      </c>
      <c r="O986" s="4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0"/>
        <v>41614.25</v>
      </c>
      <c r="O987" s="4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0"/>
        <v>40638.208333333336</v>
      </c>
      <c r="O988" s="4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0"/>
        <v>42852.208333333328</v>
      </c>
      <c r="O989" s="4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0"/>
        <v>42686.25</v>
      </c>
      <c r="O990" s="4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0"/>
        <v>43571.208333333328</v>
      </c>
      <c r="O991" s="4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0"/>
        <v>42432.25</v>
      </c>
      <c r="O992" s="4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0"/>
        <v>41907.208333333336</v>
      </c>
      <c r="O993" s="4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0"/>
        <v>43227.208333333328</v>
      </c>
      <c r="O994" s="4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0"/>
        <v>42362.25</v>
      </c>
      <c r="O995" s="4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0"/>
        <v>41929.208333333336</v>
      </c>
      <c r="O996" s="4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0"/>
        <v>43408.208333333328</v>
      </c>
      <c r="O997" s="4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0"/>
        <v>41276.25</v>
      </c>
      <c r="O998" s="4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0"/>
        <v>41659.25</v>
      </c>
      <c r="O999" s="4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0"/>
        <v>40220.25</v>
      </c>
      <c r="O1000" s="4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0"/>
        <v>42550.208333333328</v>
      </c>
      <c r="O1001" s="4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ellIs" dxfId="5" priority="4" operator="equal">
      <formula>"successful"</formula>
    </cfRule>
    <cfRule type="cellIs" dxfId="4" priority="5" operator="equal">
      <formula>"failed"</formula>
    </cfRule>
    <cfRule type="cellIs" dxfId="3" priority="6" operator="equal">
      <formula>"canceled"</formula>
    </cfRule>
    <cfRule type="cellIs" dxfId="2" priority="7" operator="equal">
      <formula>"live"</formula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FA676C"/>
        <color rgb="FF7BC555"/>
        <color rgb="FF0070B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CF13-84C9-F545-93F9-174E27BD716E}"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3" spans="1:6" x14ac:dyDescent="0.2">
      <c r="A3" s="5" t="s">
        <v>2048</v>
      </c>
      <c r="B3" s="5" t="s">
        <v>2047</v>
      </c>
    </row>
    <row r="4" spans="1:6" x14ac:dyDescent="0.2">
      <c r="A4" s="5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2040</v>
      </c>
      <c r="E8">
        <v>4</v>
      </c>
      <c r="F8">
        <v>4</v>
      </c>
    </row>
    <row r="9" spans="1:6" x14ac:dyDescent="0.2">
      <c r="A9" s="6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D376-E442-F741-91A8-600AD3F38DD0}">
  <dimension ref="A1:F12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2" spans="1:6" x14ac:dyDescent="0.2">
      <c r="A2" s="5" t="s">
        <v>2030</v>
      </c>
      <c r="B2" t="s">
        <v>2037</v>
      </c>
    </row>
    <row r="4" spans="1:6" x14ac:dyDescent="0.2">
      <c r="A4" s="5" t="s">
        <v>2048</v>
      </c>
      <c r="B4" s="5" t="s">
        <v>2047</v>
      </c>
    </row>
    <row r="5" spans="1:6" x14ac:dyDescent="0.2">
      <c r="A5" s="5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2050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6" t="s">
        <v>2051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6" t="s">
        <v>2052</v>
      </c>
      <c r="C9">
        <v>9</v>
      </c>
      <c r="E9">
        <v>5</v>
      </c>
      <c r="F9">
        <v>14</v>
      </c>
    </row>
    <row r="10" spans="1:6" x14ac:dyDescent="0.2">
      <c r="A10" s="6" t="s">
        <v>2053</v>
      </c>
      <c r="B10">
        <v>1</v>
      </c>
      <c r="C10">
        <v>5</v>
      </c>
      <c r="D10">
        <v>1</v>
      </c>
      <c r="E10">
        <v>9</v>
      </c>
      <c r="F10">
        <v>16</v>
      </c>
    </row>
    <row r="11" spans="1:6" x14ac:dyDescent="0.2">
      <c r="A11" s="6" t="s">
        <v>2054</v>
      </c>
      <c r="B11">
        <v>3</v>
      </c>
      <c r="C11">
        <v>3</v>
      </c>
      <c r="E11">
        <v>11</v>
      </c>
      <c r="F11">
        <v>17</v>
      </c>
    </row>
    <row r="12" spans="1:6" x14ac:dyDescent="0.2">
      <c r="A12" s="6" t="s">
        <v>2046</v>
      </c>
      <c r="B12">
        <v>11</v>
      </c>
      <c r="C12">
        <v>60</v>
      </c>
      <c r="D12">
        <v>5</v>
      </c>
      <c r="E12">
        <v>102</v>
      </c>
      <c r="F12">
        <v>178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B887-23B1-834E-BC17-939F4BC4294A}">
  <dimension ref="A1:E18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2030</v>
      </c>
      <c r="B1" t="s">
        <v>2035</v>
      </c>
    </row>
    <row r="2" spans="1:5" x14ac:dyDescent="0.2">
      <c r="A2" s="5" t="s">
        <v>2067</v>
      </c>
      <c r="B2" t="s">
        <v>2035</v>
      </c>
    </row>
    <row r="4" spans="1:5" x14ac:dyDescent="0.2">
      <c r="A4" s="5" t="s">
        <v>2048</v>
      </c>
      <c r="B4" s="5" t="s">
        <v>2047</v>
      </c>
    </row>
    <row r="5" spans="1:5" x14ac:dyDescent="0.2">
      <c r="A5" s="5" t="s">
        <v>2036</v>
      </c>
      <c r="B5" t="s">
        <v>74</v>
      </c>
      <c r="C5" t="s">
        <v>14</v>
      </c>
      <c r="D5" t="s">
        <v>20</v>
      </c>
      <c r="E5" t="s">
        <v>2046</v>
      </c>
    </row>
    <row r="6" spans="1:5" x14ac:dyDescent="0.2">
      <c r="A6" s="7" t="s">
        <v>2055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2056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2057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2058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2059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2060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2061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2062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2063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2064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2065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2066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6D4C-8916-1249-9C55-1F90B39B5D00}">
  <dimension ref="A1:H13"/>
  <sheetViews>
    <sheetView workbookViewId="0"/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8" t="s">
        <v>2068</v>
      </c>
      <c r="B1" s="8" t="s">
        <v>2069</v>
      </c>
      <c r="C1" s="8" t="s">
        <v>2070</v>
      </c>
      <c r="D1" s="8" t="s">
        <v>2071</v>
      </c>
      <c r="E1" s="8" t="s">
        <v>2072</v>
      </c>
      <c r="F1" s="8" t="s">
        <v>2073</v>
      </c>
      <c r="G1" s="8" t="s">
        <v>2074</v>
      </c>
      <c r="H1" s="8" t="s">
        <v>2075</v>
      </c>
    </row>
    <row r="2" spans="1:8" x14ac:dyDescent="0.2">
      <c r="A2" t="s">
        <v>2076</v>
      </c>
      <c r="B2">
        <f>COUNTIFS(all_outcomes,"=successful",all_goals,"&lt;1000")</f>
        <v>30</v>
      </c>
      <c r="C2">
        <f>COUNTIFS(all_outcomes,"=failed",all_goals,"&lt;1000")</f>
        <v>20</v>
      </c>
      <c r="D2">
        <f>COUNTIFS(all_outcomes,"=canceled",all_goals,"&lt;1000")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2077</v>
      </c>
      <c r="B3">
        <f>COUNTIFS(all_outcomes,"=successful",all_goals,"&gt;=1000",all_goals,"&lt;4999")</f>
        <v>191</v>
      </c>
      <c r="C3">
        <f>COUNTIFS(all_outcomes,"=failed",all_goals,"&gt;=1000",all_goals,"&lt;4999")</f>
        <v>38</v>
      </c>
      <c r="D3">
        <f>COUNTIFS(all_outcomes,"=canceled",all_goals,"&gt;=1000",all_goals,"&lt;4999")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">
      <c r="A4" t="s">
        <v>2078</v>
      </c>
      <c r="B4">
        <f>COUNTIFS(all_outcomes,"=successful",all_goals,"&gt;=5000",all_goals,"&lt;=9999")</f>
        <v>164</v>
      </c>
      <c r="C4">
        <f>COUNTIFS(all_outcomes,"=failed",all_goals,"&gt;=5000",all_goals,"&lt;=9999")</f>
        <v>126</v>
      </c>
      <c r="D4">
        <f>COUNTIFS(all_outcomes,"=canceled",all_goals,"&gt;=5000",all_goals,"&lt;=9999")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2079</v>
      </c>
      <c r="B5">
        <f>COUNTIFS(all_outcomes,"=successful",all_goals,"&gt;=10000",all_goals,"&lt;=14999")</f>
        <v>4</v>
      </c>
      <c r="C5">
        <f>COUNTIFS(all_outcomes,"=failed",all_goals,"&gt;=10000",all_goals,"&lt;=14999")</f>
        <v>5</v>
      </c>
      <c r="D5">
        <f>COUNTIFS(all_outcomes,"=canceled",all_goals,"&gt;=10000",all_goals,"&lt;=14999")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2080</v>
      </c>
      <c r="B6">
        <f>COUNTIFS(all_outcomes,"=successful",all_goals,"&gt;=15000",all_goals,"&lt;=19999")</f>
        <v>10</v>
      </c>
      <c r="C6">
        <f>COUNTIFS(all_outcomes,"=failed",all_goals,"&gt;=15000",all_goals,"&lt;=19999")</f>
        <v>0</v>
      </c>
      <c r="D6">
        <f>COUNTIFS(all_outcomes,"=canceled",all_goals,"&gt;=15000",all_goals,"&lt;=19999")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2081</v>
      </c>
      <c r="B7">
        <f>COUNTIFS(all_outcomes,"=successful",all_goals,"&gt;=20000",all_goals,"&lt;=24999")</f>
        <v>7</v>
      </c>
      <c r="C7">
        <f>COUNTIFS(all_outcomes,"=failed",all_goals,"&gt;=20000",all_goals,"&lt;=24999")</f>
        <v>0</v>
      </c>
      <c r="D7">
        <f>COUNTIFS(all_outcomes,"=canceled",all_goals,"&gt;=20000",all_goals,"&lt;=24999")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2082</v>
      </c>
      <c r="B8">
        <f>COUNTIFS(all_outcomes,"=successful",all_goals,"&gt;=25000",all_goals,"&lt;=29999")</f>
        <v>11</v>
      </c>
      <c r="C8">
        <f>COUNTIFS(all_outcomes,"=failed",all_goals,"&gt;=25000",all_goals,"&lt;=29999")</f>
        <v>3</v>
      </c>
      <c r="D8">
        <f>COUNTIFS(all_outcomes,"=canceled",all_goals,"&gt;=25000",all_goals,"&lt;=29999")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2083</v>
      </c>
      <c r="B9">
        <f>COUNTIFS(all_outcomes,"=successful",all_goals,"&gt;=30000",all_goals,"&lt;=34999")</f>
        <v>7</v>
      </c>
      <c r="C9">
        <f>COUNTIFS(all_outcomes,"=failed",all_goals,"&gt;=30000",all_goals,"&lt;=34999")</f>
        <v>0</v>
      </c>
      <c r="D9">
        <f>COUNTIFS(all_outcomes,"=canceled",all_goals,"&gt;=30000",all_goals,"&lt;=34999")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2084</v>
      </c>
      <c r="B10">
        <f>COUNTIFS(all_outcomes,"=successful",all_goals,"&gt;=35000",all_goals,"&lt;=39999")</f>
        <v>8</v>
      </c>
      <c r="C10">
        <f>COUNTIFS(all_outcomes,"=failed",all_goals,"&gt;=35000",all_goals,"&lt;=39999")</f>
        <v>3</v>
      </c>
      <c r="D10">
        <f>COUNTIFS(all_outcomes,"=canceled",all_goals,"&gt;=35000",all_goals,"&lt;=39999")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2085</v>
      </c>
      <c r="B11">
        <f>COUNTIFS(all_outcomes,"=successful",all_goals,"&gt;=40000",all_goals,"&lt;=44999")</f>
        <v>11</v>
      </c>
      <c r="C11">
        <f>COUNTIFS(all_outcomes,"=failed",all_goals,"&gt;=40000",all_goals,"&lt;=44999")</f>
        <v>3</v>
      </c>
      <c r="D11">
        <f>COUNTIFS(all_outcomes,"=canceled",all_goals,"&gt;=40000",all_goals,"&lt;=44999")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2086</v>
      </c>
      <c r="B12">
        <f>COUNTIFS(all_outcomes,"=successful",all_goals,"&gt;=45000",all_goals,"&lt;=49999")</f>
        <v>8</v>
      </c>
      <c r="C12">
        <f>COUNTIFS(all_outcomes,"=failed",all_goals,"&gt;=45000",all_goals,"&lt;=49999")</f>
        <v>3</v>
      </c>
      <c r="D12">
        <f>COUNTIFS(all_outcomes,"=canceled",all_goals,"&gt;=45000",all_goals,"&lt;=49999")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2087</v>
      </c>
      <c r="B13">
        <f>COUNTIFS(all_outcomes,"=successful",all_goals,"&gt;=50000")</f>
        <v>114</v>
      </c>
      <c r="C13">
        <f>COUNTIFS(all_outcomes,"=failed",all_goals,"&gt;=50000")</f>
        <v>163</v>
      </c>
      <c r="D13">
        <f>COUNTIFS(all_outcomes,"=canceled",all_goals,"&gt;=50000")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DAB3-D881-D149-BF0E-CE65F2F603A3}">
  <dimension ref="A1:O566"/>
  <sheetViews>
    <sheetView zoomScale="120" zoomScaleNormal="120" workbookViewId="0"/>
  </sheetViews>
  <sheetFormatPr baseColWidth="10" defaultRowHeight="16" x14ac:dyDescent="0.2"/>
  <cols>
    <col min="1" max="1" width="9.5" bestFit="1" customWidth="1"/>
    <col min="2" max="2" width="13" bestFit="1" customWidth="1"/>
    <col min="5" max="5" width="13" bestFit="1" customWidth="1"/>
    <col min="7" max="7" width="22.5" bestFit="1" customWidth="1"/>
    <col min="8" max="8" width="12.1640625" bestFit="1" customWidth="1"/>
    <col min="10" max="10" width="22.83203125" bestFit="1" customWidth="1"/>
    <col min="11" max="11" width="12.1640625" bestFit="1" customWidth="1"/>
  </cols>
  <sheetData>
    <row r="1" spans="1:15" x14ac:dyDescent="0.2">
      <c r="A1" s="8" t="s">
        <v>4</v>
      </c>
      <c r="B1" s="8" t="s">
        <v>5</v>
      </c>
      <c r="C1" s="8"/>
      <c r="D1" s="8" t="s">
        <v>4</v>
      </c>
      <c r="E1" s="8" t="s">
        <v>5</v>
      </c>
      <c r="G1" s="12" t="s">
        <v>2089</v>
      </c>
      <c r="H1" s="12"/>
      <c r="J1" s="12" t="s">
        <v>2095</v>
      </c>
      <c r="K1" s="12"/>
    </row>
    <row r="2" spans="1:15" x14ac:dyDescent="0.2">
      <c r="A2" t="str" cm="1">
        <f t="array" ref="A2:B566">_xlfn._xlws.FILTER(outcomes_and_backers,all_outcomes="successful")</f>
        <v>successful</v>
      </c>
      <c r="B2">
        <v>158</v>
      </c>
      <c r="D2" t="str" cm="1">
        <f t="array" ref="D2:E365">_xlfn._xlws.FILTER(outcomes_and_backers,all_outcomes="failed")</f>
        <v>failed</v>
      </c>
      <c r="E2">
        <v>0</v>
      </c>
      <c r="G2" t="s">
        <v>2088</v>
      </c>
      <c r="H2">
        <f>AVERAGE(backers_successful)</f>
        <v>851.14690265486729</v>
      </c>
      <c r="J2" t="s">
        <v>2088</v>
      </c>
      <c r="K2">
        <f>AVERAGE(backers_failed)</f>
        <v>585.61538461538464</v>
      </c>
      <c r="M2" s="13" t="s">
        <v>2114</v>
      </c>
      <c r="N2" s="13"/>
      <c r="O2" s="13"/>
    </row>
    <row r="3" spans="1:15" x14ac:dyDescent="0.2">
      <c r="A3" t="str">
        <v>successful</v>
      </c>
      <c r="B3">
        <v>1425</v>
      </c>
      <c r="D3" t="str">
        <v>failed</v>
      </c>
      <c r="E3">
        <v>24</v>
      </c>
      <c r="G3" t="s">
        <v>2090</v>
      </c>
      <c r="H3">
        <f>MEDIAN(backers_successful)</f>
        <v>201</v>
      </c>
      <c r="J3" t="s">
        <v>2090</v>
      </c>
      <c r="K3">
        <f>MEDIAN(backers_failed)</f>
        <v>114.5</v>
      </c>
      <c r="M3" s="13"/>
      <c r="N3" s="13"/>
      <c r="O3" s="13"/>
    </row>
    <row r="4" spans="1:15" x14ac:dyDescent="0.2">
      <c r="A4" t="str">
        <v>successful</v>
      </c>
      <c r="B4">
        <v>174</v>
      </c>
      <c r="D4" t="str">
        <v>failed</v>
      </c>
      <c r="E4">
        <v>53</v>
      </c>
      <c r="G4" t="s">
        <v>2091</v>
      </c>
      <c r="H4">
        <f>MIN(backers_successful)</f>
        <v>16</v>
      </c>
      <c r="J4" t="s">
        <v>2091</v>
      </c>
      <c r="K4">
        <f>MIN(backers_failed)</f>
        <v>0</v>
      </c>
      <c r="M4" s="13"/>
      <c r="N4" s="13"/>
      <c r="O4" s="13"/>
    </row>
    <row r="5" spans="1:15" x14ac:dyDescent="0.2">
      <c r="A5" t="str">
        <v>successful</v>
      </c>
      <c r="B5">
        <v>227</v>
      </c>
      <c r="D5" t="str">
        <v>failed</v>
      </c>
      <c r="E5">
        <v>18</v>
      </c>
      <c r="G5" t="s">
        <v>2092</v>
      </c>
      <c r="H5">
        <f>MAX(backers_successful)</f>
        <v>7295</v>
      </c>
      <c r="J5" t="s">
        <v>2092</v>
      </c>
      <c r="K5">
        <f>MAX(backers_failed)</f>
        <v>6080</v>
      </c>
      <c r="M5" s="13"/>
      <c r="N5" s="13"/>
      <c r="O5" s="13"/>
    </row>
    <row r="6" spans="1:15" x14ac:dyDescent="0.2">
      <c r="A6" t="str">
        <v>successful</v>
      </c>
      <c r="B6">
        <v>220</v>
      </c>
      <c r="D6" t="str">
        <v>failed</v>
      </c>
      <c r="E6">
        <v>44</v>
      </c>
      <c r="G6" t="s">
        <v>2093</v>
      </c>
      <c r="H6">
        <f>_xlfn.VAR.S(backers_successful)</f>
        <v>1606216.5936295739</v>
      </c>
      <c r="J6" t="s">
        <v>2093</v>
      </c>
      <c r="K6">
        <f>_xlfn.VAR.S(backers_failed)</f>
        <v>924113.45496927318</v>
      </c>
      <c r="M6" s="13"/>
      <c r="N6" s="13"/>
      <c r="O6" s="13"/>
    </row>
    <row r="7" spans="1:15" x14ac:dyDescent="0.2">
      <c r="A7" t="str">
        <v>successful</v>
      </c>
      <c r="B7">
        <v>98</v>
      </c>
      <c r="D7" t="str">
        <v>failed</v>
      </c>
      <c r="E7">
        <v>27</v>
      </c>
      <c r="G7" t="s">
        <v>2094</v>
      </c>
      <c r="H7">
        <f>STDEV(backers_successful)</f>
        <v>1267.366006183523</v>
      </c>
      <c r="J7" t="s">
        <v>2094</v>
      </c>
      <c r="K7">
        <f>STDEV(backers_failed)</f>
        <v>961.30819978260524</v>
      </c>
      <c r="M7" s="13"/>
      <c r="N7" s="13"/>
      <c r="O7" s="13"/>
    </row>
    <row r="8" spans="1:15" x14ac:dyDescent="0.2">
      <c r="A8" t="str">
        <v>successful</v>
      </c>
      <c r="B8">
        <v>100</v>
      </c>
      <c r="D8" t="str">
        <v>failed</v>
      </c>
      <c r="E8">
        <v>55</v>
      </c>
    </row>
    <row r="9" spans="1:15" x14ac:dyDescent="0.2">
      <c r="A9" t="str">
        <v>successful</v>
      </c>
      <c r="B9">
        <v>1249</v>
      </c>
      <c r="D9" t="str">
        <v>failed</v>
      </c>
      <c r="E9">
        <v>200</v>
      </c>
      <c r="G9" t="s">
        <v>2097</v>
      </c>
      <c r="H9">
        <f>_xlfn.QUARTILE.EXC(backers_successful,1)</f>
        <v>127.5</v>
      </c>
      <c r="J9" t="s">
        <v>2097</v>
      </c>
      <c r="K9">
        <f>_xlfn.QUARTILE.EXC(backers_failed,1)</f>
        <v>38</v>
      </c>
    </row>
    <row r="10" spans="1:15" x14ac:dyDescent="0.2">
      <c r="A10" t="str">
        <v>successful</v>
      </c>
      <c r="B10">
        <v>1396</v>
      </c>
      <c r="D10" t="str">
        <v>failed</v>
      </c>
      <c r="E10">
        <v>452</v>
      </c>
      <c r="G10" t="s">
        <v>2096</v>
      </c>
      <c r="H10">
        <f>_xlfn.QUARTILE.EXC(backers_successful,3)</f>
        <v>1288.5</v>
      </c>
      <c r="J10" t="s">
        <v>2096</v>
      </c>
      <c r="K10">
        <f>_xlfn.QUARTILE.EXC(backers_failed,3)</f>
        <v>789.5</v>
      </c>
    </row>
    <row r="11" spans="1:15" x14ac:dyDescent="0.2">
      <c r="A11" t="str">
        <v>successful</v>
      </c>
      <c r="B11">
        <v>890</v>
      </c>
      <c r="D11" t="str">
        <v>failed</v>
      </c>
      <c r="E11">
        <v>674</v>
      </c>
      <c r="G11" t="s">
        <v>2098</v>
      </c>
      <c r="H11">
        <f>H10-H9</f>
        <v>1161</v>
      </c>
      <c r="J11" t="s">
        <v>2098</v>
      </c>
      <c r="K11">
        <f>K10-K9</f>
        <v>751.5</v>
      </c>
    </row>
    <row r="12" spans="1:15" x14ac:dyDescent="0.2">
      <c r="A12" t="str">
        <v>successful</v>
      </c>
      <c r="B12">
        <v>142</v>
      </c>
      <c r="D12" t="str">
        <v>failed</v>
      </c>
      <c r="E12">
        <v>558</v>
      </c>
      <c r="G12" t="s">
        <v>2099</v>
      </c>
      <c r="H12">
        <f>H9-(1.5*H11)</f>
        <v>-1614</v>
      </c>
      <c r="J12" t="s">
        <v>2099</v>
      </c>
      <c r="K12">
        <f>K9-(1.5*K11)</f>
        <v>-1089.25</v>
      </c>
    </row>
    <row r="13" spans="1:15" x14ac:dyDescent="0.2">
      <c r="A13" t="str">
        <v>successful</v>
      </c>
      <c r="B13">
        <v>2673</v>
      </c>
      <c r="D13" t="str">
        <v>failed</v>
      </c>
      <c r="E13">
        <v>15</v>
      </c>
      <c r="G13" t="s">
        <v>2100</v>
      </c>
      <c r="H13">
        <f>H10+(1.5*H11)</f>
        <v>3030</v>
      </c>
      <c r="J13" t="s">
        <v>2100</v>
      </c>
      <c r="K13">
        <f>K10+(1.5*K11)</f>
        <v>1916.75</v>
      </c>
    </row>
    <row r="14" spans="1:15" x14ac:dyDescent="0.2">
      <c r="A14" t="str">
        <v>successful</v>
      </c>
      <c r="B14">
        <v>163</v>
      </c>
      <c r="D14" t="str">
        <v>failed</v>
      </c>
      <c r="E14">
        <v>2307</v>
      </c>
      <c r="G14" t="s">
        <v>2101</v>
      </c>
      <c r="H14">
        <f>COUNTIF(backers_successful,"&gt;="&amp;H13)</f>
        <v>41</v>
      </c>
      <c r="J14" t="s">
        <v>2101</v>
      </c>
      <c r="K14">
        <f>COUNTIF(backers_failed,"&gt;="&amp;K13)</f>
        <v>31</v>
      </c>
    </row>
    <row r="15" spans="1:15" x14ac:dyDescent="0.2">
      <c r="A15" t="str">
        <v>successful</v>
      </c>
      <c r="B15">
        <v>2220</v>
      </c>
      <c r="D15" t="str">
        <v>failed</v>
      </c>
      <c r="E15">
        <v>88</v>
      </c>
      <c r="G15" t="s">
        <v>2102</v>
      </c>
      <c r="H15">
        <f>COUNTA(backers_successful)</f>
        <v>565</v>
      </c>
      <c r="J15" t="s">
        <v>2102</v>
      </c>
      <c r="K15">
        <f>COUNTA(backers_failed)</f>
        <v>364</v>
      </c>
    </row>
    <row r="16" spans="1:15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mergeCells count="3">
    <mergeCell ref="G1:H1"/>
    <mergeCell ref="J1:K1"/>
    <mergeCell ref="M2:O7"/>
  </mergeCells>
  <conditionalFormatting sqref="A2:A1001">
    <cfRule type="containsText" dxfId="1" priority="1" operator="containsText" text="successful">
      <formula>NOT(ISERROR(SEARCH("successful",A2)))</formula>
    </cfRule>
  </conditionalFormatting>
  <conditionalFormatting sqref="D2:D1001">
    <cfRule type="containsText" dxfId="0" priority="2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B119-2F6E-D44F-9DE2-E921A9AADE8A}">
  <dimension ref="A1:I10"/>
  <sheetViews>
    <sheetView workbookViewId="0"/>
  </sheetViews>
  <sheetFormatPr baseColWidth="10" defaultRowHeight="16" x14ac:dyDescent="0.2"/>
  <cols>
    <col min="1" max="1" width="14.33203125" bestFit="1" customWidth="1"/>
    <col min="2" max="2" width="17.1640625" bestFit="1" customWidth="1"/>
    <col min="3" max="3" width="13.5" bestFit="1" customWidth="1"/>
    <col min="4" max="4" width="15.83203125" bestFit="1" customWidth="1"/>
    <col min="6" max="6" width="19.5" bestFit="1" customWidth="1"/>
    <col min="7" max="7" width="15.83203125" bestFit="1" customWidth="1"/>
    <col min="8" max="8" width="32.33203125" bestFit="1" customWidth="1"/>
    <col min="9" max="9" width="25" bestFit="1" customWidth="1"/>
  </cols>
  <sheetData>
    <row r="1" spans="1:9" x14ac:dyDescent="0.2">
      <c r="A1" s="8" t="s">
        <v>2030</v>
      </c>
      <c r="B1" s="8" t="s">
        <v>2104</v>
      </c>
      <c r="C1" s="8" t="s">
        <v>2105</v>
      </c>
      <c r="D1" s="8" t="s">
        <v>2103</v>
      </c>
      <c r="E1" s="10" t="s">
        <v>2106</v>
      </c>
      <c r="F1" s="8" t="s">
        <v>2107</v>
      </c>
      <c r="G1" s="8" t="s">
        <v>2074</v>
      </c>
      <c r="H1" s="8" t="s">
        <v>2108</v>
      </c>
      <c r="I1" s="8" t="s">
        <v>2109</v>
      </c>
    </row>
    <row r="2" spans="1:9" x14ac:dyDescent="0.2">
      <c r="A2" t="str" cm="1">
        <f t="array" ref="A2:A10">_xlfn.UNIQUE(parent_category)</f>
        <v>food</v>
      </c>
      <c r="B2">
        <f t="shared" ref="B2:B10" si="0">COUNTIFS(all_outcomes,"=successful",parent_category,"="&amp;A2)</f>
        <v>22</v>
      </c>
      <c r="C2">
        <f t="shared" ref="C2:C10" si="1">COUNTIFS(all_outcomes,"=failed",parent_category,"="&amp;A2)</f>
        <v>20</v>
      </c>
      <c r="D2">
        <f t="shared" ref="D2:D10" si="2">COUNTIFS(all_outcomes,"=canceled",parent_category,"="&amp;A2)</f>
        <v>4</v>
      </c>
      <c r="E2">
        <f>SUM(B2:D2)</f>
        <v>46</v>
      </c>
      <c r="F2" s="9">
        <f>B2/E2</f>
        <v>0.47826086956521741</v>
      </c>
      <c r="G2" s="9">
        <f>C2/E2</f>
        <v>0.43478260869565216</v>
      </c>
      <c r="H2">
        <f t="shared" ref="H2:H10" si="3">SUMIFS(all_backers,parent_category,"="&amp;A2,all_outcomes,"=successful")</f>
        <v>12761</v>
      </c>
      <c r="I2">
        <f t="shared" ref="I2:I10" si="4">SUMIFS(all_goals,parent_category,"="&amp;A2,all_outcomes,"=successful")</f>
        <v>399600</v>
      </c>
    </row>
    <row r="3" spans="1:9" x14ac:dyDescent="0.2">
      <c r="A3" t="str">
        <v>music</v>
      </c>
      <c r="B3">
        <f t="shared" si="0"/>
        <v>99</v>
      </c>
      <c r="C3">
        <f t="shared" si="1"/>
        <v>66</v>
      </c>
      <c r="D3">
        <f t="shared" si="2"/>
        <v>10</v>
      </c>
      <c r="E3">
        <f t="shared" ref="E3:E10" si="5">SUM(B3:D3)</f>
        <v>175</v>
      </c>
      <c r="F3" s="9">
        <f t="shared" ref="F3:F10" si="6">B3/E3</f>
        <v>0.56571428571428573</v>
      </c>
      <c r="G3" s="9">
        <f t="shared" ref="G3:G10" si="7">C3/E3</f>
        <v>0.37714285714285717</v>
      </c>
      <c r="H3">
        <f t="shared" si="3"/>
        <v>92820</v>
      </c>
      <c r="I3">
        <f t="shared" si="4"/>
        <v>2798000</v>
      </c>
    </row>
    <row r="4" spans="1:9" x14ac:dyDescent="0.2">
      <c r="A4" t="str">
        <v>technology</v>
      </c>
      <c r="B4">
        <f t="shared" si="0"/>
        <v>64</v>
      </c>
      <c r="C4">
        <f t="shared" si="1"/>
        <v>28</v>
      </c>
      <c r="D4">
        <f t="shared" si="2"/>
        <v>2</v>
      </c>
      <c r="E4">
        <f t="shared" si="5"/>
        <v>94</v>
      </c>
      <c r="F4" s="9">
        <f t="shared" si="6"/>
        <v>0.68085106382978722</v>
      </c>
      <c r="G4" s="9">
        <f t="shared" si="7"/>
        <v>0.2978723404255319</v>
      </c>
      <c r="H4">
        <f t="shared" si="3"/>
        <v>56203</v>
      </c>
      <c r="I4">
        <f t="shared" si="4"/>
        <v>1875300</v>
      </c>
    </row>
    <row r="5" spans="1:9" x14ac:dyDescent="0.2">
      <c r="A5" t="str">
        <v>theater</v>
      </c>
      <c r="B5">
        <f t="shared" si="0"/>
        <v>187</v>
      </c>
      <c r="C5">
        <f t="shared" si="1"/>
        <v>132</v>
      </c>
      <c r="D5">
        <f t="shared" si="2"/>
        <v>23</v>
      </c>
      <c r="E5">
        <f t="shared" si="5"/>
        <v>342</v>
      </c>
      <c r="F5" s="9">
        <f t="shared" si="6"/>
        <v>0.54678362573099415</v>
      </c>
      <c r="G5" s="9">
        <f t="shared" si="7"/>
        <v>0.38596491228070173</v>
      </c>
      <c r="H5">
        <f t="shared" si="3"/>
        <v>181835</v>
      </c>
      <c r="I5">
        <f t="shared" si="4"/>
        <v>5385600</v>
      </c>
    </row>
    <row r="6" spans="1:9" x14ac:dyDescent="0.2">
      <c r="A6" t="str">
        <v>film &amp; video</v>
      </c>
      <c r="B6">
        <f t="shared" si="0"/>
        <v>102</v>
      </c>
      <c r="C6">
        <f t="shared" si="1"/>
        <v>60</v>
      </c>
      <c r="D6">
        <f t="shared" si="2"/>
        <v>11</v>
      </c>
      <c r="E6">
        <f t="shared" si="5"/>
        <v>173</v>
      </c>
      <c r="F6" s="9">
        <f t="shared" si="6"/>
        <v>0.58959537572254339</v>
      </c>
      <c r="G6" s="9">
        <f t="shared" si="7"/>
        <v>0.34682080924855491</v>
      </c>
      <c r="H6">
        <f t="shared" si="3"/>
        <v>71325</v>
      </c>
      <c r="I6">
        <f t="shared" si="4"/>
        <v>2612400</v>
      </c>
    </row>
    <row r="7" spans="1:9" x14ac:dyDescent="0.2">
      <c r="A7" t="str">
        <v>publishing</v>
      </c>
      <c r="B7">
        <f t="shared" si="0"/>
        <v>40</v>
      </c>
      <c r="C7">
        <f t="shared" si="1"/>
        <v>24</v>
      </c>
      <c r="D7">
        <f t="shared" si="2"/>
        <v>2</v>
      </c>
      <c r="E7">
        <f t="shared" si="5"/>
        <v>66</v>
      </c>
      <c r="F7" s="9">
        <f t="shared" si="6"/>
        <v>0.60606060606060608</v>
      </c>
      <c r="G7" s="9">
        <f t="shared" si="7"/>
        <v>0.36363636363636365</v>
      </c>
      <c r="H7">
        <f t="shared" si="3"/>
        <v>35040</v>
      </c>
      <c r="I7">
        <f t="shared" si="4"/>
        <v>1074000</v>
      </c>
    </row>
    <row r="8" spans="1:9" x14ac:dyDescent="0.2">
      <c r="A8" t="str">
        <v>games</v>
      </c>
      <c r="B8">
        <f t="shared" si="0"/>
        <v>21</v>
      </c>
      <c r="C8">
        <f t="shared" si="1"/>
        <v>23</v>
      </c>
      <c r="D8">
        <f t="shared" si="2"/>
        <v>1</v>
      </c>
      <c r="E8">
        <f t="shared" si="5"/>
        <v>45</v>
      </c>
      <c r="F8" s="9">
        <f t="shared" si="6"/>
        <v>0.46666666666666667</v>
      </c>
      <c r="G8" s="9">
        <f t="shared" si="7"/>
        <v>0.51111111111111107</v>
      </c>
      <c r="H8">
        <f t="shared" si="3"/>
        <v>12790</v>
      </c>
      <c r="I8">
        <f t="shared" si="4"/>
        <v>373600</v>
      </c>
    </row>
    <row r="9" spans="1:9" x14ac:dyDescent="0.2">
      <c r="A9" t="str">
        <v>photography</v>
      </c>
      <c r="B9">
        <f t="shared" si="0"/>
        <v>26</v>
      </c>
      <c r="C9">
        <f t="shared" si="1"/>
        <v>11</v>
      </c>
      <c r="D9">
        <f t="shared" si="2"/>
        <v>4</v>
      </c>
      <c r="E9">
        <f t="shared" si="5"/>
        <v>41</v>
      </c>
      <c r="F9" s="9">
        <f t="shared" si="6"/>
        <v>0.63414634146341464</v>
      </c>
      <c r="G9" s="9">
        <f t="shared" si="7"/>
        <v>0.26829268292682928</v>
      </c>
      <c r="H9">
        <f t="shared" si="3"/>
        <v>16930</v>
      </c>
      <c r="I9">
        <f t="shared" si="4"/>
        <v>374800</v>
      </c>
    </row>
    <row r="10" spans="1:9" x14ac:dyDescent="0.2">
      <c r="A10" t="str">
        <v>journalism</v>
      </c>
      <c r="B10">
        <f t="shared" si="0"/>
        <v>4</v>
      </c>
      <c r="C10">
        <f t="shared" si="1"/>
        <v>0</v>
      </c>
      <c r="D10">
        <f t="shared" si="2"/>
        <v>0</v>
      </c>
      <c r="E10">
        <f t="shared" si="5"/>
        <v>4</v>
      </c>
      <c r="F10" s="9">
        <f t="shared" si="6"/>
        <v>1</v>
      </c>
      <c r="G10" s="9">
        <f t="shared" si="7"/>
        <v>0</v>
      </c>
      <c r="H10">
        <f t="shared" si="3"/>
        <v>1194</v>
      </c>
      <c r="I10">
        <f t="shared" si="4"/>
        <v>25700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70BD-4373-2A47-B75F-49A6AC964345}">
  <dimension ref="A1:K10"/>
  <sheetViews>
    <sheetView workbookViewId="0"/>
  </sheetViews>
  <sheetFormatPr baseColWidth="10" defaultRowHeight="16" x14ac:dyDescent="0.2"/>
  <cols>
    <col min="1" max="1" width="14.33203125" bestFit="1" customWidth="1"/>
    <col min="2" max="2" width="17.1640625" bestFit="1" customWidth="1"/>
    <col min="3" max="3" width="13.5" bestFit="1" customWidth="1"/>
    <col min="4" max="4" width="15.83203125" bestFit="1" customWidth="1"/>
    <col min="5" max="5" width="10.6640625" customWidth="1"/>
    <col min="6" max="6" width="19.5" bestFit="1" customWidth="1"/>
    <col min="7" max="7" width="15.83203125" bestFit="1" customWidth="1"/>
    <col min="8" max="8" width="31.83203125" bestFit="1" customWidth="1"/>
    <col min="9" max="9" width="25" bestFit="1" customWidth="1"/>
    <col min="10" max="10" width="22.6640625" bestFit="1" customWidth="1"/>
    <col min="11" max="11" width="12.33203125" bestFit="1" customWidth="1"/>
  </cols>
  <sheetData>
    <row r="1" spans="1:11" x14ac:dyDescent="0.2">
      <c r="A1" s="8" t="s">
        <v>2030</v>
      </c>
      <c r="B1" s="8" t="s">
        <v>2104</v>
      </c>
      <c r="C1" s="8" t="s">
        <v>2105</v>
      </c>
      <c r="D1" s="8" t="s">
        <v>2103</v>
      </c>
      <c r="E1" s="10" t="s">
        <v>2106</v>
      </c>
      <c r="F1" s="8" t="s">
        <v>2107</v>
      </c>
      <c r="G1" s="8" t="s">
        <v>2074</v>
      </c>
      <c r="H1" s="8" t="s">
        <v>2108</v>
      </c>
      <c r="I1" s="8" t="s">
        <v>2109</v>
      </c>
      <c r="J1" s="8" t="s">
        <v>2110</v>
      </c>
      <c r="K1" s="8" t="s">
        <v>2111</v>
      </c>
    </row>
    <row r="2" spans="1:11" x14ac:dyDescent="0.2">
      <c r="A2" t="s">
        <v>2040</v>
      </c>
      <c r="B2">
        <v>4</v>
      </c>
      <c r="C2">
        <v>0</v>
      </c>
      <c r="D2">
        <v>0</v>
      </c>
      <c r="E2">
        <v>4</v>
      </c>
      <c r="F2" s="9">
        <v>1</v>
      </c>
      <c r="G2" s="9">
        <v>0</v>
      </c>
      <c r="H2">
        <v>1194</v>
      </c>
      <c r="I2">
        <v>25700</v>
      </c>
      <c r="J2" s="11">
        <f t="shared" ref="J2:J10" si="0">H2/B2</f>
        <v>298.5</v>
      </c>
      <c r="K2" s="11">
        <f t="shared" ref="K2:K10" si="1">I2/B2</f>
        <v>6425</v>
      </c>
    </row>
    <row r="3" spans="1:11" x14ac:dyDescent="0.2">
      <c r="A3" t="s">
        <v>2044</v>
      </c>
      <c r="B3">
        <v>64</v>
      </c>
      <c r="C3">
        <v>28</v>
      </c>
      <c r="D3">
        <v>2</v>
      </c>
      <c r="E3">
        <v>94</v>
      </c>
      <c r="F3" s="9">
        <v>0.68085106382978722</v>
      </c>
      <c r="G3" s="9">
        <v>0.2978723404255319</v>
      </c>
      <c r="H3">
        <v>56203</v>
      </c>
      <c r="I3">
        <v>1875300</v>
      </c>
      <c r="J3" s="11">
        <f t="shared" si="0"/>
        <v>878.171875</v>
      </c>
      <c r="K3" s="11">
        <f t="shared" si="1"/>
        <v>29301.5625</v>
      </c>
    </row>
    <row r="4" spans="1:11" x14ac:dyDescent="0.2">
      <c r="A4" t="s">
        <v>2042</v>
      </c>
      <c r="B4">
        <v>26</v>
      </c>
      <c r="C4">
        <v>11</v>
      </c>
      <c r="D4">
        <v>4</v>
      </c>
      <c r="E4">
        <v>41</v>
      </c>
      <c r="F4" s="9">
        <v>0.63414634146341464</v>
      </c>
      <c r="G4" s="9">
        <v>0.26829268292682928</v>
      </c>
      <c r="H4">
        <v>16930</v>
      </c>
      <c r="I4">
        <v>374800</v>
      </c>
      <c r="J4" s="11">
        <f t="shared" si="0"/>
        <v>651.15384615384619</v>
      </c>
      <c r="K4" s="11">
        <f t="shared" si="1"/>
        <v>14415.384615384615</v>
      </c>
    </row>
    <row r="5" spans="1:11" x14ac:dyDescent="0.2">
      <c r="A5" t="s">
        <v>2043</v>
      </c>
      <c r="B5">
        <v>40</v>
      </c>
      <c r="C5">
        <v>24</v>
      </c>
      <c r="D5">
        <v>2</v>
      </c>
      <c r="E5">
        <v>66</v>
      </c>
      <c r="F5" s="9">
        <v>0.60606060606060608</v>
      </c>
      <c r="G5" s="9">
        <v>0.36363636363636365</v>
      </c>
      <c r="H5">
        <v>35040</v>
      </c>
      <c r="I5">
        <v>1074000</v>
      </c>
      <c r="J5" s="11">
        <f t="shared" si="0"/>
        <v>876</v>
      </c>
      <c r="K5" s="11">
        <f t="shared" si="1"/>
        <v>26850</v>
      </c>
    </row>
    <row r="6" spans="1:11" x14ac:dyDescent="0.2">
      <c r="A6" t="s">
        <v>2037</v>
      </c>
      <c r="B6">
        <v>102</v>
      </c>
      <c r="C6">
        <v>60</v>
      </c>
      <c r="D6">
        <v>11</v>
      </c>
      <c r="E6">
        <v>173</v>
      </c>
      <c r="F6" s="9">
        <v>0.58959537572254339</v>
      </c>
      <c r="G6" s="9">
        <v>0.34682080924855491</v>
      </c>
      <c r="H6">
        <v>71325</v>
      </c>
      <c r="I6">
        <v>2612400</v>
      </c>
      <c r="J6" s="11">
        <f t="shared" si="0"/>
        <v>699.26470588235293</v>
      </c>
      <c r="K6" s="11">
        <f t="shared" si="1"/>
        <v>25611.764705882353</v>
      </c>
    </row>
    <row r="7" spans="1:11" x14ac:dyDescent="0.2">
      <c r="A7" t="s">
        <v>2041</v>
      </c>
      <c r="B7">
        <v>99</v>
      </c>
      <c r="C7">
        <v>66</v>
      </c>
      <c r="D7">
        <v>10</v>
      </c>
      <c r="E7">
        <v>175</v>
      </c>
      <c r="F7" s="9">
        <v>0.56571428571428573</v>
      </c>
      <c r="G7" s="9">
        <v>0.37714285714285717</v>
      </c>
      <c r="H7">
        <v>92820</v>
      </c>
      <c r="I7">
        <v>2798000</v>
      </c>
      <c r="J7" s="11">
        <f t="shared" si="0"/>
        <v>937.57575757575762</v>
      </c>
      <c r="K7" s="11">
        <f t="shared" si="1"/>
        <v>28262.626262626261</v>
      </c>
    </row>
    <row r="8" spans="1:11" x14ac:dyDescent="0.2">
      <c r="A8" t="s">
        <v>2045</v>
      </c>
      <c r="B8">
        <v>187</v>
      </c>
      <c r="C8">
        <v>132</v>
      </c>
      <c r="D8">
        <v>23</v>
      </c>
      <c r="E8">
        <v>342</v>
      </c>
      <c r="F8" s="9">
        <v>0.54678362573099415</v>
      </c>
      <c r="G8" s="9">
        <v>0.38596491228070173</v>
      </c>
      <c r="H8">
        <v>181835</v>
      </c>
      <c r="I8">
        <v>5385600</v>
      </c>
      <c r="J8" s="11">
        <f t="shared" si="0"/>
        <v>972.37967914438502</v>
      </c>
      <c r="K8" s="11">
        <f t="shared" si="1"/>
        <v>28800</v>
      </c>
    </row>
    <row r="9" spans="1:11" x14ac:dyDescent="0.2">
      <c r="A9" t="s">
        <v>2038</v>
      </c>
      <c r="B9">
        <v>22</v>
      </c>
      <c r="C9">
        <v>20</v>
      </c>
      <c r="D9">
        <v>4</v>
      </c>
      <c r="E9">
        <v>46</v>
      </c>
      <c r="F9" s="9">
        <v>0.47826086956521741</v>
      </c>
      <c r="G9" s="9">
        <v>0.43478260869565216</v>
      </c>
      <c r="H9">
        <v>12761</v>
      </c>
      <c r="I9">
        <v>399600</v>
      </c>
      <c r="J9" s="11">
        <f t="shared" si="0"/>
        <v>580.0454545454545</v>
      </c>
      <c r="K9" s="11">
        <f t="shared" si="1"/>
        <v>18163.636363636364</v>
      </c>
    </row>
    <row r="10" spans="1:11" x14ac:dyDescent="0.2">
      <c r="A10" t="s">
        <v>2039</v>
      </c>
      <c r="B10">
        <v>21</v>
      </c>
      <c r="C10">
        <v>23</v>
      </c>
      <c r="D10">
        <v>1</v>
      </c>
      <c r="E10">
        <v>45</v>
      </c>
      <c r="F10" s="9">
        <v>0.46666666666666667</v>
      </c>
      <c r="G10" s="9">
        <v>0.51111111111111107</v>
      </c>
      <c r="H10">
        <v>12790</v>
      </c>
      <c r="I10">
        <v>373600</v>
      </c>
      <c r="J10" s="11">
        <f t="shared" si="0"/>
        <v>609.04761904761904</v>
      </c>
      <c r="K10" s="11">
        <f t="shared" si="1"/>
        <v>17790.476190476191</v>
      </c>
    </row>
  </sheetData>
  <sortState xmlns:xlrd2="http://schemas.microsoft.com/office/spreadsheetml/2017/richdata2" ref="A2:I10">
    <sortCondition descending="1" ref="F2:F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1038-42D3-104B-920C-75209C4D509C}">
  <dimension ref="A1:D10"/>
  <sheetViews>
    <sheetView workbookViewId="0"/>
  </sheetViews>
  <sheetFormatPr baseColWidth="10" defaultRowHeight="16" x14ac:dyDescent="0.2"/>
  <cols>
    <col min="1" max="1" width="14.33203125" bestFit="1" customWidth="1"/>
    <col min="2" max="2" width="17.1640625" bestFit="1" customWidth="1"/>
    <col min="3" max="3" width="17.33203125" bestFit="1" customWidth="1"/>
    <col min="4" max="5" width="10.83203125" customWidth="1"/>
  </cols>
  <sheetData>
    <row r="1" spans="1:4" x14ac:dyDescent="0.2">
      <c r="A1" s="8" t="s">
        <v>2030</v>
      </c>
      <c r="B1" s="8" t="s">
        <v>2112</v>
      </c>
      <c r="C1" s="8" t="s">
        <v>2113</v>
      </c>
      <c r="D1" s="8"/>
    </row>
    <row r="2" spans="1:4" x14ac:dyDescent="0.2">
      <c r="A2" t="str" cm="1">
        <f t="array" ref="A2:A10">_xlfn.UNIQUE(parent_category)</f>
        <v>food</v>
      </c>
      <c r="B2">
        <f t="shared" ref="B2:B10" si="0">COUNTIFS(all_outcomes,"=successful",parent_category,"="&amp;A2,all_staff_picks,"=TRUE")</f>
        <v>1</v>
      </c>
      <c r="C2">
        <f t="shared" ref="C2:C10" si="1">COUNTIFS(all_outcomes,"=successful",parent_category,"="&amp;A2,all_spotlights,"=TRUE")</f>
        <v>8</v>
      </c>
    </row>
    <row r="3" spans="1:4" x14ac:dyDescent="0.2">
      <c r="A3" t="str">
        <v>music</v>
      </c>
      <c r="B3">
        <f t="shared" si="0"/>
        <v>4</v>
      </c>
      <c r="C3">
        <f t="shared" si="1"/>
        <v>26</v>
      </c>
    </row>
    <row r="4" spans="1:4" x14ac:dyDescent="0.2">
      <c r="A4" t="str">
        <v>technology</v>
      </c>
      <c r="B4">
        <f t="shared" si="0"/>
        <v>4</v>
      </c>
      <c r="C4">
        <f t="shared" si="1"/>
        <v>12</v>
      </c>
    </row>
    <row r="5" spans="1:4" x14ac:dyDescent="0.2">
      <c r="A5" t="str">
        <v>theater</v>
      </c>
      <c r="B5">
        <f t="shared" si="0"/>
        <v>6</v>
      </c>
      <c r="C5">
        <f t="shared" si="1"/>
        <v>46</v>
      </c>
    </row>
    <row r="6" spans="1:4" x14ac:dyDescent="0.2">
      <c r="A6" t="str">
        <v>film &amp; video</v>
      </c>
      <c r="B6">
        <f t="shared" si="0"/>
        <v>8</v>
      </c>
      <c r="C6">
        <f t="shared" si="1"/>
        <v>32</v>
      </c>
    </row>
    <row r="7" spans="1:4" x14ac:dyDescent="0.2">
      <c r="A7" t="str">
        <v>publishing</v>
      </c>
      <c r="B7">
        <f t="shared" si="0"/>
        <v>3</v>
      </c>
      <c r="C7">
        <f t="shared" si="1"/>
        <v>11</v>
      </c>
    </row>
    <row r="8" spans="1:4" x14ac:dyDescent="0.2">
      <c r="A8" t="str">
        <v>games</v>
      </c>
      <c r="B8">
        <f t="shared" si="0"/>
        <v>0</v>
      </c>
      <c r="C8">
        <f t="shared" si="1"/>
        <v>8</v>
      </c>
    </row>
    <row r="9" spans="1:4" x14ac:dyDescent="0.2">
      <c r="A9" t="str">
        <v>photography</v>
      </c>
      <c r="B9">
        <f t="shared" si="0"/>
        <v>2</v>
      </c>
      <c r="C9">
        <f t="shared" si="1"/>
        <v>4</v>
      </c>
    </row>
    <row r="10" spans="1:4" x14ac:dyDescent="0.2">
      <c r="A10" t="str">
        <v>journalism</v>
      </c>
      <c r="B10">
        <f t="shared" si="0"/>
        <v>0</v>
      </c>
      <c r="C10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13</vt:i4>
      </vt:variant>
    </vt:vector>
  </HeadingPairs>
  <TitlesOfParts>
    <vt:vector size="22" baseType="lpstr">
      <vt:lpstr>Crowdfunding</vt:lpstr>
      <vt:lpstr>Sheet1</vt:lpstr>
      <vt:lpstr>Sheet2</vt:lpstr>
      <vt:lpstr>Sheet3</vt:lpstr>
      <vt:lpstr>Sheet4</vt:lpstr>
      <vt:lpstr>Sheet5</vt:lpstr>
      <vt:lpstr>Sheet6</vt:lpstr>
      <vt:lpstr>Sheet6-Copy</vt:lpstr>
      <vt:lpstr>Sheet7</vt:lpstr>
      <vt:lpstr>all_backers</vt:lpstr>
      <vt:lpstr>all_categories</vt:lpstr>
      <vt:lpstr>all_goals</vt:lpstr>
      <vt:lpstr>all_outcomes</vt:lpstr>
      <vt:lpstr>all_spotlights</vt:lpstr>
      <vt:lpstr>all_staff_picks</vt:lpstr>
      <vt:lpstr>average_donations</vt:lpstr>
      <vt:lpstr>backers_failed</vt:lpstr>
      <vt:lpstr>backers_successful</vt:lpstr>
      <vt:lpstr>outcomes_and_backers</vt:lpstr>
      <vt:lpstr>parent_category</vt:lpstr>
      <vt:lpstr>percent_funded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2023-01-03T18:45:25Z</dcterms:modified>
</cp:coreProperties>
</file>