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21DDD2DF-1DC8-5A4D-922E-A268FB8F6FC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  <sheet name="Sheet6" sheetId="8" r:id="rId7"/>
    <sheet name="Sheet6-Copy" sheetId="9" r:id="rId8"/>
    <sheet name="Sheet7" sheetId="10" r:id="rId9"/>
  </sheets>
  <definedNames>
    <definedName name="_xlchart.v1.0" hidden="1">Sheet5!$B$2:$B$566</definedName>
    <definedName name="_xlchart.v1.1" hidden="1">Sheet5!$E$2:$E$365</definedName>
    <definedName name="all_backers">Crowdfunding!$H$2:$H$1001</definedName>
    <definedName name="all_categories">Crowdfunding!$S$2:$T$1001</definedName>
    <definedName name="all_goals">Crowdfunding!$D$2:$D$1001</definedName>
    <definedName name="all_outcomes">Crowdfunding!$G$2:$G$1001</definedName>
    <definedName name="all_spotlights">Crowdfunding!$Q$2:$Q$1001</definedName>
    <definedName name="all_staff_picks">Crowdfunding!$P$2:$P$1001</definedName>
    <definedName name="average_donations">Crowdfunding!$I$2:$I$1001</definedName>
    <definedName name="backers_failed">Sheet5!$E$2:$E$365</definedName>
    <definedName name="backers_successful">Sheet5!$B$2:$B$566</definedName>
    <definedName name="outcomes_and_backers">Crowdfunding!$G$2:$H$1001</definedName>
    <definedName name="parent_category">Crowdfunding!$S$2:$S$1001</definedName>
    <definedName name="percent_funded">Crowdfunding!$F$2:$F$1001</definedName>
    <definedName name="sub_category">Crowdfunding!$T$2:$T$1001</definedName>
  </definedNames>
  <calcPr calcId="191029"/>
  <pivotCaches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2" i="10"/>
  <c r="B3" i="10"/>
  <c r="B4" i="10"/>
  <c r="B5" i="10"/>
  <c r="B6" i="10"/>
  <c r="B7" i="10"/>
  <c r="B8" i="10"/>
  <c r="B9" i="10"/>
  <c r="B10" i="10"/>
  <c r="B2" i="10"/>
  <c r="A2" i="10" a="1"/>
  <c r="A2" i="10" s="1"/>
  <c r="K3" i="9"/>
  <c r="K4" i="9"/>
  <c r="K5" i="9"/>
  <c r="K6" i="9"/>
  <c r="K7" i="9"/>
  <c r="K8" i="9"/>
  <c r="K9" i="9"/>
  <c r="K10" i="9"/>
  <c r="K2" i="9"/>
  <c r="J3" i="9"/>
  <c r="J4" i="9"/>
  <c r="J5" i="9"/>
  <c r="J6" i="9"/>
  <c r="J7" i="9"/>
  <c r="J8" i="9"/>
  <c r="J9" i="9"/>
  <c r="J10" i="9"/>
  <c r="J2" i="9"/>
  <c r="I3" i="8"/>
  <c r="I4" i="8"/>
  <c r="I5" i="8"/>
  <c r="I6" i="8"/>
  <c r="I7" i="8"/>
  <c r="I8" i="8"/>
  <c r="I9" i="8"/>
  <c r="I10" i="8"/>
  <c r="I2" i="8"/>
  <c r="H3" i="8"/>
  <c r="H4" i="8"/>
  <c r="H5" i="8"/>
  <c r="H6" i="8"/>
  <c r="H7" i="8"/>
  <c r="H8" i="8"/>
  <c r="H9" i="8"/>
  <c r="H10" i="8"/>
  <c r="H2" i="8"/>
  <c r="G3" i="8"/>
  <c r="G4" i="8"/>
  <c r="G5" i="8"/>
  <c r="G6" i="8"/>
  <c r="G7" i="8"/>
  <c r="G8" i="8"/>
  <c r="G9" i="8"/>
  <c r="G10" i="8"/>
  <c r="F3" i="8"/>
  <c r="F4" i="8"/>
  <c r="F5" i="8"/>
  <c r="F6" i="8"/>
  <c r="F7" i="8"/>
  <c r="F8" i="8"/>
  <c r="F9" i="8"/>
  <c r="F10" i="8"/>
  <c r="G2" i="8"/>
  <c r="F2" i="8"/>
  <c r="E3" i="8"/>
  <c r="E4" i="8"/>
  <c r="E5" i="8"/>
  <c r="E6" i="8"/>
  <c r="E7" i="8"/>
  <c r="E8" i="8"/>
  <c r="E9" i="8"/>
  <c r="E10" i="8"/>
  <c r="E2" i="8"/>
  <c r="D3" i="8"/>
  <c r="D4" i="8"/>
  <c r="D5" i="8"/>
  <c r="D6" i="8"/>
  <c r="D7" i="8"/>
  <c r="D8" i="8"/>
  <c r="D9" i="8"/>
  <c r="D10" i="8"/>
  <c r="D2" i="8"/>
  <c r="C3" i="8"/>
  <c r="C4" i="8"/>
  <c r="C5" i="8"/>
  <c r="C6" i="8"/>
  <c r="C7" i="8"/>
  <c r="C8" i="8"/>
  <c r="C9" i="8"/>
  <c r="C10" i="8"/>
  <c r="C2" i="8"/>
  <c r="B3" i="8"/>
  <c r="B4" i="8"/>
  <c r="B5" i="8"/>
  <c r="B6" i="8"/>
  <c r="B7" i="8"/>
  <c r="B8" i="8"/>
  <c r="B9" i="8"/>
  <c r="B10" i="8"/>
  <c r="B2" i="8"/>
  <c r="A2" i="8" a="1"/>
  <c r="A2" i="8" s="1"/>
  <c r="K15" i="7"/>
  <c r="H15" i="7"/>
  <c r="K14" i="7"/>
  <c r="H14" i="7"/>
  <c r="K7" i="7"/>
  <c r="K6" i="7"/>
  <c r="K5" i="7"/>
  <c r="K4" i="7"/>
  <c r="K3" i="7"/>
  <c r="K2" i="7"/>
  <c r="K9" i="7"/>
  <c r="K10" i="7"/>
  <c r="H10" i="7"/>
  <c r="H9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<sst xmlns="http://schemas.openxmlformats.org/spreadsheetml/2006/main" count="6186" uniqueCount="2133">
  <si>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</si>
  <si>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</si>
  <si>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</si>
  <si>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</si>
  <si>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</si>
  <si>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</si>
  <si>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</si>
  <si>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</si>
  <si>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</si>
  <si>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</si>
  <si>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</si>
  <si>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</si>
  <si>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</si>
  <si>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</si>
  <si>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</si>
  <si>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</si>
  <si>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</si>
  <si>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</si>
  <si>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</si>
  <si>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</si>
  <si>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</si>
  <si>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</si>
  <si>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</si>
  <si>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</si>
  <si>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</si>
  <si>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</si>
  <si>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</si>
  <si>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</si>
  <si>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</si>
  <si>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</si>
  <si>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</si>
  <si>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</si>
  <si>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</si>
  <si>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</si>
  <si>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</si>
  <si>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</si>
  <si>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</si>
  <si>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</si>
  <si>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</si>
  <si>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</si>
  <si>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</si>
  <si>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</si>
  <si>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</si>
  <si>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</si>
  <si>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</si>
  <si>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</si>
  <si>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</si>
  <si>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</si>
  <si>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</si>
  <si>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</si>
  <si>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</si>
  <si>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</si>
  <si>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</si>
  <si>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</si>
  <si>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</si>
  <si>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</si>
  <si>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</si>
  <si>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</si>
  <si>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</si>
  <si>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</si>
  <si>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</si>
  <si>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</si>
  <si>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</si>
  <si>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</si>
  <si>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</si>
  <si>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</si>
  <si>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</si>
  <si>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</si>
  <si>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</si>
  <si>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</si>
  <si>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</si>
  <si>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</si>
  <si>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</si>
  <si>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</si>
  <si>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</si>
  <si>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</si>
  <si>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</si>
  <si>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</si>
  <si>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</si>
  <si>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</si>
  <si>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</si>
  <si>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</si>
  <si>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</si>
  <si>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</si>
  <si>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</si>
  <si>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</si>
  <si>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</si>
  <si>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</si>
  <si>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</si>
  <si>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</si>
  <si>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</si>
  <si>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</si>
  <si>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</si>
  <si>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</si>
  <si>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</si>
  <si>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</si>
  <si>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</si>
  <si>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</si>
  <si>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</si>
  <si>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</si>
  <si>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</si>
  <si>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</si>
  <si>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</si>
  <si>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</si>
  <si>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</si>
  <si>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</si>
  <si>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</si>
  <si>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</si>
  <si>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</si>
  <si>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</si>
  <si>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</si>
  <si>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</si>
  <si>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</si>
  <si>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</si>
  <si>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</si>
  <si>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</si>
  <si>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</si>
  <si>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</si>
  <si>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</si>
  <si>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</si>
  <si>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</si>
  <si>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</si>
  <si>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</si>
  <si>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</si>
  <si>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</si>
  <si>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</si>
  <si>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</si>
  <si>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</si>
  <si>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</si>
  <si>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</si>
  <si>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</si>
  <si>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</si>
  <si>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</si>
  <si>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</si>
  <si>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</si>
  <si>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</si>
  <si>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</si>
  <si>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</si>
  <si>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</si>
  <si>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</si>
  <si>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</si>
  <si>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</si>
  <si>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</si>
  <si>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</si>
  <si>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</si>
  <si>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</si>
  <si>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</si>
  <si>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</si>
  <si>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</si>
  <si>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</si>
  <si>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</si>
  <si>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</si>
  <si>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</si>
  <si>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</si>
  <si>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</si>
  <si>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</si>
  <si>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</si>
  <si>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</si>
  <si>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</si>
  <si>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</si>
  <si>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</si>
  <si>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</si>
  <si>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</si>
  <si>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</si>
  <si>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</si>
  <si>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</si>
  <si>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</si>
  <si>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</si>
  <si>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</si>
  <si>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</si>
  <si>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</si>
  <si>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</si>
  <si>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</si>
  <si>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</si>
  <si>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</si>
  <si>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</si>
  <si>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</si>
  <si>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</si>
  <si>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</si>
  <si>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</si>
  <si>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</si>
  <si>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</si>
  <si>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</si>
  <si>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</si>
  <si>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</si>
  <si>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</si>
  <si>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</si>
  <si>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</si>
  <si>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</si>
  <si>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</si>
  <si>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</si>
  <si>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</si>
  <si>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</si>
  <si>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</si>
  <si>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</si>
  <si>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</si>
  <si>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</si>
  <si>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</si>
  <si>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</si>
  <si>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</si>
  <si>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</si>
  <si>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</si>
  <si>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</si>
  <si>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</si>
  <si>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</si>
  <si>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</si>
  <si>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</si>
  <si>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</si>
  <si>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</si>
  <si>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</si>
  <si>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</si>
  <si>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</si>
  <si>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</si>
  <si>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</si>
  <si>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</si>
  <si>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</si>
  <si>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</si>
  <si>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</si>
  <si>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</si>
  <si>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</si>
  <si>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</si>
  <si>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</si>
  <si>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</si>
  <si>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</si>
  <si>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</si>
  <si>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</si>
  <si>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</si>
  <si>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</si>
  <si>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</si>
  <si>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</si>
  <si>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</si>
  <si>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</si>
  <si>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</si>
  <si>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</si>
  <si>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</si>
  <si>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</si>
  <si>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</si>
  <si>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</si>
  <si>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</si>
  <si>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</si>
  <si>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</si>
  <si>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</si>
  <si>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</si>
  <si>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</si>
  <si>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</si>
  <si>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</si>
  <si>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</si>
  <si>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</si>
  <si>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</si>
  <si>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</si>
  <si>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</si>
  <si>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</si>
  <si>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</si>
  <si>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</si>
  <si>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</si>
  <si>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</si>
  <si>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</si>
  <si>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</si>
  <si>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</si>
  <si>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</si>
  <si>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</si>
  <si>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</si>
  <si>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</si>
  <si>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</si>
  <si>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</si>
  <si>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</si>
  <si>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</si>
  <si>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</si>
  <si>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</si>
  <si>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</si>
  <si>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</si>
  <si>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</si>
  <si>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</si>
  <si>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</si>
  <si>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</si>
  <si>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</si>
  <si>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</si>
  <si>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</si>
  <si>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</si>
  <si>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</si>
  <si>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</si>
  <si>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</si>
  <si>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</si>
  <si>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</si>
  <si>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</si>
  <si>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</si>
  <si>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</si>
  <si>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</si>
  <si>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</si>
  <si>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</si>
  <si>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</si>
  <si>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</si>
  <si>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</si>
  <si>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</si>
  <si>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</si>
  <si>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</si>
  <si>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</si>
  <si>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</si>
  <si>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</si>
  <si>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</si>
  <si>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</si>
  <si>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</si>
  <si>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</si>
  <si>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</si>
  <si>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</si>
  <si>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</si>
  <si>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</si>
  <si>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</si>
  <si>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</si>
  <si>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</si>
  <si>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</si>
  <si>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</si>
  <si>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</si>
  <si>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</si>
  <si>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</si>
  <si>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</si>
  <si>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</si>
  <si>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</si>
  <si>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</si>
  <si>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</si>
  <si>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</si>
  <si>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</si>
  <si>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</si>
  <si>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</si>
  <si>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</si>
  <si>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</si>
  <si>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</si>
  <si>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</si>
  <si>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</si>
  <si>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</si>
  <si>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</si>
  <si>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</si>
  <si>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</si>
  <si>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</si>
  <si>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</si>
  <si>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</si>
  <si>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</si>
  <si>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</si>
  <si>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</si>
  <si>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</si>
  <si>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</si>
  <si>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</si>
  <si>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</si>
  <si>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</si>
  <si>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</si>
  <si>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</si>
  <si>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</si>
  <si>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</si>
  <si>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</si>
  <si>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</si>
  <si>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</si>
  <si>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</si>
  <si>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</si>
  <si>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</si>
  <si>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</si>
  <si>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</si>
  <si>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</si>
  <si>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</si>
  <si>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</si>
  <si>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</si>
  <si>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</si>
  <si>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</si>
  <si>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</si>
  <si>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</si>
  <si>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</si>
  <si>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</si>
  <si>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</si>
  <si>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</si>
  <si>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</si>
  <si>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</si>
  <si>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</si>
  <si>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</si>
  <si>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</si>
  <si>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</si>
  <si>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</si>
  <si>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</si>
  <si>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</si>
  <si>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</si>
  <si>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</si>
  <si>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</si>
  <si>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</si>
  <si>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</si>
  <si>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</si>
  <si>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</si>
  <si>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</si>
  <si>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</si>
  <si>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</si>
  <si>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</si>
  <si>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</si>
  <si>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</si>
  <si>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</si>
  <si>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</si>
  <si>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</si>
  <si>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</si>
  <si>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</si>
  <si>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</si>
  <si>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</si>
  <si>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</si>
  <si>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</si>
  <si>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</si>
  <si>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</si>
  <si>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</si>
  <si>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</si>
  <si>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</si>
  <si>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</si>
  <si>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</si>
  <si>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</si>
  <si>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</si>
  <si>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</si>
  <si>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</si>
  <si>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</si>
  <si>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</si>
  <si>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</si>
  <si>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</si>
  <si>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</si>
  <si>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</si>
  <si>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</si>
  <si>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</si>
  <si>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</si>
  <si>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</si>
  <si>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</si>
  <si>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</si>
  <si>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</si>
  <si>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</si>
  <si>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</si>
  <si>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</si>
  <si>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</si>
  <si>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</si>
  <si>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</si>
  <si>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</si>
  <si>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</si>
  <si>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</si>
  <si>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</si>
  <si>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</si>
  <si>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</si>
  <si>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</si>
  <si>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</si>
  <si>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</si>
  <si>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</si>
  <si>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</si>
  <si>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</si>
  <si>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</si>
  <si>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</si>
  <si>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</si>
  <si>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</si>
  <si>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</si>
  <si>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</si>
  <si>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</si>
  <si>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</si>
  <si>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</si>
  <si>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</si>
  <si>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</si>
  <si>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</si>
  <si>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</si>
  <si>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</si>
  <si>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</si>
  <si>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</si>
  <si>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</si>
  <si>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</si>
  <si>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</si>
  <si>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</si>
  <si>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</si>
  <si>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</si>
  <si>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</si>
  <si>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</si>
  <si>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</si>
  <si>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</si>
  <si>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</si>
  <si>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</si>
  <si>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</si>
  <si>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</si>
  <si>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</si>
  <si>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</si>
  <si>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</si>
  <si>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</si>
  <si>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</si>
  <si>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</si>
  <si>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</si>
  <si>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</si>
  <si>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</si>
  <si>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</si>
  <si>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</si>
  <si>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</si>
  <si>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</si>
  <si>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</si>
  <si>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</si>
  <si>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</si>
  <si>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</si>
  <si>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</si>
  <si>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</si>
  <si>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</si>
  <si>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</si>
  <si>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</si>
  <si>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</si>
  <si>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</si>
  <si>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</si>
  <si>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</si>
  <si>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</si>
  <si>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</si>
  <si>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</si>
  <si>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</si>
  <si>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</si>
  <si>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</si>
  <si>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</si>
  <si>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</si>
  <si>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</si>
  <si>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</si>
  <si>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</si>
  <si>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</si>
  <si>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</si>
  <si>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</si>
  <si>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</si>
  <si>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</si>
  <si>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</si>
  <si>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</si>
  <si>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</si>
  <si>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</si>
  <si>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</si>
  <si>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</si>
  <si>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</si>
  <si>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</si>
  <si>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</si>
  <si>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</si>
  <si>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</si>
  <si>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</si>
  <si>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</si>
  <si>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</si>
  <si>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</si>
  <si>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</si>
  <si>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</si>
  <si>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</si>
  <si>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</si>
  <si>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</si>
  <si>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</si>
  <si>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</si>
  <si>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</si>
  <si>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</si>
  <si>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</si>
  <si>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</si>
  <si>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</si>
  <si>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</si>
  <si>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</si>
  <si>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</si>
  <si>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</si>
  <si>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</si>
  <si>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</si>
  <si>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</si>
  <si>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</si>
  <si>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</si>
  <si>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</si>
  <si>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</si>
  <si>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</si>
  <si>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</si>
  <si>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</si>
  <si>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</si>
  <si>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</si>
  <si>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</si>
  <si>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</si>
  <si>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</si>
  <si>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</si>
  <si>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</si>
  <si>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</si>
  <si>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</si>
  <si>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</si>
  <si>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</si>
  <si>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</si>
  <si>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</si>
  <si>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</si>
  <si>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</si>
  <si>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</si>
  <si>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</si>
  <si>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</si>
  <si>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</si>
  <si>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</si>
  <si>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</si>
  <si>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</si>
  <si>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</si>
  <si>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</si>
  <si>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</si>
  <si>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</si>
  <si>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</si>
  <si>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</si>
  <si>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</si>
  <si>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</si>
  <si>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</si>
  <si>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</si>
  <si>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</si>
  <si>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</si>
  <si>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</si>
  <si>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</si>
  <si>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</si>
  <si>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</si>
  <si>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</si>
  <si>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</si>
  <si>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</si>
  <si>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</si>
  <si>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</si>
  <si>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</si>
  <si>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</si>
  <si>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</si>
  <si>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</si>
  <si>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</si>
  <si>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</si>
  <si>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</si>
  <si>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</si>
  <si>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</si>
  <si>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</si>
  <si>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</si>
  <si>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</si>
  <si>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</si>
  <si>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</si>
  <si>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</si>
  <si>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</si>
  <si>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</si>
  <si>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</si>
  <si>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</si>
  <si>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</si>
  <si>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</si>
  <si>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</si>
  <si>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</si>
  <si>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</si>
  <si>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</si>
  <si>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</si>
  <si>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</si>
  <si>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</si>
  <si>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</si>
  <si>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</si>
  <si>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</si>
  <si>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</si>
  <si>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</si>
  <si>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</si>
  <si>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</si>
  <si>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</si>
  <si>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</si>
  <si>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</si>
  <si>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</si>
  <si>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</si>
  <si>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</si>
  <si>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</si>
  <si>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</si>
  <si>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</si>
  <si>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</si>
  <si>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</si>
  <si>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</si>
  <si>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</si>
  <si>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</si>
  <si>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</si>
  <si>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</si>
  <si>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</si>
  <si>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</si>
  <si>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</si>
  <si>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</si>
  <si>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</si>
  <si>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</si>
  <si>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</si>
  <si>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</si>
  <si>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</si>
  <si>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</si>
  <si>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</si>
  <si>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</si>
  <si>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</si>
  <si>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</si>
  <si>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</si>
  <si>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</si>
  <si>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</si>
  <si>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</si>
  <si>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</si>
  <si>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</si>
  <si>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</si>
  <si>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</si>
  <si>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</si>
  <si>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</si>
  <si>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</si>
  <si>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</si>
  <si>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</si>
  <si>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</si>
  <si>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</si>
  <si>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</si>
  <si>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</si>
  <si>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</si>
  <si>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</si>
  <si>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</si>
  <si>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</si>
  <si>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</si>
  <si>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</si>
  <si>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</si>
  <si>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</si>
  <si>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</si>
  <si>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</si>
  <si>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</si>
  <si>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</si>
  <si>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</si>
  <si>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</si>
  <si>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</si>
  <si>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</si>
  <si>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</si>
  <si>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</si>
  <si>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</si>
  <si>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</si>
  <si>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</si>
  <si>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</si>
  <si>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</si>
  <si>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</si>
  <si>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</si>
  <si>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</si>
  <si>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</si>
  <si>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</si>
  <si>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</si>
  <si>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</si>
  <si>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</si>
  <si>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</si>
  <si>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</si>
  <si>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</si>
  <si>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</si>
  <si>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</si>
  <si>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</si>
  <si>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</si>
  <si>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</si>
  <si>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</si>
  <si>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</si>
  <si>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</si>
  <si>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</si>
  <si>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</si>
  <si>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</si>
  <si>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</si>
  <si>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</si>
  <si>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</si>
  <si>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</si>
  <si>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</si>
  <si>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</si>
  <si>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</si>
  <si>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</si>
  <si>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</si>
  <si>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</si>
  <si>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</si>
  <si>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</si>
  <si>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</si>
  <si>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</si>
  <si>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</si>
  <si>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</si>
  <si>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</si>
  <si>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</si>
  <si>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</si>
  <si>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</si>
  <si>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</si>
  <si>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</si>
  <si>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</si>
  <si>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</si>
  <si>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</si>
  <si>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</si>
  <si>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</si>
  <si>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</si>
  <si>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</si>
  <si>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</si>
  <si>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</si>
  <si>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</si>
  <si>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</si>
  <si>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</si>
  <si>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</si>
  <si>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</si>
  <si>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</si>
  <si>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</si>
  <si>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</si>
  <si>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</si>
  <si>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</si>
  <si>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</si>
  <si>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</si>
  <si>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</si>
  <si>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</si>
  <si>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</si>
  <si>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</si>
  <si>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</si>
  <si>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</si>
  <si>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</si>
  <si>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</si>
  <si>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</si>
  <si>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</si>
  <si>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</si>
  <si>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</si>
  <si>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</si>
  <si>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</si>
  <si>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</si>
  <si>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</si>
  <si>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</si>
  <si>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</si>
  <si>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</si>
  <si>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</si>
  <si>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</si>
  <si>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</si>
  <si>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</si>
  <si>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</si>
  <si>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</si>
  <si>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</si>
  <si>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</si>
  <si>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</si>
  <si>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</si>
  <si>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</si>
  <si>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</si>
  <si>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</si>
  <si>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</si>
  <si>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</si>
  <si>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</si>
  <si>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</si>
  <si>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</si>
  <si>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</si>
  <si>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</si>
  <si>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</si>
  <si>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</si>
  <si>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</si>
  <si>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</si>
  <si>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</si>
  <si>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</si>
  <si>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</si>
  <si>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</si>
  <si>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</si>
  <si>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</si>
  <si>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</si>
  <si>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</si>
  <si>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</si>
  <si>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</si>
  <si>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</si>
  <si>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</si>
  <si>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</si>
  <si>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</si>
  <si>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</si>
  <si>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</si>
  <si>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</si>
  <si>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</si>
  <si>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</si>
  <si>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</si>
  <si>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</si>
  <si>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</si>
  <si>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</si>
  <si>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</si>
  <si>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</si>
  <si>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</si>
  <si>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</si>
  <si>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</si>
  <si>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</si>
  <si>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</si>
  <si>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</si>
  <si>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</si>
  <si>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</si>
  <si>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</si>
  <si>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</si>
  <si>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</si>
  <si>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</si>
  <si>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</si>
  <si>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</si>
  <si>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</si>
  <si>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</si>
  <si>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</si>
  <si>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</si>
  <si>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</si>
  <si>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</si>
  <si>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</si>
  <si>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</si>
  <si>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</si>
  <si>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</si>
  <si>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</si>
  <si>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</si>
  <si>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</si>
  <si>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</si>
  <si>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</si>
  <si>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</si>
  <si>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</si>
  <si>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</si>
  <si>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</si>
  <si>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</si>
  <si>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</si>
  <si>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</si>
  <si>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</si>
  <si>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</si>
  <si>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</si>
  <si>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</si>
  <si>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</si>
  <si>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</si>
  <si>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</si>
  <si>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</si>
  <si>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</si>
  <si>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</si>
  <si>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</si>
  <si>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</si>
  <si>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</si>
  <si>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</si>
  <si>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</si>
  <si>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</si>
  <si>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</si>
  <si>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</si>
  <si>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</si>
  <si>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</si>
  <si>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</si>
  <si>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</si>
  <si>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</si>
  <si>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</si>
  <si>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</si>
  <si>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</si>
  <si>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</si>
  <si>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</si>
  <si>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</si>
  <si>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</si>
  <si>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</si>
  <si>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</si>
  <si>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</si>
  <si>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</si>
  <si>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</si>
  <si>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</si>
  <si>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</si>
  <si>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</si>
  <si>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</si>
  <si>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</si>
  <si>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</si>
  <si>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</si>
  <si>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</si>
  <si>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</si>
  <si>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</si>
  <si>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</si>
  <si>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</si>
  <si>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</si>
  <si>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</si>
  <si>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</si>
  <si>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</si>
  <si>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</si>
  <si>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</si>
  <si>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</si>
  <si>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</si>
  <si>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</si>
  <si>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</si>
  <si>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</si>
  <si>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</si>
  <si>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</si>
  <si>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</si>
  <si>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</si>
  <si>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</si>
  <si>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</si>
  <si>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</si>
  <si>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</si>
  <si>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</si>
  <si>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</si>
  <si>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</si>
  <si>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</si>
  <si>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</si>
  <si>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</si>
  <si>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</si>
  <si>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</si>
  <si>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</si>
  <si>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</si>
  <si>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</si>
  <si>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</si>
  <si>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</si>
  <si>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</si>
  <si>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</si>
  <si>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</si>
  <si>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</si>
  <si>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</si>
  <si>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</si>
  <si>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</si>
  <si>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</si>
  <si>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</si>
  <si>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</si>
  <si>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</si>
  <si>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</si>
  <si>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</si>
  <si>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</si>
  <si>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</si>
  <si>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</si>
  <si>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</si>
  <si>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</si>
  <si>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</si>
  <si>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</si>
  <si>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</si>
  <si>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</si>
  <si>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</si>
  <si>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</si>
  <si>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</si>
  <si>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</si>
  <si>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</si>
  <si>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</si>
  <si>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</si>
  <si>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</si>
  <si>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</si>
  <si>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</si>
  <si>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</si>
  <si>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</si>
  <si>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</si>
  <si>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</si>
  <si>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</si>
  <si>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</si>
  <si>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</si>
  <si>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</si>
  <si>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</si>
  <si>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</si>
  <si>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</si>
  <si>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</si>
  <si>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</si>
  <si>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</si>
  <si>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</si>
  <si>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</si>
  <si>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</si>
  <si>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</si>
  <si>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</si>
  <si>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</si>
  <si>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</si>
  <si>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</si>
  <si>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</si>
  <si>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</si>
  <si>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</si>
  <si>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</si>
  <si>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</si>
  <si>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</si>
  <si>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</si>
  <si>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</si>
  <si>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</si>
  <si>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</si>
  <si>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</si>
  <si>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</si>
  <si>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</si>
  <si>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</si>
  <si>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</si>
  <si>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</si>
  <si>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</si>
  <si>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</si>
  <si>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</si>
  <si>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</si>
  <si>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</si>
  <si>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</si>
  <si>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</si>
  <si>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</si>
  <si>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</si>
  <si>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</si>
  <si>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</si>
  <si>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</si>
  <si>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</si>
  <si>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</si>
  <si>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</si>
  <si>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</si>
  <si>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</si>
  <si>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</si>
  <si>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</si>
  <si>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</si>
  <si>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</si>
  <si>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</si>
  <si>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</si>
  <si>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</si>
  <si>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</si>
  <si>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</si>
  <si>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</si>
  <si>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</si>
  <si>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</si>
  <si>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</si>
  <si>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</si>
  <si>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</si>
  <si>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</si>
  <si>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</si>
  <si>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</si>
  <si>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</si>
  <si>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</si>
  <si>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</si>
  <si>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</si>
  <si>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</si>
  <si>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</si>
  <si>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</si>
  <si>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</si>
  <si>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</si>
  <si>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</si>
  <si>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</si>
  <si>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</si>
  <si>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</si>
  <si>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</si>
  <si>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</si>
  <si>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</si>
  <si>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</si>
  <si>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</si>
  <si>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</si>
  <si>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</si>
  <si>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</si>
  <si>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</si>
  <si>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</si>
  <si>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</si>
  <si>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</si>
  <si>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</si>
  <si>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</si>
  <si>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</si>
  <si>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</si>
  <si>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</si>
  <si>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</si>
  <si>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</si>
  <si>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</si>
  <si>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</si>
  <si>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</si>
  <si>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</si>
  <si>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</si>
  <si>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</si>
  <si>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</si>
  <si>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</si>
  <si>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</si>
  <si>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</si>
  <si>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</si>
  <si>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</si>
  <si>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</si>
  <si>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</si>
  <si>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</si>
  <si>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</si>
  <si>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</si>
  <si>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</si>
  <si>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</si>
  <si>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</si>
  <si>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</si>
  <si>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</si>
  <si>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</si>
  <si>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</si>
  <si>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</si>
  <si>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</si>
  <si>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</si>
  <si>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</si>
  <si>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</si>
  <si>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</si>
  <si>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</si>
  <si>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</si>
  <si>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</si>
  <si>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</si>
  <si>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</si>
  <si>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</si>
  <si>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</si>
  <si>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</si>
  <si>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</si>
  <si>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</si>
  <si>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</si>
  <si>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</si>
  <si>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</si>
  <si>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</si>
  <si>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</si>
  <si>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</si>
  <si>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</si>
  <si>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</si>
  <si>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</si>
  <si>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</si>
  <si>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</si>
  <si>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</si>
  <si>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</si>
  <si>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</si>
  <si>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</si>
  <si>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</si>
  <si>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</si>
  <si>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</si>
  <si>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</si>
  <si>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</si>
  <si>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</si>
  <si>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</si>
  <si>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</si>
  <si>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</si>
  <si>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</si>
  <si>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</si>
  <si>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</si>
  <si>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</si>
  <si>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</si>
  <si>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</si>
  <si>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</si>
  <si>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</si>
  <si>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</si>
  <si>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</si>
  <si>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</si>
  <si>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</si>
  <si>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</si>
  <si>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</si>
  <si>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</si>
  <si>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</si>
  <si>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</si>
  <si>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</si>
  <si>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</si>
  <si>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</si>
  <si>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</si>
  <si>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</si>
  <si>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</si>
  <si>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</si>
  <si>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</si>
  <si>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</si>
  <si>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</si>
  <si>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</si>
  <si>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</si>
  <si>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</si>
  <si>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</si>
  <si>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</si>
  <si>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</si>
  <si>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</si>
  <si>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</si>
  <si>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</si>
  <si>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</si>
  <si>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</si>
  <si>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</si>
  <si>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</si>
  <si>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</si>
  <si>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</si>
  <si>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</si>
  <si>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</si>
  <si>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</si>
  <si>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</si>
  <si>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</si>
  <si>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</si>
  <si>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</si>
  <si>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</si>
  <si>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</si>
  <si>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</si>
  <si>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</si>
  <si>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</si>
  <si>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</si>
  <si>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</si>
  <si>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</si>
  <si>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</si>
  <si>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</si>
  <si>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</si>
  <si>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</si>
  <si>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</si>
  <si>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</si>
  <si>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</si>
  <si>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</si>
  <si>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</si>
  <si>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</si>
  <si>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</si>
  <si>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</si>
  <si>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</si>
  <si>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</si>
  <si>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</si>
  <si>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</si>
  <si>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</si>
  <si>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</si>
  <si>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</si>
  <si>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</si>
  <si>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</si>
  <si>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</si>
  <si>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</si>
  <si>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</si>
  <si>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</si>
  <si>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</si>
  <si>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</si>
  <si>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</si>
  <si>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</si>
  <si>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</si>
  <si>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</si>
  <si>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</si>
  <si>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</si>
  <si>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</si>
  <si>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</si>
  <si>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</si>
  <si>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</si>
  <si>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</si>
  <si>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</si>
  <si>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</si>
  <si>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</si>
  <si>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</si>
  <si>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</si>
  <si>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</si>
  <si>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</si>
  <si>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</si>
  <si>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</si>
  <si>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</si>
  <si>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</si>
  <si>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</si>
  <si>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</si>
  <si>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</si>
  <si>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</si>
  <si>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</si>
  <si>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</si>
  <si>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</si>
  <si>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</si>
  <si>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</si>
  <si>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</si>
  <si>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</si>
  <si>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</si>
  <si>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</si>
  <si>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</si>
  <si>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</si>
  <si>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</si>
  <si>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</si>
  <si>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</si>
  <si>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</si>
  <si>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</si>
  <si>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</si>
  <si>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</si>
  <si>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</si>
  <si>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</si>
  <si>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</si>
  <si>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</si>
  <si>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</si>
  <si>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</si>
  <si>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</si>
  <si>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</si>
  <si>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</si>
  <si>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</si>
  <si>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</si>
  <si>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</si>
  <si>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</si>
  <si>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</si>
  <si>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</si>
  <si>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</si>
  <si>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</si>
  <si>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</si>
  <si>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</si>
  <si>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</si>
  <si>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</si>
  <si>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</si>
  <si>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</si>
  <si>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</si>
  <si>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</si>
  <si>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</si>
  <si>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</si>
  <si>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</si>
  <si>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</si>
  <si>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</si>
  <si>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</si>
  <si>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</si>
  <si>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</si>
  <si>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</si>
  <si>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</si>
  <si>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</si>
  <si>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</si>
  <si>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</si>
  <si>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</si>
  <si>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</si>
  <si>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</si>
  <si>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</si>
  <si>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</si>
  <si>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</si>
  <si>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</si>
  <si>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</si>
  <si>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</si>
  <si>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</si>
  <si>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</si>
  <si>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</si>
  <si>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</si>
  <si>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</si>
  <si>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</si>
  <si>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</si>
  <si>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</si>
  <si>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</si>
  <si>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</si>
  <si>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</si>
  <si>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</si>
  <si>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</si>
  <si>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</si>
  <si>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</si>
  <si>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</si>
  <si>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</si>
  <si>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</si>
  <si>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</si>
  <si>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</si>
  <si>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</si>
  <si>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</si>
  <si>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</si>
  <si>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</si>
  <si>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</si>
  <si>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</si>
  <si>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</si>
  <si>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</si>
  <si>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</si>
  <si>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</si>
  <si>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</si>
  <si>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</si>
  <si>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</si>
  <si>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</si>
  <si>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</si>
  <si>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</si>
  <si>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</si>
  <si>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</si>
  <si>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</si>
  <si>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</si>
  <si>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</si>
  <si>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</si>
  <si>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</si>
  <si>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</si>
  <si>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</si>
  <si>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</si>
  <si>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</si>
  <si>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</si>
  <si>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</si>
  <si>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</si>
  <si>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</si>
  <si>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</si>
  <si>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</si>
  <si>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</si>
  <si>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</si>
  <si>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</si>
  <si>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</si>
  <si>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</si>
  <si>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</si>
  <si>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</si>
  <si>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</si>
  <si>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</si>
  <si>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</si>
  <si>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</si>
  <si>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</si>
  <si>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</si>
  <si>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</si>
  <si>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</si>
  <si>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</si>
  <si>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</si>
  <si>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</si>
  <si>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</si>
  <si>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</si>
  <si>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</si>
  <si>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</si>
  <si>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</si>
  <si>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</si>
  <si>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</si>
  <si>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</si>
  <si>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</si>
  <si>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</si>
  <si>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</si>
  <si>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</si>
  <si>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</si>
  <si>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</si>
  <si>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</si>
  <si>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</si>
  <si>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</si>
  <si>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</si>
  <si>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</si>
  <si>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</si>
  <si>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</si>
  <si>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</si>
  <si>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</si>
  <si>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</si>
  <si>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</si>
  <si>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</si>
  <si>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</si>
  <si>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</si>
  <si>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</si>
  <si>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</si>
  <si>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</si>
  <si>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</si>
  <si>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</si>
  <si>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</si>
  <si>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</si>
  <si>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</si>
  <si>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</si>
  <si>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</si>
  <si>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</si>
  <si>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</si>
  <si>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</si>
  <si>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</si>
  <si>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</si>
  <si>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</si>
  <si>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</si>
  <si>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</si>
  <si>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</si>
  <si>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</si>
  <si>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</si>
  <si>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</si>
  <si>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</si>
  <si>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</si>
  <si>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</si>
  <si>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</si>
  <si>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</si>
  <si>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</si>
  <si>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</si>
  <si>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</si>
  <si>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</si>
  <si>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</si>
  <si>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</si>
  <si>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</si>
  <si>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</si>
  <si>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</si>
  <si>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</si>
  <si>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</si>
  <si>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</si>
  <si>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</si>
  <si>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</si>
  <si>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</si>
  <si>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</si>
  <si>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</si>
  <si>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</si>
  <si>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</si>
  <si>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</si>
  <si>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</si>
  <si>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</si>
  <si>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</si>
  <si>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</si>
  <si>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</si>
  <si>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</si>
  <si>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</si>
  <si>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</si>
  <si>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</si>
  <si>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</si>
  <si>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</si>
  <si>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</si>
  <si>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</si>
  <si>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</si>
  <si>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</si>
  <si>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</si>
  <si>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</si>
  <si>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</si>
  <si>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</si>
  <si>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</si>
  <si>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</si>
  <si>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</si>
  <si>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</si>
  <si>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</si>
  <si>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</si>
  <si>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</si>
  <si>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</si>
  <si>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</si>
  <si>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</si>
  <si>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</si>
  <si>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</si>
  <si>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</si>
  <si>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</si>
  <si>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</si>
  <si>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</si>
  <si>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</si>
  <si>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</si>
  <si>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</si>
  <si>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</si>
  <si>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</si>
  <si>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</si>
  <si>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</si>
  <si>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</si>
  <si>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</si>
  <si>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</si>
  <si>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</si>
  <si>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</si>
  <si>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</si>
  <si>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</si>
  <si>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</si>
  <si>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</si>
  <si>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</si>
  <si>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</si>
  <si>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</si>
  <si>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</si>
  <si>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</si>
  <si>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</si>
  <si>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</si>
  <si>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</si>
  <si>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</si>
  <si>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</si>
  <si>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</si>
  <si>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</si>
  <si>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</si>
  <si>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</si>
  <si>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</si>
  <si>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</si>
  <si>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</si>
  <si>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</si>
  <si>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</si>
  <si>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</si>
  <si>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</si>
  <si>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</si>
  <si>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</si>
  <si>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</si>
  <si>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</si>
  <si>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</si>
  <si>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</si>
  <si>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</si>
  <si>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</si>
  <si>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</si>
  <si>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</si>
  <si>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</si>
  <si>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</si>
  <si>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</si>
  <si>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</si>
  <si>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</si>
  <si>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</si>
  <si>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</si>
  <si>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</si>
  <si>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</si>
  <si>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</si>
  <si>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</si>
  <si>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</si>
  <si>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</si>
  <si>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</si>
  <si>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</si>
  <si>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</si>
  <si>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</si>
  <si>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</si>
  <si>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</si>
  <si>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</si>
  <si>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</si>
  <si>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</si>
  <si>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</si>
  <si>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</si>
  <si>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</si>
  <si>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</si>
  <si>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</si>
  <si>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</si>
  <si>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</si>
  <si>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</si>
  <si>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</si>
  <si>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</si>
  <si>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</si>
  <si>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</si>
  <si>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</si>
  <si>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</si>
  <si>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</si>
  <si>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</si>
  <si>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</si>
  <si>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</si>
  <si>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</si>
  <si>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</si>
  <si>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</si>
  <si>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</si>
  <si>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</si>
  <si>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</si>
  <si>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</si>
  <si>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</si>
  <si>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</si>
  <si>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</si>
  <si>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</si>
  <si>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</si>
  <si>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</si>
  <si>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</si>
  <si>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</si>
  <si>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</si>
  <si>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</si>
  <si>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</si>
  <si>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</si>
  <si>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</si>
  <si>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</si>
  <si>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</si>
  <si>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</si>
  <si>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</si>
  <si>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</si>
  <si>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</si>
  <si>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</si>
  <si>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</si>
  <si>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</si>
  <si>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</si>
  <si>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</si>
  <si>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</si>
  <si>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</si>
  <si>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</si>
  <si>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</si>
  <si>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</si>
  <si>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</si>
  <si>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</si>
  <si>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</si>
  <si>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</si>
  <si>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</si>
  <si>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</si>
  <si>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</si>
  <si>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</si>
  <si>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</si>
  <si>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</si>
  <si>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</si>
  <si>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</si>
  <si>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</si>
  <si>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</si>
  <si>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</si>
  <si>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</si>
  <si>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</si>
  <si>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</si>
  <si>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</si>
  <si>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</si>
  <si>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</si>
  <si>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</si>
  <si>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</si>
  <si>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</si>
  <si>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</si>
  <si>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</si>
  <si>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</si>
  <si>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</si>
  <si>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</si>
  <si>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</si>
  <si>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</si>
  <si>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</si>
  <si>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</si>
  <si>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</si>
  <si>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</si>
  <si>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</si>
  <si>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</si>
  <si>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</si>
  <si>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</si>
  <si>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</si>
  <si>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</si>
  <si>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</si>
  <si>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</si>
  <si>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</si>
  <si>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</si>
  <si>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</si>
  <si>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</si>
  <si>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</si>
  <si>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</si>
  <si>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</si>
  <si>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</si>
  <si>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</si>
  <si>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</si>
  <si>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</si>
  <si>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</si>
  <si>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</si>
  <si>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</si>
  <si>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</si>
  <si>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</si>
  <si>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</si>
  <si>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</si>
  <si>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</si>
  <si>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</si>
  <si>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</si>
  <si>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</si>
  <si>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</si>
  <si>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</si>
  <si>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</si>
  <si>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</si>
  <si>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</si>
  <si>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</si>
  <si>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</si>
  <si>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</si>
  <si>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</si>
  <si>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</si>
  <si>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</si>
  <si>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</si>
  <si>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</si>
  <si>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</si>
  <si>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</si>
  <si>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</si>
  <si>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</si>
  <si>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</si>
  <si>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</si>
  <si>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</si>
  <si>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</si>
  <si>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</si>
  <si>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</si>
  <si>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</si>
  <si>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</si>
  <si>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</si>
  <si>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</si>
  <si>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</si>
  <si>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</si>
  <si>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</si>
  <si>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</si>
  <si>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</si>
  <si>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</si>
  <si>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</si>
  <si>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</si>
  <si>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</si>
  <si>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</si>
  <si>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</si>
  <si>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</si>
  <si>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</si>
  <si>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</si>
  <si>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</si>
  <si>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</si>
  <si>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</si>
  <si>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</si>
  <si>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</si>
  <si>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</si>
  <si>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</si>
  <si>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</si>
  <si>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</si>
  <si>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</si>
  <si>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</si>
  <si>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</si>
  <si>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</si>
  <si>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</si>
  <si>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</si>
  <si>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</si>
  <si>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</si>
  <si>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</si>
  <si>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</si>
  <si>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</si>
  <si>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</si>
  <si>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</si>
  <si>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</si>
  <si>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</si>
  <si>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</si>
  <si>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</si>
  <si>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</si>
  <si>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</si>
  <si>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</si>
  <si>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</si>
  <si>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</si>
  <si>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</si>
  <si>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</si>
  <si>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</si>
  <si>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</si>
  <si>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</si>
  <si>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</si>
  <si>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</si>
  <si>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</si>
  <si>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</si>
  <si>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</si>
  <si>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</si>
  <si>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</si>
  <si>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</si>
  <si>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</si>
  <si>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</si>
  <si>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</si>
  <si>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</si>
  <si>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</si>
  <si>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</si>
  <si>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</si>
  <si>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</si>
  <si>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</si>
  <si>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</si>
  <si>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</si>
  <si>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</si>
  <si>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</si>
  <si>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</si>
  <si>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</si>
  <si>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</si>
  <si>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</si>
  <si>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</si>
  <si>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</si>
  <si>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</si>
  <si>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</si>
  <si>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</si>
  <si>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</si>
  <si>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</si>
  <si>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</si>
  <si>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</si>
  <si>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</si>
  <si>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</si>
  <si>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</si>
  <si>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</si>
  <si>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</si>
  <si>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</si>
  <si>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</si>
  <si>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</si>
  <si>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</si>
  <si>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</si>
  <si>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</si>
  <si>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</si>
  <si>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</si>
  <si>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</si>
  <si>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</si>
  <si>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</si>
  <si>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</si>
  <si>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</si>
  <si>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</si>
  <si>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</si>
  <si>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</si>
  <si>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</si>
  <si>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</si>
  <si>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</si>
  <si>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</si>
  <si>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</si>
  <si>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</si>
  <si>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</si>
  <si>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</si>
  <si>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</si>
  <si>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</si>
  <si>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</si>
  <si>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</si>
  <si>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</si>
  <si>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</si>
  <si>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</si>
  <si>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</si>
  <si>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</si>
  <si>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</si>
  <si>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</si>
  <si>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</si>
  <si>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</si>
  <si>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</si>
  <si>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</si>
  <si>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</si>
  <si>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</si>
  <si>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</si>
  <si>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</si>
  <si>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</si>
  <si>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</si>
  <si>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</si>
  <si>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</si>
  <si>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</si>
  <si>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</si>
  <si>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</si>
  <si>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</si>
  <si>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</si>
  <si>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</si>
  <si>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</si>
  <si>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</si>
  <si>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</si>
  <si>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</si>
  <si>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</si>
  <si>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</si>
  <si>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</si>
  <si>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</si>
  <si>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</si>
  <si>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</si>
  <si>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</si>
  <si>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</si>
  <si>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</si>
  <si>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</si>
  <si>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</si>
  <si>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</si>
  <si>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</si>
  <si>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</si>
  <si>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</si>
  <si>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</si>
  <si>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</si>
  <si>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</si>
  <si>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</si>
  <si>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</si>
  <si>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</si>
  <si>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</si>
  <si>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</si>
  <si>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</si>
  <si>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</si>
  <si>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</si>
  <si>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</si>
  <si>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</si>
  <si>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</si>
  <si>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</si>
  <si>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</si>
  <si>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</si>
  <si>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</si>
  <si>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</si>
  <si>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</si>
  <si>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</si>
  <si>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</si>
  <si>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</si>
  <si>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</si>
  <si>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</si>
  <si>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</si>
  <si>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</si>
  <si>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</si>
  <si>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</si>
  <si>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</si>
  <si>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</si>
  <si>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</si>
  <si>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</si>
  <si>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</si>
  <si>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</si>
  <si>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</si>
  <si>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</si>
  <si>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</si>
  <si>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</si>
  <si>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</si>
  <si>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</si>
  <si>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</si>
  <si>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</si>
  <si>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</si>
  <si>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</si>
  <si>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</si>
  <si>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</si>
  <si>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</si>
  <si>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</si>
  <si>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</si>
  <si>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</si>
  <si>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</si>
  <si>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</si>
  <si>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</si>
  <si>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</si>
  <si>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</si>
  <si>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</si>
  <si>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</si>
  <si>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</si>
  <si>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</si>
  <si>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</si>
  <si>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</si>
  <si>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</si>
  <si>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</si>
  <si>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</si>
  <si>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</si>
  <si>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</si>
  <si>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</si>
  <si>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</si>
  <si>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</si>
  <si>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</si>
  <si>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</si>
  <si>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</si>
  <si>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</si>
  <si>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</si>
  <si>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</si>
  <si>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</si>
  <si>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</si>
  <si>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</si>
  <si>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</si>
  <si>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</si>
  <si>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</si>
  <si>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</si>
  <si>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</si>
  <si>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</si>
  <si>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</si>
  <si>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</si>
  <si>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</si>
  <si>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</si>
  <si>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</si>
  <si>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</si>
  <si>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</si>
  <si>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</si>
  <si>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</si>
  <si>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</si>
  <si>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</si>
  <si>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</si>
  <si>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</si>
  <si>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</si>
  <si>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</si>
  <si>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</si>
  <si>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</si>
  <si>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</si>
  <si>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</si>
  <si>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</si>
  <si>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</si>
  <si>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</si>
  <si>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</si>
  <si>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</si>
  <si>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</si>
  <si>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</si>
  <si>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</si>
  <si>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</si>
  <si>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</si>
  <si>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</si>
  <si>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</si>
  <si>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</si>
  <si>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</si>
  <si>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</si>
  <si>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</si>
  <si>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</si>
  <si>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</si>
  <si>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</si>
  <si>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</si>
  <si>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</si>
  <si>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</si>
  <si>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</si>
  <si>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</si>
  <si>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</si>
  <si>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</si>
  <si>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</si>
  <si>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</si>
  <si>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</si>
  <si>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</si>
  <si>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</si>
  <si>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</si>
  <si>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</si>
  <si>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</si>
  <si>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</si>
  <si>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</si>
  <si>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</si>
  <si>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</si>
  <si>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</si>
  <si>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</si>
  <si>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</si>
  <si>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</si>
  <si>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</si>
  <si>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</si>
  <si>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</si>
  <si>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</si>
  <si>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</si>
  <si>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</si>
  <si>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</si>
  <si>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</si>
  <si>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</si>
  <si>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</si>
  <si>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</si>
  <si>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</si>
  <si>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</si>
  <si>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</si>
  <si>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</si>
  <si>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</si>
  <si>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</si>
  <si>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</si>
  <si>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</si>
  <si>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</si>
  <si>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</si>
  <si>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</si>
  <si>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</si>
  <si>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</si>
  <si>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</si>
  <si>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</si>
  <si>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</si>
  <si>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</si>
  <si>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</si>
  <si>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</si>
  <si>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</si>
  <si>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</si>
  <si>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</si>
  <si>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</si>
  <si>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</si>
  <si>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</si>
  <si>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</si>
  <si>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</si>
  <si>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</si>
  <si>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</si>
  <si>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</si>
  <si>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</si>
  <si>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</si>
  <si>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</si>
  <si>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</si>
  <si>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</si>
  <si>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</si>
  <si>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</si>
  <si>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</si>
  <si>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</si>
  <si>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</si>
  <si>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</si>
  <si>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</si>
  <si>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</si>
  <si>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</si>
  <si>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</si>
  <si>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</si>
  <si>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</si>
  <si>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</si>
  <si>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</si>
  <si>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</si>
  <si>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</si>
  <si>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</si>
  <si>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</si>
  <si>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</si>
  <si>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</si>
  <si>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</si>
  <si>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</si>
  <si>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</si>
  <si>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</si>
  <si>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</si>
  <si>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</si>
  <si>
    <t>High outliers (Count)</t>
  </si>
  <si>
    <t>Total Count</t>
  </si>
  <si>
    <t>Count of Canceled</t>
  </si>
  <si>
    <t>Count of Successful</t>
  </si>
  <si>
    <t>Count of Failed</t>
  </si>
  <si>
    <t>Total</t>
  </si>
  <si>
    <t>Percentage of Success</t>
  </si>
  <si>
    <t>Total Backers for Successful Projects</t>
  </si>
  <si>
    <t>Goals for Successful Projects</t>
  </si>
  <si>
    <t>Average Count of Backers</t>
  </si>
  <si>
    <t>Average Goal</t>
  </si>
  <si>
    <t>Count of Staff Picks</t>
  </si>
  <si>
    <t>Count of Spotlights</t>
  </si>
  <si>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 xml:space="preserve"> summarizes the data better than Median. Looking into Box and Whisker plot makes this clear.</t>
    </r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</si>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</sst>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8-214B-849E-AA8A7C94FB4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98-214B-849E-AA8A7C94FB4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98-214B-849E-AA8A7C94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of Success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0E-BE43-9D8A-6BAFBB7D7D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0E-BE43-9D8A-6BAFBB7D7D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0E-BE43-9D8A-6BAFBB7D7D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0E-BE43-9D8A-6BAFBB7D7D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0E-BE43-9D8A-6BAFBB7D7D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0E-BE43-9D8A-6BAFBB7D7D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0E-BE43-9D8A-6BAFBB7D7D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00E-BE43-9D8A-6BAFBB7D7D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00E-BE43-9D8A-6BAFBB7D7D70}"/>
              </c:ext>
            </c:extLst>
          </c:dPt>
          <c:cat>
            <c:strRef>
              <c:f>Sheet6!$A$2:$A$10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Sheet6!$F$2:$F$10</c:f>
              <c:numCache>
                <c:formatCode>0%</c:formatCode>
                <c:ptCount val="9"/>
                <c:pt idx="0">
                  <c:v>0.47826086956521741</c:v>
                </c:pt>
                <c:pt idx="1">
                  <c:v>0.56571428571428573</c:v>
                </c:pt>
                <c:pt idx="2">
                  <c:v>0.68085106382978722</c:v>
                </c:pt>
                <c:pt idx="3">
                  <c:v>0.54678362573099415</c:v>
                </c:pt>
                <c:pt idx="4">
                  <c:v>0.58959537572254339</c:v>
                </c:pt>
                <c:pt idx="5">
                  <c:v>0.60606060606060608</c:v>
                </c:pt>
                <c:pt idx="6">
                  <c:v>0.46666666666666667</c:v>
                </c:pt>
                <c:pt idx="7">
                  <c:v>0.63414634146341464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9-B742-9517-111E76EBE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Sheet6!$B$1</c:f>
              <c:strCache>
                <c:ptCount val="1"/>
                <c:pt idx="0">
                  <c:v>Count of Successful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86-9A4B-973D-85286B54E5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86-9A4B-973D-85286B54E5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86-9A4B-973D-85286B54E5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86-9A4B-973D-85286B54E5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186-9A4B-973D-85286B54E5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186-9A4B-973D-85286B54E5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186-9A4B-973D-85286B54E5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186-9A4B-973D-85286B54E5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186-9A4B-973D-85286B54E548}"/>
              </c:ext>
            </c:extLst>
          </c:dPt>
          <c:cat>
            <c:strRef>
              <c:f>Sheet6!$A$2:$A$10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Sheet6!$B$2:$B$10</c:f>
              <c:numCache>
                <c:formatCode>General</c:formatCode>
                <c:ptCount val="9"/>
                <c:pt idx="0">
                  <c:v>22</c:v>
                </c:pt>
                <c:pt idx="1">
                  <c:v>99</c:v>
                </c:pt>
                <c:pt idx="2">
                  <c:v>64</c:v>
                </c:pt>
                <c:pt idx="3">
                  <c:v>187</c:v>
                </c:pt>
                <c:pt idx="4">
                  <c:v>102</c:v>
                </c:pt>
                <c:pt idx="5">
                  <c:v>40</c:v>
                </c:pt>
                <c:pt idx="6">
                  <c:v>21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AB41-B414-69F59421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673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8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12</xdr:row>
      <xdr:rowOff>6350</xdr:rowOff>
    </xdr:from>
    <xdr:to>
      <xdr:col>9</xdr:col>
      <xdr:colOff>6350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5D97C-6B85-5E3C-4987-899E59A9B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</xdr:colOff>
      <xdr:row>12</xdr:row>
      <xdr:rowOff>6350</xdr:rowOff>
    </xdr:from>
    <xdr:to>
      <xdr:col>6</xdr:col>
      <xdr:colOff>31750</xdr:colOff>
      <xdr:row>25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5A27CF-9E8C-E9B0-07F1-350BCAFE4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">
      <c r="A7" s="6" t="s">
        <v>2115</v>
      </c>
      <c r="B7" s="14"/>
      <c r="C7" s="14"/>
      <c r="D7" s="14"/>
      <c r="E7" s="14">
        <v>4</v>
      </c>
      <c r="F7" s="14">
        <v>4</v>
      </c>
    </row>
    <row r="8" spans="1:6" x14ac:dyDescent="0.2">
      <c r="A8" s="6" t="s">
        <v>2050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">
      <c r="A9" s="6" t="s">
        <v>2051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">
      <c r="A10" s="6" t="s">
        <v>2116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">
      <c r="A11" s="6" t="s">
        <v>2117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">
      <c r="A12" s="6" t="s">
        <v>2118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">
      <c r="A13" s="6" t="s">
        <v>2119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">
      <c r="A14" s="6" t="s">
        <v>2120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">
      <c r="A15" s="6" t="s">
        <v>2121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">
      <c r="A16" s="6" t="s">
        <v>2122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">
      <c r="A17" s="6" t="s">
        <v>2123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">
      <c r="A18" s="6" t="s">
        <v>2124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">
      <c r="A19" s="6" t="s">
        <v>2125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">
      <c r="A20" s="6" t="s">
        <v>2126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">
      <c r="A21" s="6" t="s">
        <v>2127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">
      <c r="A22" s="6" t="s">
        <v>2052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">
      <c r="A23" s="6" t="s">
        <v>2053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">
      <c r="A24" s="6" t="s">
        <v>2054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">
      <c r="A25" s="6" t="s">
        <v>2128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">
      <c r="A26" s="6" t="s">
        <v>2129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">
      <c r="A27" s="6" t="s">
        <v>2130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">
      <c r="A28" s="6" t="s">
        <v>2131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">
      <c r="A29" s="6" t="s">
        <v>2132</v>
      </c>
      <c r="B29" s="14"/>
      <c r="C29" s="14"/>
      <c r="D29" s="14"/>
      <c r="E29" s="14">
        <v>3</v>
      </c>
      <c r="F29" s="14">
        <v>3</v>
      </c>
    </row>
    <row r="30" spans="1:6" x14ac:dyDescent="0.2">
      <c r="A30" s="6" t="s">
        <v>2046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2067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2055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2056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2057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2058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2059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2060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2061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2062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2063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2064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2065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2066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2068</v>
      </c>
      <c r="B1" s="8" t="s">
        <v>2069</v>
      </c>
      <c r="C1" s="8" t="s">
        <v>2070</v>
      </c>
      <c r="D1" s="8" t="s">
        <v>2071</v>
      </c>
      <c r="E1" s="8" t="s">
        <v>2072</v>
      </c>
      <c r="F1" s="8" t="s">
        <v>2073</v>
      </c>
      <c r="G1" s="8" t="s">
        <v>2074</v>
      </c>
      <c r="H1" s="8" t="s">
        <v>2075</v>
      </c>
    </row>
    <row r="2" spans="1:8" x14ac:dyDescent="0.2">
      <c r="A2" t="s">
        <v>2076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2077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2078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2079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2080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2081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2082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2083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2084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2085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2086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2087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O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5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2" t="s">
        <v>2089</v>
      </c>
      <c r="H1" s="12"/>
      <c r="J1" s="12" t="s">
        <v>2095</v>
      </c>
      <c r="K1" s="12"/>
    </row>
    <row r="2" spans="1:15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2088</v>
      </c>
      <c r="H2">
        <f>AVERAGE(backers_successful)</f>
        <v>851.14690265486729</v>
      </c>
      <c r="J2" t="s">
        <v>2088</v>
      </c>
      <c r="K2">
        <f>AVERAGE(backers_failed)</f>
        <v>585.61538461538464</v>
      </c>
      <c r="M2" s="13" t="s">
        <v>2114</v>
      </c>
      <c r="N2" s="13"/>
      <c r="O2" s="13"/>
    </row>
    <row r="3" spans="1:15" x14ac:dyDescent="0.2">
      <c r="A3" t="str">
        <v>successful</v>
      </c>
      <c r="B3">
        <v>1425</v>
      </c>
      <c r="D3" t="str">
        <v>failed</v>
      </c>
      <c r="E3">
        <v>24</v>
      </c>
      <c r="G3" t="s">
        <v>2090</v>
      </c>
      <c r="H3">
        <f>MEDIAN(backers_successful)</f>
        <v>201</v>
      </c>
      <c r="J3" t="s">
        <v>2090</v>
      </c>
      <c r="K3">
        <f>MEDIAN(backers_failed)</f>
        <v>114.5</v>
      </c>
      <c r="M3" s="13"/>
      <c r="N3" s="13"/>
      <c r="O3" s="13"/>
    </row>
    <row r="4" spans="1:15" x14ac:dyDescent="0.2">
      <c r="A4" t="str">
        <v>successful</v>
      </c>
      <c r="B4">
        <v>174</v>
      </c>
      <c r="D4" t="str">
        <v>failed</v>
      </c>
      <c r="E4">
        <v>53</v>
      </c>
      <c r="G4" t="s">
        <v>2091</v>
      </c>
      <c r="H4">
        <f>MIN(backers_successful)</f>
        <v>16</v>
      </c>
      <c r="J4" t="s">
        <v>2091</v>
      </c>
      <c r="K4">
        <f>MIN(backers_failed)</f>
        <v>0</v>
      </c>
      <c r="M4" s="13"/>
      <c r="N4" s="13"/>
      <c r="O4" s="13"/>
    </row>
    <row r="5" spans="1:15" x14ac:dyDescent="0.2">
      <c r="A5" t="str">
        <v>successful</v>
      </c>
      <c r="B5">
        <v>227</v>
      </c>
      <c r="D5" t="str">
        <v>failed</v>
      </c>
      <c r="E5">
        <v>18</v>
      </c>
      <c r="G5" t="s">
        <v>2092</v>
      </c>
      <c r="H5">
        <f>MAX(backers_successful)</f>
        <v>7295</v>
      </c>
      <c r="J5" t="s">
        <v>2092</v>
      </c>
      <c r="K5">
        <f>MAX(backers_failed)</f>
        <v>6080</v>
      </c>
      <c r="M5" s="13"/>
      <c r="N5" s="13"/>
      <c r="O5" s="13"/>
    </row>
    <row r="6" spans="1:15" x14ac:dyDescent="0.2">
      <c r="A6" t="str">
        <v>successful</v>
      </c>
      <c r="B6">
        <v>220</v>
      </c>
      <c r="D6" t="str">
        <v>failed</v>
      </c>
      <c r="E6">
        <v>44</v>
      </c>
      <c r="G6" t="s">
        <v>2093</v>
      </c>
      <c r="H6">
        <f>_xlfn.VAR.S(backers_successful)</f>
        <v>1606216.5936295739</v>
      </c>
      <c r="J6" t="s">
        <v>2093</v>
      </c>
      <c r="K6">
        <f>_xlfn.VAR.S(backers_failed)</f>
        <v>924113.45496927318</v>
      </c>
      <c r="M6" s="13"/>
      <c r="N6" s="13"/>
      <c r="O6" s="13"/>
    </row>
    <row r="7" spans="1:15" x14ac:dyDescent="0.2">
      <c r="A7" t="str">
        <v>successful</v>
      </c>
      <c r="B7">
        <v>98</v>
      </c>
      <c r="D7" t="str">
        <v>failed</v>
      </c>
      <c r="E7">
        <v>27</v>
      </c>
      <c r="G7" t="s">
        <v>2094</v>
      </c>
      <c r="H7">
        <f>STDEV(backers_successful)</f>
        <v>1267.366006183523</v>
      </c>
      <c r="J7" t="s">
        <v>2094</v>
      </c>
      <c r="K7">
        <f>STDEV(backers_failed)</f>
        <v>961.30819978260524</v>
      </c>
      <c r="M7" s="13"/>
      <c r="N7" s="13"/>
      <c r="O7" s="13"/>
    </row>
    <row r="8" spans="1:15" x14ac:dyDescent="0.2">
      <c r="A8" t="str">
        <v>successful</v>
      </c>
      <c r="B8">
        <v>100</v>
      </c>
      <c r="D8" t="str">
        <v>failed</v>
      </c>
      <c r="E8">
        <v>55</v>
      </c>
    </row>
    <row r="9" spans="1:15" x14ac:dyDescent="0.2">
      <c r="A9" t="str">
        <v>successful</v>
      </c>
      <c r="B9">
        <v>1249</v>
      </c>
      <c r="D9" t="str">
        <v>failed</v>
      </c>
      <c r="E9">
        <v>200</v>
      </c>
      <c r="G9" t="s">
        <v>2097</v>
      </c>
      <c r="H9">
        <f>_xlfn.QUARTILE.EXC(backers_successful,1)</f>
        <v>127.5</v>
      </c>
      <c r="J9" t="s">
        <v>2097</v>
      </c>
      <c r="K9">
        <f>_xlfn.QUARTILE.EXC(backers_failed,1)</f>
        <v>38</v>
      </c>
    </row>
    <row r="10" spans="1:15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2096</v>
      </c>
      <c r="H10">
        <f>_xlfn.QUARTILE.EXC(backers_successful,3)</f>
        <v>1288.5</v>
      </c>
      <c r="J10" t="s">
        <v>2096</v>
      </c>
      <c r="K10">
        <f>_xlfn.QUARTILE.EXC(backers_failed,3)</f>
        <v>789.5</v>
      </c>
    </row>
    <row r="11" spans="1:15" x14ac:dyDescent="0.2">
      <c r="A11" t="str">
        <v>successful</v>
      </c>
      <c r="B11">
        <v>890</v>
      </c>
      <c r="D11" t="str">
        <v>failed</v>
      </c>
      <c r="E11">
        <v>674</v>
      </c>
      <c r="G11" t="s">
        <v>2098</v>
      </c>
      <c r="H11">
        <f>H10-H9</f>
        <v>1161</v>
      </c>
      <c r="J11" t="s">
        <v>2098</v>
      </c>
      <c r="K11">
        <f>K10-K9</f>
        <v>751.5</v>
      </c>
    </row>
    <row r="12" spans="1:15" x14ac:dyDescent="0.2">
      <c r="A12" t="str">
        <v>successful</v>
      </c>
      <c r="B12">
        <v>142</v>
      </c>
      <c r="D12" t="str">
        <v>failed</v>
      </c>
      <c r="E12">
        <v>558</v>
      </c>
      <c r="G12" t="s">
        <v>2099</v>
      </c>
      <c r="H12">
        <f>H9-(1.5*H11)</f>
        <v>-1614</v>
      </c>
      <c r="J12" t="s">
        <v>2099</v>
      </c>
      <c r="K12">
        <f>K9-(1.5*K11)</f>
        <v>-1089.25</v>
      </c>
    </row>
    <row r="13" spans="1:15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2100</v>
      </c>
      <c r="H13">
        <f>H10+(1.5*H11)</f>
        <v>3030</v>
      </c>
      <c r="J13" t="s">
        <v>2100</v>
      </c>
      <c r="K13">
        <f>K10+(1.5*K11)</f>
        <v>1916.75</v>
      </c>
    </row>
    <row r="14" spans="1:15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2101</v>
      </c>
      <c r="H14">
        <f>COUNTIF(backers_successful,"&gt;="&amp;H13)</f>
        <v>41</v>
      </c>
      <c r="J14" t="s">
        <v>2101</v>
      </c>
      <c r="K14">
        <f>COUNTIF(backers_failed,"&gt;="&amp;K13)</f>
        <v>31</v>
      </c>
    </row>
    <row r="15" spans="1:15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2102</v>
      </c>
      <c r="H15">
        <f>COUNTA(backers_successful)</f>
        <v>565</v>
      </c>
      <c r="J15" t="s">
        <v>2102</v>
      </c>
      <c r="K15">
        <f>COUNTA(backers_failed)</f>
        <v>364</v>
      </c>
    </row>
    <row r="16" spans="1:15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3">
    <mergeCell ref="G1:H1"/>
    <mergeCell ref="J1:K1"/>
    <mergeCell ref="M2:O7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B119-2F6E-D44F-9DE2-E921A9AADE8A}">
  <dimension ref="A1:I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3.5" bestFit="1" customWidth="1"/>
    <col min="4" max="4" width="15.83203125" bestFit="1" customWidth="1"/>
    <col min="6" max="6" width="19.5" bestFit="1" customWidth="1"/>
    <col min="7" max="7" width="15.83203125" bestFit="1" customWidth="1"/>
    <col min="8" max="8" width="32.33203125" bestFit="1" customWidth="1"/>
    <col min="9" max="9" width="25" bestFit="1" customWidth="1"/>
  </cols>
  <sheetData>
    <row r="1" spans="1:9" x14ac:dyDescent="0.2">
      <c r="A1" s="8" t="s">
        <v>2030</v>
      </c>
      <c r="B1" s="8" t="s">
        <v>2104</v>
      </c>
      <c r="C1" s="8" t="s">
        <v>2105</v>
      </c>
      <c r="D1" s="8" t="s">
        <v>2103</v>
      </c>
      <c r="E1" s="10" t="s">
        <v>2106</v>
      </c>
      <c r="F1" s="8" t="s">
        <v>2107</v>
      </c>
      <c r="G1" s="8" t="s">
        <v>2074</v>
      </c>
      <c r="H1" s="8" t="s">
        <v>2108</v>
      </c>
      <c r="I1" s="8" t="s">
        <v>2109</v>
      </c>
    </row>
    <row r="2" spans="1:9" x14ac:dyDescent="0.2">
      <c r="A2" t="str" cm="1">
        <f t="array" ref="A2:A10">_xlfn.UNIQUE(parent_category)</f>
        <v>food</v>
      </c>
      <c r="B2">
        <f t="shared" ref="B2:B10" si="0">COUNTIFS(all_outcomes,"=successful",parent_category,"="&amp;A2)</f>
        <v>22</v>
      </c>
      <c r="C2">
        <f t="shared" ref="C2:C10" si="1">COUNTIFS(all_outcomes,"=failed",parent_category,"="&amp;A2)</f>
        <v>20</v>
      </c>
      <c r="D2">
        <f t="shared" ref="D2:D10" si="2">COUNTIFS(all_outcomes,"=canceled",parent_category,"="&amp;A2)</f>
        <v>4</v>
      </c>
      <c r="E2">
        <f>SUM(B2:D2)</f>
        <v>46</v>
      </c>
      <c r="F2" s="9">
        <f>B2/E2</f>
        <v>0.47826086956521741</v>
      </c>
      <c r="G2" s="9">
        <f>C2/E2</f>
        <v>0.43478260869565216</v>
      </c>
      <c r="H2">
        <f t="shared" ref="H2:H10" si="3">SUMIFS(all_backers,parent_category,"="&amp;A2,all_outcomes,"=successful")</f>
        <v>12761</v>
      </c>
      <c r="I2">
        <f t="shared" ref="I2:I10" si="4">SUMIFS(all_goals,parent_category,"="&amp;A2,all_outcomes,"=successful")</f>
        <v>399600</v>
      </c>
    </row>
    <row r="3" spans="1:9" x14ac:dyDescent="0.2">
      <c r="A3" t="str">
        <v>music</v>
      </c>
      <c r="B3">
        <f t="shared" si="0"/>
        <v>99</v>
      </c>
      <c r="C3">
        <f t="shared" si="1"/>
        <v>66</v>
      </c>
      <c r="D3">
        <f t="shared" si="2"/>
        <v>10</v>
      </c>
      <c r="E3">
        <f t="shared" ref="E3:E10" si="5">SUM(B3:D3)</f>
        <v>175</v>
      </c>
      <c r="F3" s="9">
        <f t="shared" ref="F3:F10" si="6">B3/E3</f>
        <v>0.56571428571428573</v>
      </c>
      <c r="G3" s="9">
        <f t="shared" ref="G3:G10" si="7">C3/E3</f>
        <v>0.37714285714285717</v>
      </c>
      <c r="H3">
        <f t="shared" si="3"/>
        <v>92820</v>
      </c>
      <c r="I3">
        <f t="shared" si="4"/>
        <v>2798000</v>
      </c>
    </row>
    <row r="4" spans="1:9" x14ac:dyDescent="0.2">
      <c r="A4" t="str">
        <v>technology</v>
      </c>
      <c r="B4">
        <f t="shared" si="0"/>
        <v>64</v>
      </c>
      <c r="C4">
        <f t="shared" si="1"/>
        <v>28</v>
      </c>
      <c r="D4">
        <f t="shared" si="2"/>
        <v>2</v>
      </c>
      <c r="E4">
        <f t="shared" si="5"/>
        <v>94</v>
      </c>
      <c r="F4" s="9">
        <f t="shared" si="6"/>
        <v>0.68085106382978722</v>
      </c>
      <c r="G4" s="9">
        <f t="shared" si="7"/>
        <v>0.2978723404255319</v>
      </c>
      <c r="H4">
        <f t="shared" si="3"/>
        <v>56203</v>
      </c>
      <c r="I4">
        <f t="shared" si="4"/>
        <v>1875300</v>
      </c>
    </row>
    <row r="5" spans="1:9" x14ac:dyDescent="0.2">
      <c r="A5" t="str">
        <v>theater</v>
      </c>
      <c r="B5">
        <f t="shared" si="0"/>
        <v>187</v>
      </c>
      <c r="C5">
        <f t="shared" si="1"/>
        <v>132</v>
      </c>
      <c r="D5">
        <f t="shared" si="2"/>
        <v>23</v>
      </c>
      <c r="E5">
        <f t="shared" si="5"/>
        <v>342</v>
      </c>
      <c r="F5" s="9">
        <f t="shared" si="6"/>
        <v>0.54678362573099415</v>
      </c>
      <c r="G5" s="9">
        <f t="shared" si="7"/>
        <v>0.38596491228070173</v>
      </c>
      <c r="H5">
        <f t="shared" si="3"/>
        <v>181835</v>
      </c>
      <c r="I5">
        <f t="shared" si="4"/>
        <v>5385600</v>
      </c>
    </row>
    <row r="6" spans="1:9" x14ac:dyDescent="0.2">
      <c r="A6" t="str">
        <v>film &amp; video</v>
      </c>
      <c r="B6">
        <f t="shared" si="0"/>
        <v>102</v>
      </c>
      <c r="C6">
        <f t="shared" si="1"/>
        <v>60</v>
      </c>
      <c r="D6">
        <f t="shared" si="2"/>
        <v>11</v>
      </c>
      <c r="E6">
        <f t="shared" si="5"/>
        <v>173</v>
      </c>
      <c r="F6" s="9">
        <f t="shared" si="6"/>
        <v>0.58959537572254339</v>
      </c>
      <c r="G6" s="9">
        <f t="shared" si="7"/>
        <v>0.34682080924855491</v>
      </c>
      <c r="H6">
        <f t="shared" si="3"/>
        <v>71325</v>
      </c>
      <c r="I6">
        <f t="shared" si="4"/>
        <v>2612400</v>
      </c>
    </row>
    <row r="7" spans="1:9" x14ac:dyDescent="0.2">
      <c r="A7" t="str">
        <v>publishing</v>
      </c>
      <c r="B7">
        <f t="shared" si="0"/>
        <v>40</v>
      </c>
      <c r="C7">
        <f t="shared" si="1"/>
        <v>24</v>
      </c>
      <c r="D7">
        <f t="shared" si="2"/>
        <v>2</v>
      </c>
      <c r="E7">
        <f t="shared" si="5"/>
        <v>66</v>
      </c>
      <c r="F7" s="9">
        <f t="shared" si="6"/>
        <v>0.60606060606060608</v>
      </c>
      <c r="G7" s="9">
        <f t="shared" si="7"/>
        <v>0.36363636363636365</v>
      </c>
      <c r="H7">
        <f t="shared" si="3"/>
        <v>35040</v>
      </c>
      <c r="I7">
        <f t="shared" si="4"/>
        <v>1074000</v>
      </c>
    </row>
    <row r="8" spans="1:9" x14ac:dyDescent="0.2">
      <c r="A8" t="str">
        <v>games</v>
      </c>
      <c r="B8">
        <f t="shared" si="0"/>
        <v>21</v>
      </c>
      <c r="C8">
        <f t="shared" si="1"/>
        <v>23</v>
      </c>
      <c r="D8">
        <f t="shared" si="2"/>
        <v>1</v>
      </c>
      <c r="E8">
        <f t="shared" si="5"/>
        <v>45</v>
      </c>
      <c r="F8" s="9">
        <f t="shared" si="6"/>
        <v>0.46666666666666667</v>
      </c>
      <c r="G8" s="9">
        <f t="shared" si="7"/>
        <v>0.51111111111111107</v>
      </c>
      <c r="H8">
        <f t="shared" si="3"/>
        <v>12790</v>
      </c>
      <c r="I8">
        <f t="shared" si="4"/>
        <v>373600</v>
      </c>
    </row>
    <row r="9" spans="1:9" x14ac:dyDescent="0.2">
      <c r="A9" t="str">
        <v>photography</v>
      </c>
      <c r="B9">
        <f t="shared" si="0"/>
        <v>26</v>
      </c>
      <c r="C9">
        <f t="shared" si="1"/>
        <v>11</v>
      </c>
      <c r="D9">
        <f t="shared" si="2"/>
        <v>4</v>
      </c>
      <c r="E9">
        <f t="shared" si="5"/>
        <v>41</v>
      </c>
      <c r="F9" s="9">
        <f t="shared" si="6"/>
        <v>0.63414634146341464</v>
      </c>
      <c r="G9" s="9">
        <f t="shared" si="7"/>
        <v>0.26829268292682928</v>
      </c>
      <c r="H9">
        <f t="shared" si="3"/>
        <v>16930</v>
      </c>
      <c r="I9">
        <f t="shared" si="4"/>
        <v>374800</v>
      </c>
    </row>
    <row r="10" spans="1:9" x14ac:dyDescent="0.2">
      <c r="A10" t="str">
        <v>journalism</v>
      </c>
      <c r="B10">
        <f t="shared" si="0"/>
        <v>4</v>
      </c>
      <c r="C10">
        <f t="shared" si="1"/>
        <v>0</v>
      </c>
      <c r="D10">
        <f t="shared" si="2"/>
        <v>0</v>
      </c>
      <c r="E10">
        <f t="shared" si="5"/>
        <v>4</v>
      </c>
      <c r="F10" s="9">
        <f t="shared" si="6"/>
        <v>1</v>
      </c>
      <c r="G10" s="9">
        <f t="shared" si="7"/>
        <v>0</v>
      </c>
      <c r="H10">
        <f t="shared" si="3"/>
        <v>1194</v>
      </c>
      <c r="I10">
        <f t="shared" si="4"/>
        <v>25700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70BD-4373-2A47-B75F-49A6AC964345}">
  <dimension ref="A1:K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3.5" bestFit="1" customWidth="1"/>
    <col min="4" max="4" width="15.83203125" bestFit="1" customWidth="1"/>
    <col min="5" max="5" width="10.6640625" customWidth="1"/>
    <col min="6" max="6" width="19.5" bestFit="1" customWidth="1"/>
    <col min="7" max="7" width="15.83203125" bestFit="1" customWidth="1"/>
    <col min="8" max="8" width="31.83203125" bestFit="1" customWidth="1"/>
    <col min="9" max="9" width="25" bestFit="1" customWidth="1"/>
    <col min="10" max="10" width="22.6640625" bestFit="1" customWidth="1"/>
    <col min="11" max="11" width="12.33203125" bestFit="1" customWidth="1"/>
  </cols>
  <sheetData>
    <row r="1" spans="1:11" x14ac:dyDescent="0.2">
      <c r="A1" s="8" t="s">
        <v>2030</v>
      </c>
      <c r="B1" s="8" t="s">
        <v>2104</v>
      </c>
      <c r="C1" s="8" t="s">
        <v>2105</v>
      </c>
      <c r="D1" s="8" t="s">
        <v>2103</v>
      </c>
      <c r="E1" s="10" t="s">
        <v>2106</v>
      </c>
      <c r="F1" s="8" t="s">
        <v>2107</v>
      </c>
      <c r="G1" s="8" t="s">
        <v>2074</v>
      </c>
      <c r="H1" s="8" t="s">
        <v>2108</v>
      </c>
      <c r="I1" s="8" t="s">
        <v>2109</v>
      </c>
      <c r="J1" s="8" t="s">
        <v>2110</v>
      </c>
      <c r="K1" s="8" t="s">
        <v>2111</v>
      </c>
    </row>
    <row r="2" spans="1:11" x14ac:dyDescent="0.2">
      <c r="A2" t="s">
        <v>2040</v>
      </c>
      <c r="B2">
        <v>4</v>
      </c>
      <c r="C2">
        <v>0</v>
      </c>
      <c r="D2">
        <v>0</v>
      </c>
      <c r="E2">
        <v>4</v>
      </c>
      <c r="F2" s="9">
        <v>1</v>
      </c>
      <c r="G2" s="9">
        <v>0</v>
      </c>
      <c r="H2">
        <v>1194</v>
      </c>
      <c r="I2">
        <v>25700</v>
      </c>
      <c r="J2" s="11">
        <f t="shared" ref="J2:J10" si="0">H2/B2</f>
        <v>298.5</v>
      </c>
      <c r="K2" s="11">
        <f t="shared" ref="K2:K10" si="1">I2/B2</f>
        <v>6425</v>
      </c>
    </row>
    <row r="3" spans="1:11" x14ac:dyDescent="0.2">
      <c r="A3" t="s">
        <v>2044</v>
      </c>
      <c r="B3">
        <v>64</v>
      </c>
      <c r="C3">
        <v>28</v>
      </c>
      <c r="D3">
        <v>2</v>
      </c>
      <c r="E3">
        <v>94</v>
      </c>
      <c r="F3" s="9">
        <v>0.68085106382978722</v>
      </c>
      <c r="G3" s="9">
        <v>0.2978723404255319</v>
      </c>
      <c r="H3">
        <v>56203</v>
      </c>
      <c r="I3">
        <v>1875300</v>
      </c>
      <c r="J3" s="11">
        <f t="shared" si="0"/>
        <v>878.171875</v>
      </c>
      <c r="K3" s="11">
        <f t="shared" si="1"/>
        <v>29301.5625</v>
      </c>
    </row>
    <row r="4" spans="1:11" x14ac:dyDescent="0.2">
      <c r="A4" t="s">
        <v>2042</v>
      </c>
      <c r="B4">
        <v>26</v>
      </c>
      <c r="C4">
        <v>11</v>
      </c>
      <c r="D4">
        <v>4</v>
      </c>
      <c r="E4">
        <v>41</v>
      </c>
      <c r="F4" s="9">
        <v>0.63414634146341464</v>
      </c>
      <c r="G4" s="9">
        <v>0.26829268292682928</v>
      </c>
      <c r="H4">
        <v>16930</v>
      </c>
      <c r="I4">
        <v>374800</v>
      </c>
      <c r="J4" s="11">
        <f t="shared" si="0"/>
        <v>651.15384615384619</v>
      </c>
      <c r="K4" s="11">
        <f t="shared" si="1"/>
        <v>14415.384615384615</v>
      </c>
    </row>
    <row r="5" spans="1:11" x14ac:dyDescent="0.2">
      <c r="A5" t="s">
        <v>2043</v>
      </c>
      <c r="B5">
        <v>40</v>
      </c>
      <c r="C5">
        <v>24</v>
      </c>
      <c r="D5">
        <v>2</v>
      </c>
      <c r="E5">
        <v>66</v>
      </c>
      <c r="F5" s="9">
        <v>0.60606060606060608</v>
      </c>
      <c r="G5" s="9">
        <v>0.36363636363636365</v>
      </c>
      <c r="H5">
        <v>35040</v>
      </c>
      <c r="I5">
        <v>1074000</v>
      </c>
      <c r="J5" s="11">
        <f t="shared" si="0"/>
        <v>876</v>
      </c>
      <c r="K5" s="11">
        <f t="shared" si="1"/>
        <v>26850</v>
      </c>
    </row>
    <row r="6" spans="1:11" x14ac:dyDescent="0.2">
      <c r="A6" t="s">
        <v>2037</v>
      </c>
      <c r="B6">
        <v>102</v>
      </c>
      <c r="C6">
        <v>60</v>
      </c>
      <c r="D6">
        <v>11</v>
      </c>
      <c r="E6">
        <v>173</v>
      </c>
      <c r="F6" s="9">
        <v>0.58959537572254339</v>
      </c>
      <c r="G6" s="9">
        <v>0.34682080924855491</v>
      </c>
      <c r="H6">
        <v>71325</v>
      </c>
      <c r="I6">
        <v>2612400</v>
      </c>
      <c r="J6" s="11">
        <f t="shared" si="0"/>
        <v>699.26470588235293</v>
      </c>
      <c r="K6" s="11">
        <f t="shared" si="1"/>
        <v>25611.764705882353</v>
      </c>
    </row>
    <row r="7" spans="1:11" x14ac:dyDescent="0.2">
      <c r="A7" t="s">
        <v>2041</v>
      </c>
      <c r="B7">
        <v>99</v>
      </c>
      <c r="C7">
        <v>66</v>
      </c>
      <c r="D7">
        <v>10</v>
      </c>
      <c r="E7">
        <v>175</v>
      </c>
      <c r="F7" s="9">
        <v>0.56571428571428573</v>
      </c>
      <c r="G7" s="9">
        <v>0.37714285714285717</v>
      </c>
      <c r="H7">
        <v>92820</v>
      </c>
      <c r="I7">
        <v>2798000</v>
      </c>
      <c r="J7" s="11">
        <f t="shared" si="0"/>
        <v>937.57575757575762</v>
      </c>
      <c r="K7" s="11">
        <f t="shared" si="1"/>
        <v>28262.626262626261</v>
      </c>
    </row>
    <row r="8" spans="1:11" x14ac:dyDescent="0.2">
      <c r="A8" t="s">
        <v>2045</v>
      </c>
      <c r="B8">
        <v>187</v>
      </c>
      <c r="C8">
        <v>132</v>
      </c>
      <c r="D8">
        <v>23</v>
      </c>
      <c r="E8">
        <v>342</v>
      </c>
      <c r="F8" s="9">
        <v>0.54678362573099415</v>
      </c>
      <c r="G8" s="9">
        <v>0.38596491228070173</v>
      </c>
      <c r="H8">
        <v>181835</v>
      </c>
      <c r="I8">
        <v>5385600</v>
      </c>
      <c r="J8" s="11">
        <f t="shared" si="0"/>
        <v>972.37967914438502</v>
      </c>
      <c r="K8" s="11">
        <f t="shared" si="1"/>
        <v>28800</v>
      </c>
    </row>
    <row r="9" spans="1:11" x14ac:dyDescent="0.2">
      <c r="A9" t="s">
        <v>2038</v>
      </c>
      <c r="B9">
        <v>22</v>
      </c>
      <c r="C9">
        <v>20</v>
      </c>
      <c r="D9">
        <v>4</v>
      </c>
      <c r="E9">
        <v>46</v>
      </c>
      <c r="F9" s="9">
        <v>0.47826086956521741</v>
      </c>
      <c r="G9" s="9">
        <v>0.43478260869565216</v>
      </c>
      <c r="H9">
        <v>12761</v>
      </c>
      <c r="I9">
        <v>399600</v>
      </c>
      <c r="J9" s="11">
        <f t="shared" si="0"/>
        <v>580.0454545454545</v>
      </c>
      <c r="K9" s="11">
        <f t="shared" si="1"/>
        <v>18163.636363636364</v>
      </c>
    </row>
    <row r="10" spans="1:11" x14ac:dyDescent="0.2">
      <c r="A10" t="s">
        <v>2039</v>
      </c>
      <c r="B10">
        <v>21</v>
      </c>
      <c r="C10">
        <v>23</v>
      </c>
      <c r="D10">
        <v>1</v>
      </c>
      <c r="E10">
        <v>45</v>
      </c>
      <c r="F10" s="9">
        <v>0.46666666666666667</v>
      </c>
      <c r="G10" s="9">
        <v>0.51111111111111107</v>
      </c>
      <c r="H10">
        <v>12790</v>
      </c>
      <c r="I10">
        <v>373600</v>
      </c>
      <c r="J10" s="11">
        <f t="shared" si="0"/>
        <v>609.04761904761904</v>
      </c>
      <c r="K10" s="11">
        <f t="shared" si="1"/>
        <v>17790.476190476191</v>
      </c>
    </row>
  </sheetData>
  <sortState xmlns:xlrd2="http://schemas.microsoft.com/office/spreadsheetml/2017/richdata2" ref="A2:I10">
    <sortCondition descending="1" ref="F2:F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1038-42D3-104B-920C-75209C4D509C}">
  <dimension ref="A1:D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7.33203125" bestFit="1" customWidth="1"/>
    <col min="4" max="5" width="10.83203125" customWidth="1"/>
  </cols>
  <sheetData>
    <row r="1" spans="1:4" x14ac:dyDescent="0.2">
      <c r="A1" s="8" t="s">
        <v>2030</v>
      </c>
      <c r="B1" s="8" t="s">
        <v>2112</v>
      </c>
      <c r="C1" s="8" t="s">
        <v>2113</v>
      </c>
      <c r="D1" s="8"/>
    </row>
    <row r="2" spans="1:4" x14ac:dyDescent="0.2">
      <c r="A2" t="str" cm="1">
        <f t="array" ref="A2:A10">_xlfn.UNIQUE(parent_category)</f>
        <v>food</v>
      </c>
      <c r="B2">
        <f t="shared" ref="B2:B10" si="0">COUNTIFS(all_outcomes,"=successful",parent_category,"="&amp;A2,all_staff_picks,"=TRUE")</f>
        <v>1</v>
      </c>
      <c r="C2">
        <f t="shared" ref="C2:C10" si="1">COUNTIFS(all_outcomes,"=successful",parent_category,"="&amp;A2,all_spotlights,"=TRUE")</f>
        <v>8</v>
      </c>
    </row>
    <row r="3" spans="1:4" x14ac:dyDescent="0.2">
      <c r="A3" t="str">
        <v>music</v>
      </c>
      <c r="B3">
        <f t="shared" si="0"/>
        <v>4</v>
      </c>
      <c r="C3">
        <f t="shared" si="1"/>
        <v>26</v>
      </c>
    </row>
    <row r="4" spans="1:4" x14ac:dyDescent="0.2">
      <c r="A4" t="str">
        <v>technology</v>
      </c>
      <c r="B4">
        <f t="shared" si="0"/>
        <v>4</v>
      </c>
      <c r="C4">
        <f t="shared" si="1"/>
        <v>12</v>
      </c>
    </row>
    <row r="5" spans="1:4" x14ac:dyDescent="0.2">
      <c r="A5" t="str">
        <v>theater</v>
      </c>
      <c r="B5">
        <f t="shared" si="0"/>
        <v>6</v>
      </c>
      <c r="C5">
        <f t="shared" si="1"/>
        <v>46</v>
      </c>
    </row>
    <row r="6" spans="1:4" x14ac:dyDescent="0.2">
      <c r="A6" t="str">
        <v>film &amp; video</v>
      </c>
      <c r="B6">
        <f t="shared" si="0"/>
        <v>8</v>
      </c>
      <c r="C6">
        <f t="shared" si="1"/>
        <v>32</v>
      </c>
    </row>
    <row r="7" spans="1:4" x14ac:dyDescent="0.2">
      <c r="A7" t="str">
        <v>publishing</v>
      </c>
      <c r="B7">
        <f t="shared" si="0"/>
        <v>3</v>
      </c>
      <c r="C7">
        <f t="shared" si="1"/>
        <v>11</v>
      </c>
    </row>
    <row r="8" spans="1:4" x14ac:dyDescent="0.2">
      <c r="A8" t="str">
        <v>games</v>
      </c>
      <c r="B8">
        <f t="shared" si="0"/>
        <v>0</v>
      </c>
      <c r="C8">
        <f t="shared" si="1"/>
        <v>8</v>
      </c>
    </row>
    <row r="9" spans="1:4" x14ac:dyDescent="0.2">
      <c r="A9" t="str">
        <v>photography</v>
      </c>
      <c r="B9">
        <f t="shared" si="0"/>
        <v>2</v>
      </c>
      <c r="C9">
        <f t="shared" si="1"/>
        <v>4</v>
      </c>
    </row>
    <row r="10" spans="1:4" x14ac:dyDescent="0.2">
      <c r="A10" t="str">
        <v>journalism</v>
      </c>
      <c r="B10">
        <f t="shared" si="0"/>
        <v>0</v>
      </c>
      <c r="C1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Crowdfunding</vt:lpstr>
      <vt:lpstr>Sheet1</vt:lpstr>
      <vt:lpstr>Sheet2</vt:lpstr>
      <vt:lpstr>Sheet3</vt:lpstr>
      <vt:lpstr>Sheet4</vt:lpstr>
      <vt:lpstr>Sheet5</vt:lpstr>
      <vt:lpstr>Sheet6</vt:lpstr>
      <vt:lpstr>Sheet6-Copy</vt:lpstr>
      <vt:lpstr>Sheet7</vt:lpstr>
      <vt:lpstr>all_backers</vt:lpstr>
      <vt:lpstr>all_categories</vt:lpstr>
      <vt:lpstr>all_goals</vt:lpstr>
      <vt:lpstr>all_outcomes</vt:lpstr>
      <vt:lpstr>all_spotlights</vt:lpstr>
      <vt:lpstr>all_staff_picks</vt:lpstr>
      <vt:lpstr>average_donations</vt:lpstr>
      <vt:lpstr>backers_failed</vt:lpstr>
      <vt:lpstr>backers_successful</vt:lpstr>
      <vt:lpstr>outcomes_and_backers</vt:lpstr>
      <vt:lpstr>parent_category</vt:lpstr>
      <vt:lpstr>percent_funded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2023-01-10T02:47:58Z</dcterms:modified>
</cp:coreProperties>
</file>