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Work\Products\FAR\"/>
    </mc:Choice>
  </mc:AlternateContent>
  <xr:revisionPtr revIDLastSave="0" documentId="13_ncr:1_{C5770819-64B1-4F74-8A90-625338C7980F}" xr6:coauthVersionLast="41" xr6:coauthVersionMax="41" xr10:uidLastSave="{00000000-0000-0000-0000-000000000000}"/>
  <bookViews>
    <workbookView xWindow="-108" yWindow="-108" windowWidth="23256" windowHeight="12576" xr2:uid="{E259DE60-0C48-4A72-A502-8A2B65E99774}"/>
  </bookViews>
  <sheets>
    <sheet name="Notes" sheetId="2" r:id="rId1"/>
    <sheet name="10.01.2019 - Addition" sheetId="1" r:id="rId2"/>
    <sheet name="31.01.2019 - Depreciate" sheetId="3" r:id="rId3"/>
    <sheet name="15.04.2019 - Upgrade" sheetId="4" r:id="rId4"/>
    <sheet name="27.06.2019 - Impair" sheetId="5" r:id="rId5"/>
    <sheet name="20.08.2019 - Revaluation" sheetId="6" r:id="rId6"/>
    <sheet name="10.09.2019 - Maintenance" sheetId="7" r:id="rId7"/>
    <sheet name="20.12.2019 - Reclassification" sheetId="8" r:id="rId8"/>
    <sheet name="05.01.2020 - Derecognition" sheetId="9" r:id="rId9"/>
    <sheet name="AFS 18_19" sheetId="11" r:id="rId10"/>
    <sheet name="AFS 19_20" sheetId="13" r:id="rId11"/>
    <sheet name="FinSummaries" sheetId="14" r:id="rId12"/>
  </sheets>
  <definedNames>
    <definedName name="_xlnm._FilterDatabase" localSheetId="8" hidden="1">'05.01.2020 - Derecognition'!$A$11:$K$51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2" i="14" l="1"/>
  <c r="B54" i="14"/>
  <c r="B53" i="14"/>
  <c r="B51" i="14"/>
  <c r="B48" i="14"/>
  <c r="B47" i="14"/>
  <c r="B42" i="14"/>
  <c r="B39" i="14"/>
  <c r="B38" i="14"/>
  <c r="B33" i="14"/>
  <c r="B27" i="14"/>
  <c r="B15" i="14"/>
  <c r="B12" i="14"/>
  <c r="B6" i="14"/>
  <c r="B20" i="14"/>
  <c r="H32" i="9"/>
  <c r="R7" i="13"/>
  <c r="O7" i="13"/>
  <c r="F7" i="13"/>
  <c r="R6" i="13"/>
  <c r="Q6" i="13"/>
  <c r="P6" i="13"/>
  <c r="O6" i="13"/>
  <c r="F6" i="13"/>
  <c r="D7" i="13"/>
  <c r="C7" i="13"/>
  <c r="B7" i="13"/>
  <c r="B6" i="13"/>
  <c r="B7" i="11"/>
  <c r="B6" i="11"/>
  <c r="D6" i="13"/>
  <c r="W7" i="11"/>
  <c r="V7" i="11"/>
  <c r="U7" i="11"/>
  <c r="T7" i="11"/>
  <c r="R7" i="11"/>
  <c r="Q7" i="11"/>
  <c r="P7" i="11"/>
  <c r="O7" i="11"/>
  <c r="L7" i="11"/>
  <c r="K7" i="11"/>
  <c r="I7" i="11"/>
  <c r="F7" i="11"/>
  <c r="D7" i="11"/>
  <c r="C7" i="11"/>
  <c r="V6" i="11"/>
  <c r="T6" i="11"/>
  <c r="R6" i="11"/>
  <c r="Q6" i="11"/>
  <c r="P6" i="11"/>
  <c r="O6" i="11"/>
  <c r="L6" i="11"/>
  <c r="I6" i="11"/>
  <c r="F6" i="11"/>
  <c r="E7" i="11" l="1"/>
  <c r="E7" i="13"/>
  <c r="D8" i="13"/>
  <c r="D10" i="13" s="1"/>
  <c r="D12" i="13" s="1"/>
  <c r="A10" i="13"/>
  <c r="S8" i="13"/>
  <c r="S10" i="13" s="1"/>
  <c r="S12" i="13" s="1"/>
  <c r="R8" i="13"/>
  <c r="R10" i="13" s="1"/>
  <c r="R12" i="13" s="1"/>
  <c r="M8" i="13"/>
  <c r="M10" i="13" s="1"/>
  <c r="M12" i="13" s="1"/>
  <c r="H8" i="13"/>
  <c r="H10" i="13" s="1"/>
  <c r="H12" i="13" s="1"/>
  <c r="G8" i="13"/>
  <c r="G10" i="13" s="1"/>
  <c r="G12" i="13" s="1"/>
  <c r="F8" i="13"/>
  <c r="F10" i="13" s="1"/>
  <c r="F12" i="13" s="1"/>
  <c r="O8" i="13"/>
  <c r="O10" i="13" s="1"/>
  <c r="O12" i="13" s="1"/>
  <c r="D6" i="11"/>
  <c r="C6" i="11"/>
  <c r="H48" i="9"/>
  <c r="H27" i="9"/>
  <c r="I24" i="9"/>
  <c r="H20" i="9"/>
  <c r="H17" i="9"/>
  <c r="I14" i="9"/>
  <c r="H48" i="8"/>
  <c r="H32" i="8"/>
  <c r="H27" i="8"/>
  <c r="H20" i="8"/>
  <c r="H17" i="8"/>
  <c r="H27" i="7"/>
  <c r="H20" i="7"/>
  <c r="H17" i="7"/>
  <c r="H20" i="6"/>
  <c r="H17" i="6"/>
  <c r="H20" i="5"/>
  <c r="H17" i="5"/>
  <c r="H17" i="4"/>
  <c r="I24" i="8"/>
  <c r="H24" i="8" s="1"/>
  <c r="I14" i="8"/>
  <c r="H14" i="8" s="1"/>
  <c r="I24" i="7"/>
  <c r="H24" i="7" s="1"/>
  <c r="I14" i="7"/>
  <c r="H14" i="7" s="1"/>
  <c r="I24" i="6"/>
  <c r="H24" i="6" s="1"/>
  <c r="I14" i="6"/>
  <c r="H14" i="6" s="1"/>
  <c r="I14" i="5"/>
  <c r="H14" i="5" s="1"/>
  <c r="I14" i="4"/>
  <c r="H14" i="4" s="1"/>
  <c r="I14" i="3"/>
  <c r="H14" i="3" s="1"/>
  <c r="I35" i="9" l="1"/>
  <c r="H35" i="9" s="1"/>
  <c r="B37" i="14"/>
  <c r="B30" i="14"/>
  <c r="L6" i="13"/>
  <c r="V6" i="13"/>
  <c r="B46" i="14"/>
  <c r="B14" i="14"/>
  <c r="H14" i="9"/>
  <c r="B8" i="13"/>
  <c r="B10" i="13" s="1"/>
  <c r="B12" i="13" s="1"/>
  <c r="E6" i="11"/>
  <c r="I15" i="9"/>
  <c r="I16" i="9" s="1"/>
  <c r="H16" i="9" s="1"/>
  <c r="I38" i="9"/>
  <c r="B13" i="14" s="1"/>
  <c r="I42" i="9"/>
  <c r="H24" i="9"/>
  <c r="I35" i="8"/>
  <c r="H35" i="8" s="1"/>
  <c r="I15" i="8"/>
  <c r="H15" i="8" s="1"/>
  <c r="I15" i="7"/>
  <c r="I15" i="6"/>
  <c r="I15" i="5"/>
  <c r="I42" i="8"/>
  <c r="H42" i="8" l="1"/>
  <c r="I46" i="8"/>
  <c r="H46" i="8" s="1"/>
  <c r="I16" i="5"/>
  <c r="H16" i="5" s="1"/>
  <c r="H15" i="5"/>
  <c r="I38" i="8"/>
  <c r="H38" i="8" s="1"/>
  <c r="V7" i="13"/>
  <c r="H15" i="6"/>
  <c r="H15" i="7"/>
  <c r="J7" i="13"/>
  <c r="H38" i="9"/>
  <c r="J6" i="13"/>
  <c r="H15" i="9"/>
  <c r="I18" i="9"/>
  <c r="H42" i="9"/>
  <c r="I46" i="9"/>
  <c r="H46" i="9" s="1"/>
  <c r="I16" i="8"/>
  <c r="H16" i="8" s="1"/>
  <c r="I18" i="8"/>
  <c r="H18" i="8" s="1"/>
  <c r="I16" i="7"/>
  <c r="I16" i="6"/>
  <c r="H16" i="6" s="1"/>
  <c r="P8" i="11"/>
  <c r="P10" i="11" s="1"/>
  <c r="P12" i="11" s="1"/>
  <c r="Q8" i="11"/>
  <c r="Q10" i="11" s="1"/>
  <c r="Q12" i="11" s="1"/>
  <c r="O8" i="11"/>
  <c r="O10" i="11" s="1"/>
  <c r="O12" i="11" s="1"/>
  <c r="F8" i="11"/>
  <c r="F10" i="11" s="1"/>
  <c r="F12" i="11" s="1"/>
  <c r="A10" i="11"/>
  <c r="V8" i="11"/>
  <c r="V10" i="11" s="1"/>
  <c r="V12" i="11" s="1"/>
  <c r="S8" i="11"/>
  <c r="S10" i="11" s="1"/>
  <c r="S12" i="11" s="1"/>
  <c r="N8" i="11"/>
  <c r="N10" i="11" s="1"/>
  <c r="N12" i="11" s="1"/>
  <c r="M8" i="11"/>
  <c r="M10" i="11" s="1"/>
  <c r="M12" i="11" s="1"/>
  <c r="J8" i="11"/>
  <c r="J10" i="11" s="1"/>
  <c r="J12" i="11" s="1"/>
  <c r="I8" i="11"/>
  <c r="I10" i="11" s="1"/>
  <c r="I12" i="11" s="1"/>
  <c r="H8" i="11"/>
  <c r="H10" i="11" s="1"/>
  <c r="H12" i="11" s="1"/>
  <c r="G8" i="11"/>
  <c r="G10" i="11" s="1"/>
  <c r="G12" i="11" s="1"/>
  <c r="E8" i="11"/>
  <c r="E10" i="11" s="1"/>
  <c r="E12" i="11" s="1"/>
  <c r="D8" i="11"/>
  <c r="D10" i="11" s="1"/>
  <c r="D12" i="11" s="1"/>
  <c r="C8" i="11"/>
  <c r="C10" i="11" s="1"/>
  <c r="C12" i="11" s="1"/>
  <c r="L8" i="11"/>
  <c r="L10" i="11" s="1"/>
  <c r="L12" i="11" s="1"/>
  <c r="I18" i="7" l="1"/>
  <c r="H18" i="7" s="1"/>
  <c r="H16" i="7"/>
  <c r="L7" i="13"/>
  <c r="L8" i="13" s="1"/>
  <c r="L10" i="13" s="1"/>
  <c r="L12" i="13" s="1"/>
  <c r="H18" i="9"/>
  <c r="J8" i="13"/>
  <c r="J10" i="13" s="1"/>
  <c r="J12" i="13" s="1"/>
  <c r="V8" i="13"/>
  <c r="V10" i="13" s="1"/>
  <c r="V12" i="13" s="1"/>
  <c r="I19" i="9"/>
  <c r="I19" i="8"/>
  <c r="H19" i="8" s="1"/>
  <c r="I19" i="7"/>
  <c r="H19" i="7" s="1"/>
  <c r="I18" i="6"/>
  <c r="B8" i="11"/>
  <c r="B10" i="11" s="1"/>
  <c r="B12" i="11" s="1"/>
  <c r="R8" i="11"/>
  <c r="R10" i="11" s="1"/>
  <c r="R12" i="11" s="1"/>
  <c r="I19" i="6" l="1"/>
  <c r="H19" i="6" s="1"/>
  <c r="H18" i="6"/>
  <c r="T15" i="13"/>
  <c r="C6" i="13"/>
  <c r="H19" i="9"/>
  <c r="I21" i="9"/>
  <c r="B9" i="14" s="1"/>
  <c r="I21" i="8"/>
  <c r="I21" i="7"/>
  <c r="I22" i="7" s="1"/>
  <c r="H22" i="7" s="1"/>
  <c r="I15" i="4"/>
  <c r="I22" i="8" l="1"/>
  <c r="H21" i="8"/>
  <c r="I16" i="4"/>
  <c r="H16" i="4" s="1"/>
  <c r="H15" i="4"/>
  <c r="I23" i="7"/>
  <c r="H21" i="7"/>
  <c r="B18" i="14"/>
  <c r="H21" i="9"/>
  <c r="K6" i="11"/>
  <c r="Y6" i="11" s="1"/>
  <c r="E6" i="13"/>
  <c r="E8" i="13" s="1"/>
  <c r="E10" i="13" s="1"/>
  <c r="E12" i="13" s="1"/>
  <c r="C8" i="13"/>
  <c r="C10" i="13" s="1"/>
  <c r="C12" i="13" s="1"/>
  <c r="U6" i="11"/>
  <c r="U8" i="11" s="1"/>
  <c r="U10" i="11" s="1"/>
  <c r="U12" i="11" s="1"/>
  <c r="W6" i="11"/>
  <c r="W8" i="11" s="1"/>
  <c r="W10" i="11" s="1"/>
  <c r="W12" i="11" s="1"/>
  <c r="I22" i="9"/>
  <c r="I18" i="5"/>
  <c r="I25" i="7" l="1"/>
  <c r="H23" i="7"/>
  <c r="I23" i="8"/>
  <c r="H22" i="8"/>
  <c r="I37" i="8"/>
  <c r="H37" i="8" s="1"/>
  <c r="I19" i="5"/>
  <c r="H19" i="5" s="1"/>
  <c r="H18" i="5"/>
  <c r="I37" i="9"/>
  <c r="H37" i="9" s="1"/>
  <c r="I26" i="7"/>
  <c r="H26" i="7" s="1"/>
  <c r="H22" i="9"/>
  <c r="I23" i="9"/>
  <c r="K8" i="11"/>
  <c r="K10" i="11" s="1"/>
  <c r="K12" i="11" s="1"/>
  <c r="B36" i="14" l="1"/>
  <c r="B45" i="14"/>
  <c r="H23" i="8"/>
  <c r="I36" i="8"/>
  <c r="H36" i="8" s="1"/>
  <c r="I25" i="8"/>
  <c r="I25" i="9"/>
  <c r="B43" i="14" s="1"/>
  <c r="I36" i="9"/>
  <c r="H36" i="9" s="1"/>
  <c r="I26" i="9"/>
  <c r="I33" i="9" s="1"/>
  <c r="H33" i="9" s="1"/>
  <c r="H23" i="9"/>
  <c r="T8" i="11"/>
  <c r="T10" i="11" s="1"/>
  <c r="T12" i="11" s="1"/>
  <c r="I26" i="8" l="1"/>
  <c r="I34" i="8"/>
  <c r="H34" i="8" s="1"/>
  <c r="I34" i="9"/>
  <c r="H34" i="9" s="1"/>
  <c r="B44" i="14"/>
  <c r="B35" i="14"/>
  <c r="B34" i="14"/>
  <c r="I28" i="9"/>
  <c r="H26" i="9"/>
  <c r="I21" i="6"/>
  <c r="H21" i="6" l="1"/>
  <c r="W6" i="13"/>
  <c r="T6" i="13"/>
  <c r="I28" i="8"/>
  <c r="H26" i="8"/>
  <c r="I33" i="8"/>
  <c r="H33" i="8" s="1"/>
  <c r="I41" i="9"/>
  <c r="I40" i="8"/>
  <c r="H40" i="8" s="1"/>
  <c r="I30" i="9"/>
  <c r="H30" i="9" s="1"/>
  <c r="I40" i="9"/>
  <c r="B21" i="14" s="1"/>
  <c r="I41" i="8"/>
  <c r="I29" i="9"/>
  <c r="I31" i="9" s="1"/>
  <c r="H31" i="9" s="1"/>
  <c r="H28" i="9"/>
  <c r="I22" i="6"/>
  <c r="H22" i="6" s="1"/>
  <c r="H41" i="9" l="1"/>
  <c r="I7" i="13"/>
  <c r="I30" i="8"/>
  <c r="H30" i="8" s="1"/>
  <c r="H28" i="8"/>
  <c r="I23" i="6"/>
  <c r="B23" i="14"/>
  <c r="H40" i="9"/>
  <c r="I6" i="13"/>
  <c r="B28" i="14"/>
  <c r="H29" i="9"/>
  <c r="H41" i="8"/>
  <c r="I39" i="9"/>
  <c r="B8" i="14" s="1"/>
  <c r="I43" i="9"/>
  <c r="I29" i="8"/>
  <c r="H29" i="8" s="1"/>
  <c r="H23" i="6" l="1"/>
  <c r="I25" i="6"/>
  <c r="I8" i="13"/>
  <c r="I10" i="13" s="1"/>
  <c r="I12" i="13" s="1"/>
  <c r="N7" i="13"/>
  <c r="H39" i="9"/>
  <c r="N6" i="13"/>
  <c r="H43" i="9"/>
  <c r="I44" i="9"/>
  <c r="H44" i="9" s="1"/>
  <c r="I31" i="8"/>
  <c r="H31" i="8" s="1"/>
  <c r="I39" i="8"/>
  <c r="H39" i="8" s="1"/>
  <c r="I43" i="8" l="1"/>
  <c r="N8" i="13"/>
  <c r="N10" i="13" s="1"/>
  <c r="N12" i="13" s="1"/>
  <c r="I45" i="9"/>
  <c r="I44" i="8" l="1"/>
  <c r="H43" i="8"/>
  <c r="I45" i="8"/>
  <c r="H45" i="8" s="1"/>
  <c r="I47" i="8"/>
  <c r="H45" i="9"/>
  <c r="I47" i="9"/>
  <c r="I49" i="9"/>
  <c r="T7" i="13" l="1"/>
  <c r="H49" i="9"/>
  <c r="I49" i="8"/>
  <c r="H49" i="8" s="1"/>
  <c r="H44" i="8"/>
  <c r="I51" i="9"/>
  <c r="I50" i="9"/>
  <c r="W7" i="13" l="1"/>
  <c r="I50" i="8"/>
  <c r="H50" i="8" s="1"/>
  <c r="H51" i="9"/>
  <c r="P7" i="13"/>
  <c r="P8" i="13" s="1"/>
  <c r="P10" i="13" s="1"/>
  <c r="P12" i="13" s="1"/>
  <c r="H50" i="9"/>
  <c r="K7" i="13"/>
  <c r="I52" i="9"/>
  <c r="T8" i="13"/>
  <c r="T10" i="13" s="1"/>
  <c r="T12" i="13" s="1"/>
  <c r="H52" i="9"/>
  <c r="B7" i="14" l="1"/>
  <c r="K6" i="13"/>
  <c r="Y6" i="13" s="1"/>
  <c r="B19" i="14"/>
  <c r="U6" i="13"/>
  <c r="U8" i="13" s="1"/>
  <c r="U10" i="13" s="1"/>
  <c r="U12" i="13" s="1"/>
  <c r="B29" i="14"/>
  <c r="U7" i="13"/>
  <c r="K8" i="13"/>
  <c r="K10" i="13" s="1"/>
  <c r="K12" i="13" s="1"/>
  <c r="W8" i="13"/>
  <c r="W10" i="13" s="1"/>
  <c r="W12" i="13" s="1"/>
  <c r="Q7" i="13"/>
  <c r="Q8" i="13" s="1"/>
  <c r="Q10" i="13" s="1"/>
  <c r="Q12" i="13" s="1"/>
  <c r="Y7" i="13" l="1"/>
</calcChain>
</file>

<file path=xl/sharedStrings.xml><?xml version="1.0" encoding="utf-8"?>
<sst xmlns="http://schemas.openxmlformats.org/spreadsheetml/2006/main" count="696" uniqueCount="144">
  <si>
    <t>DATE</t>
  </si>
  <si>
    <t>REFERENCE</t>
  </si>
  <si>
    <t>TYPE</t>
  </si>
  <si>
    <t>ASSET</t>
  </si>
  <si>
    <t>ASSET #</t>
  </si>
  <si>
    <t>AMOUNT</t>
  </si>
  <si>
    <t>ID</t>
  </si>
  <si>
    <t>ACCOUNT</t>
  </si>
  <si>
    <t>ADDITION</t>
  </si>
  <si>
    <t>TAKE ON DATE</t>
  </si>
  <si>
    <t>CONTROL CHECKS</t>
  </si>
  <si>
    <t>ASSET TRANSACTION</t>
  </si>
  <si>
    <t>CLASS</t>
  </si>
  <si>
    <t>10.01.2019 - ADDITION</t>
  </si>
  <si>
    <t>31.01.2019 - DEPRECIATION</t>
  </si>
  <si>
    <t>DEPRECIATE</t>
  </si>
  <si>
    <t>DEPRECIATION</t>
  </si>
  <si>
    <t>15.04.2019 - UPGRADE</t>
  </si>
  <si>
    <t>UPGRADE</t>
  </si>
  <si>
    <t>Asset Take On Date = Transaction Date of Addition OR WIP Transfer</t>
  </si>
  <si>
    <t>27.06.2019 - IMPAIRMENT</t>
  </si>
  <si>
    <t>IMPAIR</t>
  </si>
  <si>
    <t>IMPAIRMENT</t>
  </si>
  <si>
    <t>Depreciate the asset at the end of the month at 5% straight (easy test)</t>
  </si>
  <si>
    <t>Upgrade the asset increasing it's value by R15 000. Remember that at the end of each month, depreciation will have to be executed at 5% straight</t>
  </si>
  <si>
    <t>The asset should now be revalued at R60 000 in total. Remember to depreciate for each month first.</t>
  </si>
  <si>
    <t>Sort out midstream depreciation - see revaluation on 27 jun 2019</t>
  </si>
  <si>
    <t>TO DO</t>
  </si>
  <si>
    <t>TRANSACTION DATE</t>
  </si>
  <si>
    <t>EFFECTIVE DATE</t>
  </si>
  <si>
    <t>20.08.2019 - REVALUATION</t>
  </si>
  <si>
    <t>REVALUE</t>
  </si>
  <si>
    <t>COA</t>
  </si>
  <si>
    <t>ASSET AFFECTING</t>
  </si>
  <si>
    <t>MAINTENANCE</t>
  </si>
  <si>
    <t>10.09.2019 - MAINTENANCE</t>
  </si>
  <si>
    <t>WATER</t>
  </si>
  <si>
    <t>20.12.2019 - RECLASSIFICATION</t>
  </si>
  <si>
    <t>It was discovered that the WATER CLASS Asset was incorrectly classified and should actually be STORMWATER</t>
  </si>
  <si>
    <t>STORMWATER</t>
  </si>
  <si>
    <t>VALUE</t>
  </si>
  <si>
    <t>EXAMPLE CONFIGS</t>
  </si>
  <si>
    <t>RECLASSIFY</t>
  </si>
  <si>
    <t>Opening Balance when we Reclassify. Each Asset should have an Opening Value per Class</t>
  </si>
  <si>
    <t>05.01.2019 - RECLASSIFICATION</t>
  </si>
  <si>
    <t>Dispose of the Asset completely</t>
  </si>
  <si>
    <t>DERECOGNISE</t>
  </si>
  <si>
    <t>Remember to exclude Maintenance Amounts</t>
  </si>
  <si>
    <t>ALL CATEGORIES - VALUES (RAND)</t>
  </si>
  <si>
    <t>ASSET CATEGORY</t>
  </si>
  <si>
    <t>OPENING BALANCES</t>
  </si>
  <si>
    <t>CURRENT FINANCIAL YEAR</t>
  </si>
  <si>
    <t>CLOSING BALANCES</t>
  </si>
  <si>
    <t>Asset Sub Category</t>
  </si>
  <si>
    <t>Cost</t>
  </si>
  <si>
    <t>Accumulated Depreciation</t>
  </si>
  <si>
    <t>Accumulated Impairments</t>
  </si>
  <si>
    <t>Carrying Value</t>
  </si>
  <si>
    <t>Additions - Completed</t>
  </si>
  <si>
    <t>Additions - WIP</t>
  </si>
  <si>
    <t>Capitalised - WIP (Excl. in Totals)</t>
  </si>
  <si>
    <t>Transfer Cost</t>
  </si>
  <si>
    <t>Impairment Transfer</t>
  </si>
  <si>
    <t>Depreciation</t>
  </si>
  <si>
    <t>Impairments</t>
  </si>
  <si>
    <t>Reversal of Impairments</t>
  </si>
  <si>
    <t>Transfer Depreciation</t>
  </si>
  <si>
    <t>Impairment Derecognition</t>
  </si>
  <si>
    <t>Derecognition Cost</t>
  </si>
  <si>
    <t>Derecognition Depreciation</t>
  </si>
  <si>
    <t>Adjustment in Fair Value</t>
  </si>
  <si>
    <t>Adjustment of Provisions</t>
  </si>
  <si>
    <t>INFRASTRUCTURE ASSETS</t>
  </si>
  <si>
    <t>Sub Total</t>
  </si>
  <si>
    <t>Grand Total</t>
  </si>
  <si>
    <t>2018/2019 - FINANCIAL ASSET REGISTER SUMMARY</t>
  </si>
  <si>
    <t>Control Closing Balances</t>
  </si>
  <si>
    <t>WIP TRANSFER</t>
  </si>
  <si>
    <t>Provisioning to do still</t>
  </si>
  <si>
    <t>Selling Items that have been revalued</t>
  </si>
  <si>
    <t>Recognise a new asset into the register valued at R100 000. R30 000 was expensed in the current financial year and R70 000 was expensed in the previous financial year</t>
  </si>
  <si>
    <t>COST</t>
  </si>
  <si>
    <t>Impair the asset by R10 000. Again, remember to depreciate at the end of each month</t>
  </si>
  <si>
    <t>Perform R8000.00 worth of maintenance on the asset. Remember to depreciate at the end of previous months</t>
  </si>
  <si>
    <t>DEPRECIATION ADJUSTMENT</t>
  </si>
  <si>
    <t>MAINTENANCE ADJUSTMENT</t>
  </si>
  <si>
    <t>REVALUATION ADJUSTMENT</t>
  </si>
  <si>
    <t>INPUT AMOUNT</t>
  </si>
  <si>
    <r>
      <rPr>
        <b/>
        <sz val="11"/>
        <color rgb="FFFF0000"/>
        <rFont val="Calibri"/>
        <family val="2"/>
        <scheme val="minor"/>
      </rPr>
      <t xml:space="preserve">METHOD: </t>
    </r>
    <r>
      <rPr>
        <sz val="11"/>
        <color rgb="FFFF0000"/>
        <rFont val="Calibri"/>
        <family val="2"/>
        <scheme val="minor"/>
      </rPr>
      <t>This method clears the depreciation and impairment on the asset and forces the new book value of the asset to the revalued value. Input amount to be populated with the actual user values entered</t>
    </r>
  </si>
  <si>
    <r>
      <rPr>
        <b/>
        <sz val="11"/>
        <color rgb="FFFF0000"/>
        <rFont val="Calibri"/>
        <family val="2"/>
        <scheme val="minor"/>
      </rPr>
      <t xml:space="preserve">METHOD: </t>
    </r>
    <r>
      <rPr>
        <sz val="11"/>
        <color rgb="FFFF0000"/>
        <rFont val="Calibri"/>
        <family val="2"/>
        <scheme val="minor"/>
      </rPr>
      <t>Reclassification happens only for the current financial year. Revaluation amount is found in the Input Amount for the transaction</t>
    </r>
  </si>
  <si>
    <r>
      <rPr>
        <b/>
        <sz val="11"/>
        <color rgb="FFFF0000"/>
        <rFont val="Calibri"/>
        <family val="2"/>
        <scheme val="minor"/>
      </rPr>
      <t xml:space="preserve">QUESTION: </t>
    </r>
    <r>
      <rPr>
        <sz val="11"/>
        <color rgb="FFFF0000"/>
        <rFont val="Calibri"/>
        <family val="2"/>
        <scheme val="minor"/>
      </rPr>
      <t>Is it needed to depreciate from 1-Aug to 20-Aug just be be cleared by the Revaluation Transaction again? And when calculating depreciation on 30-Aug, should it be done just from 20-Aug?</t>
    </r>
  </si>
  <si>
    <r>
      <rPr>
        <b/>
        <sz val="11"/>
        <color rgb="FFFF0000"/>
        <rFont val="Calibri"/>
        <family val="2"/>
        <scheme val="minor"/>
      </rPr>
      <t xml:space="preserve">QUESTION: </t>
    </r>
    <r>
      <rPr>
        <sz val="11"/>
        <color rgb="FFFF0000"/>
        <rFont val="Calibri"/>
        <family val="2"/>
        <scheme val="minor"/>
      </rPr>
      <t>When calculating depreciation on 30-Aug, should it be done just from 20-Aug?</t>
    </r>
  </si>
  <si>
    <t>2019 Fin Year Start = 1 July</t>
  </si>
  <si>
    <t>2018 Fin Year Start = 1 July</t>
  </si>
  <si>
    <t>Control Check</t>
  </si>
  <si>
    <t>2019/2020 - FINANCIAL ASSET REGISTER SUMMARY</t>
  </si>
  <si>
    <t>When reclassified, does the opening balance come over to new year as Water and then as part of current year it gets transferred to STORMWATER?</t>
  </si>
  <si>
    <t>DepreciationLastDate</t>
  </si>
  <si>
    <t>DepreciationClosing</t>
  </si>
  <si>
    <t>DepreciationFinYTD</t>
  </si>
  <si>
    <t>DepreciationOpening</t>
  </si>
  <si>
    <t>2020 Fin Year Start = 1 July</t>
  </si>
  <si>
    <t>Should this be the last date the amount changed? In this case, it's the Derecognition that changed this amounts</t>
  </si>
  <si>
    <t>FIN YEAR START</t>
  </si>
  <si>
    <t>FIN YEAR END</t>
  </si>
  <si>
    <t>CarryingValueOpening</t>
  </si>
  <si>
    <t>CarryingValueClosing</t>
  </si>
  <si>
    <t>CostOpening</t>
  </si>
  <si>
    <t>CostClosing</t>
  </si>
  <si>
    <t>FairValue</t>
  </si>
  <si>
    <t>TransferCosts</t>
  </si>
  <si>
    <t>ValueChangeFinYTD</t>
  </si>
  <si>
    <t>?</t>
  </si>
  <si>
    <t>Should there not be one for all other accounts? I don't see TransferDepreciation in Dictionary, just reclassification depreciation. Is this not also the same as the ReclassificationCost column which can be kept on it's own summary?</t>
  </si>
  <si>
    <t>Not aware of being used</t>
  </si>
  <si>
    <t>ReclassificationLastDate</t>
  </si>
  <si>
    <t>ReclassificationCost</t>
  </si>
  <si>
    <t>ReclassificationDepreciation</t>
  </si>
  <si>
    <t>ReclassificationImpairment</t>
  </si>
  <si>
    <t>CURRENT FIN SUMMARIES</t>
  </si>
  <si>
    <t>DEPRECIATION SUMMARIES</t>
  </si>
  <si>
    <t>RECLASSIFICATION SUMMARIES</t>
  </si>
  <si>
    <t>IMPAIRMENT SUMMARIES</t>
  </si>
  <si>
    <t>REVALUATION SUMMARIES</t>
  </si>
  <si>
    <t>RevaluationLastDate</t>
  </si>
  <si>
    <t>RevaluationReserveClosing</t>
  </si>
  <si>
    <t>RevaluationReserveFinYTD</t>
  </si>
  <si>
    <t>RevaluationReserveFinYTDDepreciation</t>
  </si>
  <si>
    <t>RevaluationReserveFinYTDImpairment</t>
  </si>
  <si>
    <t>RevaluationReserveOpening</t>
  </si>
  <si>
    <t>RevaluationAmount</t>
  </si>
  <si>
    <t>DERECOGNITION SUMMARIES</t>
  </si>
  <si>
    <t>DerecognitionDate</t>
  </si>
  <si>
    <t>DerecognitionCost</t>
  </si>
  <si>
    <t>DerecognitionDepreciation</t>
  </si>
  <si>
    <t>DerecognitionImpairment</t>
  </si>
  <si>
    <t>Todo: Provisions, Derecognition Proceeds - should this be transacted as well like the other accounts</t>
  </si>
  <si>
    <t>How is transferred from and to used?</t>
  </si>
  <si>
    <t>ADDITIONS SUMMARIES</t>
  </si>
  <si>
    <t>AdditionLastDate</t>
  </si>
  <si>
    <t>AdditionClosing</t>
  </si>
  <si>
    <t>AdditionFinYTD</t>
  </si>
  <si>
    <t>AdditionOpening</t>
  </si>
  <si>
    <t>Prior Year Take On's should be discussed in detail on a transactional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</si>
</sst>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R&quot;\ * #,##0.00_ ;_ &quot;R&quot;\ * \-#,##0.00_ ;_ &quot;R&quot;\ * &quot;-&quot;??_ ;_ @_ "/>
    <numFmt numFmtId="164" formatCode="[$R-1C09]#,##0.00;\-[$R-1C09]#,##0.00"/>
  </numFmts>
  <fonts count="13" x14ac:knownFonts="1">
    <font>
      <sz val="11"/>
      <color theme="1"/>
      <name val="Calibri"/>
      <family val="2"/>
      <scheme val="minor"/>
    </font>
    <font>
      <b/>
      <sz val="11"/>
      <color theme="1"/>
      <name val="Calibri"/>
      <family val="2"/>
      <scheme val="minor"/>
    </font>
    <font>
      <b/>
      <sz val="14"/>
      <color theme="1"/>
      <name val="Calibri"/>
      <family val="2"/>
      <scheme val="minor"/>
    </font>
    <font>
      <b/>
      <sz val="20"/>
      <color theme="0"/>
      <name val="Calibri"/>
      <family val="2"/>
      <scheme val="minor"/>
    </font>
    <font>
      <b/>
      <sz val="15"/>
      <color indexed="30"/>
      <name val="Tahoma"/>
      <family val="2"/>
    </font>
    <font>
      <b/>
      <sz val="12"/>
      <color indexed="9"/>
      <name val="Tahoma"/>
      <family val="2"/>
    </font>
    <font>
      <b/>
      <sz val="8.25"/>
      <color indexed="9"/>
      <name val="Tahoma"/>
      <family val="2"/>
    </font>
    <font>
      <sz val="8.25"/>
      <color indexed="8"/>
      <name val="Segoe UI"/>
      <family val="2"/>
    </font>
    <font>
      <b/>
      <sz val="8.25"/>
      <color indexed="8"/>
      <name val="Segoe UI"/>
      <family val="2"/>
    </font>
    <font>
      <sz val="11"/>
      <color rgb="FFFF0000"/>
      <name val="Calibri"/>
      <family val="2"/>
      <scheme val="minor"/>
    </font>
    <font>
      <b/>
      <sz val="11"/>
      <color rgb="FFFF0000"/>
      <name val="Calibri"/>
      <family val="2"/>
      <scheme val="minor"/>
    </font>
    <font>
      <sz val="11"/>
      <color theme="1"/>
      <name val="Calibri"/>
      <family val="2"/>
      <scheme val="minor"/>
    </font>
    <font>
      <b/>
      <sz val="11"/>
      <color theme="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
      <patternFill patternType="solid">
        <fgColor indexed="22"/>
      </patternFill>
    </fill>
    <fill>
      <patternFill patternType="solid">
        <fgColor indexed="30"/>
      </patternFill>
    </fill>
    <fill>
      <patternFill patternType="solid">
        <fgColor indexed="55"/>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bottom/>
      <diagonal/>
    </border>
  </borders>
  <cellStyleXfs count="2">
    <xf numFmtId="0" fontId="0" fillId="0" borderId="0"/>
    <xf numFmtId="44" fontId="11" fillId="0" borderId="0" applyFont="0" applyFill="0" applyBorder="0" applyAlignment="0" applyProtection="0"/>
  </cellStyleXfs>
  <cellXfs count="72">
    <xf numFmtId="0" fontId="0" fillId="0" borderId="0" xfId="0"/>
    <xf numFmtId="0" fontId="1" fillId="0" borderId="0" xfId="0" applyFont="1"/>
    <xf numFmtId="0" fontId="0" fillId="0" borderId="0" xfId="0" applyAlignment="1">
      <alignment horizontal="left"/>
    </xf>
    <xf numFmtId="0" fontId="1" fillId="3" borderId="1" xfId="0" applyFont="1" applyFill="1" applyBorder="1"/>
    <xf numFmtId="0" fontId="1" fillId="3" borderId="1" xfId="0" applyFont="1" applyFill="1" applyBorder="1" applyAlignment="1">
      <alignment horizontal="right"/>
    </xf>
    <xf numFmtId="0" fontId="0" fillId="3" borderId="1" xfId="0" applyFill="1" applyBorder="1"/>
    <xf numFmtId="0" fontId="0" fillId="0" borderId="1" xfId="0" applyBorder="1"/>
    <xf numFmtId="15" fontId="0" fillId="0" borderId="1" xfId="0" applyNumberFormat="1" applyBorder="1"/>
    <xf numFmtId="0" fontId="0" fillId="0" borderId="0" xfId="0" applyAlignment="1">
      <alignment horizontal="left"/>
    </xf>
    <xf numFmtId="0" fontId="0" fillId="6" borderId="1" xfId="0" applyFill="1" applyBorder="1"/>
    <xf numFmtId="15" fontId="0" fillId="6" borderId="1" xfId="0" applyNumberFormat="1" applyFill="1" applyBorder="1"/>
    <xf numFmtId="0" fontId="0" fillId="7" borderId="1" xfId="0" applyFill="1" applyBorder="1"/>
    <xf numFmtId="15" fontId="0" fillId="7" borderId="1" xfId="0" applyNumberFormat="1" applyFill="1" applyBorder="1"/>
    <xf numFmtId="4" fontId="0" fillId="7" borderId="1" xfId="0" applyNumberFormat="1" applyFill="1" applyBorder="1"/>
    <xf numFmtId="4" fontId="0" fillId="6" borderId="1" xfId="0" applyNumberFormat="1" applyFill="1" applyBorder="1"/>
    <xf numFmtId="4" fontId="0" fillId="6" borderId="1" xfId="0" applyNumberFormat="1" applyFill="1" applyBorder="1" applyAlignment="1">
      <alignment horizontal="right"/>
    </xf>
    <xf numFmtId="0" fontId="0" fillId="6" borderId="1" xfId="0" applyFill="1" applyBorder="1" applyAlignment="1">
      <alignment horizontal="right"/>
    </xf>
    <xf numFmtId="0" fontId="1" fillId="3" borderId="1" xfId="0" applyFont="1" applyFill="1" applyBorder="1" applyAlignment="1">
      <alignment horizontal="center"/>
    </xf>
    <xf numFmtId="0" fontId="0" fillId="0" borderId="6" xfId="0" applyBorder="1"/>
    <xf numFmtId="0" fontId="1" fillId="3" borderId="1" xfId="0" applyFont="1" applyFill="1" applyBorder="1" applyAlignment="1"/>
    <xf numFmtId="0" fontId="0" fillId="0" borderId="1" xfId="0" applyFill="1" applyBorder="1"/>
    <xf numFmtId="4" fontId="0" fillId="7" borderId="1" xfId="0" applyNumberFormat="1" applyFill="1" applyBorder="1" applyAlignment="1">
      <alignment horizontal="right"/>
    </xf>
    <xf numFmtId="2" fontId="0" fillId="6" borderId="1" xfId="0" applyNumberFormat="1" applyFill="1" applyBorder="1"/>
    <xf numFmtId="0" fontId="1" fillId="3" borderId="1" xfId="0" applyFont="1" applyFill="1" applyBorder="1" applyAlignment="1">
      <alignment horizontal="left"/>
    </xf>
    <xf numFmtId="0" fontId="0" fillId="0" borderId="1" xfId="0" applyBorder="1" applyAlignment="1">
      <alignment horizontal="left"/>
    </xf>
    <xf numFmtId="0" fontId="0" fillId="6" borderId="1" xfId="0" applyFill="1" applyBorder="1" applyAlignment="1">
      <alignment horizontal="left"/>
    </xf>
    <xf numFmtId="0" fontId="0" fillId="3" borderId="1" xfId="0" applyFill="1" applyBorder="1" applyAlignment="1">
      <alignment horizontal="left"/>
    </xf>
    <xf numFmtId="0" fontId="0" fillId="0" borderId="0" xfId="0" applyAlignment="1">
      <alignment horizontal="right"/>
    </xf>
    <xf numFmtId="0" fontId="6" fillId="10" borderId="8" xfId="0" applyNumberFormat="1" applyFont="1" applyFill="1" applyBorder="1" applyAlignment="1" applyProtection="1">
      <alignment horizontal="left" vertical="center" wrapText="1"/>
      <protection locked="0"/>
    </xf>
    <xf numFmtId="0" fontId="7" fillId="0" borderId="8" xfId="0" applyNumberFormat="1" applyFont="1" applyFill="1" applyBorder="1" applyAlignment="1" applyProtection="1">
      <alignment horizontal="left" vertical="center" wrapText="1"/>
      <protection locked="0"/>
    </xf>
    <xf numFmtId="0" fontId="7" fillId="0" borderId="8" xfId="0" applyNumberFormat="1" applyFont="1" applyFill="1" applyBorder="1" applyAlignment="1" applyProtection="1">
      <alignment horizontal="right" vertical="center" wrapText="1"/>
      <protection locked="0"/>
    </xf>
    <xf numFmtId="0" fontId="8" fillId="9" borderId="8" xfId="0" applyNumberFormat="1" applyFont="1" applyFill="1" applyBorder="1" applyAlignment="1" applyProtection="1">
      <alignment horizontal="left" vertical="center" wrapText="1"/>
      <protection locked="0"/>
    </xf>
    <xf numFmtId="0" fontId="8" fillId="9" borderId="8" xfId="0" applyNumberFormat="1" applyFont="1" applyFill="1" applyBorder="1" applyAlignment="1" applyProtection="1">
      <alignment horizontal="right" vertical="center" wrapText="1"/>
      <protection locked="0"/>
    </xf>
    <xf numFmtId="0" fontId="8" fillId="11" borderId="8" xfId="0" applyNumberFormat="1" applyFont="1" applyFill="1" applyBorder="1" applyAlignment="1" applyProtection="1">
      <alignment horizontal="left" vertical="center" wrapText="1"/>
      <protection locked="0"/>
    </xf>
    <xf numFmtId="0" fontId="8" fillId="11" borderId="8" xfId="0" applyNumberFormat="1" applyFont="1" applyFill="1" applyBorder="1" applyAlignment="1" applyProtection="1">
      <alignment horizontal="right" vertical="center" wrapText="1"/>
      <protection locked="0"/>
    </xf>
    <xf numFmtId="4" fontId="7" fillId="0" borderId="8" xfId="0" applyNumberFormat="1" applyFont="1" applyFill="1" applyBorder="1" applyAlignment="1" applyProtection="1">
      <alignment horizontal="right" vertical="center" wrapText="1"/>
      <protection locked="0"/>
    </xf>
    <xf numFmtId="15" fontId="0" fillId="0" borderId="0" xfId="0" applyNumberFormat="1"/>
    <xf numFmtId="0" fontId="0" fillId="0" borderId="0" xfId="0" applyAlignment="1">
      <alignment horizontal="left"/>
    </xf>
    <xf numFmtId="0" fontId="7" fillId="0" borderId="8" xfId="0" applyNumberFormat="1" applyFont="1" applyFill="1" applyBorder="1" applyAlignment="1" applyProtection="1">
      <alignment horizontal="left" vertical="center" wrapText="1"/>
      <protection locked="0"/>
    </xf>
    <xf numFmtId="0" fontId="6" fillId="10" borderId="8" xfId="0" applyNumberFormat="1" applyFont="1" applyFill="1" applyBorder="1" applyAlignment="1" applyProtection="1">
      <alignment horizontal="left" vertical="center" wrapText="1"/>
      <protection locked="0"/>
    </xf>
    <xf numFmtId="0" fontId="0" fillId="0" borderId="0" xfId="0" applyAlignment="1"/>
    <xf numFmtId="0" fontId="9" fillId="0" borderId="0" xfId="0" applyFont="1"/>
    <xf numFmtId="0" fontId="10" fillId="0" borderId="0" xfId="0" applyFont="1"/>
    <xf numFmtId="0" fontId="0" fillId="7" borderId="1" xfId="0" applyFill="1" applyBorder="1" applyAlignment="1">
      <alignment horizontal="right"/>
    </xf>
    <xf numFmtId="0" fontId="0" fillId="7" borderId="0" xfId="0" applyFill="1"/>
    <xf numFmtId="4" fontId="0" fillId="0" borderId="0" xfId="0" applyNumberFormat="1"/>
    <xf numFmtId="4" fontId="7" fillId="0" borderId="9" xfId="0" applyNumberFormat="1" applyFont="1" applyFill="1" applyBorder="1" applyAlignment="1" applyProtection="1">
      <alignment horizontal="right" vertical="center" wrapText="1"/>
      <protection locked="0"/>
    </xf>
    <xf numFmtId="0" fontId="6" fillId="10" borderId="10" xfId="0" applyNumberFormat="1" applyFont="1" applyFill="1" applyBorder="1" applyAlignment="1" applyProtection="1">
      <alignment horizontal="left" vertical="center" wrapText="1"/>
      <protection locked="0"/>
    </xf>
    <xf numFmtId="15" fontId="1" fillId="12" borderId="1" xfId="0" applyNumberFormat="1" applyFont="1" applyFill="1" applyBorder="1"/>
    <xf numFmtId="0" fontId="12" fillId="5" borderId="1" xfId="0" applyFont="1" applyFill="1" applyBorder="1"/>
    <xf numFmtId="0" fontId="12" fillId="5" borderId="1" xfId="0" applyFont="1" applyFill="1" applyBorder="1" applyAlignment="1">
      <alignment horizontal="right"/>
    </xf>
    <xf numFmtId="15" fontId="1" fillId="12" borderId="1" xfId="0" applyNumberFormat="1" applyFont="1" applyFill="1" applyBorder="1" applyAlignment="1">
      <alignment horizontal="right"/>
    </xf>
    <xf numFmtId="4" fontId="0" fillId="0" borderId="1" xfId="1" applyNumberFormat="1" applyFont="1" applyBorder="1"/>
    <xf numFmtId="164" fontId="0" fillId="0" borderId="1" xfId="1" applyNumberFormat="1" applyFont="1" applyBorder="1"/>
    <xf numFmtId="164" fontId="10" fillId="0" borderId="1" xfId="1" applyNumberFormat="1" applyFont="1" applyBorder="1" applyAlignment="1">
      <alignment horizontal="right"/>
    </xf>
    <xf numFmtId="0" fontId="0" fillId="0" borderId="0" xfId="0" applyAlignment="1">
      <alignment wrapText="1"/>
    </xf>
    <xf numFmtId="14" fontId="0" fillId="0" borderId="1" xfId="0" applyNumberFormat="1" applyBorder="1"/>
    <xf numFmtId="0" fontId="3" fillId="5" borderId="0" xfId="0" applyFont="1" applyFill="1" applyAlignment="1">
      <alignment horizontal="left"/>
    </xf>
    <xf numFmtId="0" fontId="0" fillId="8" borderId="2" xfId="0" applyFill="1" applyBorder="1" applyAlignment="1">
      <alignment horizontal="center"/>
    </xf>
    <xf numFmtId="0" fontId="2" fillId="2" borderId="1"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0" fillId="4" borderId="2" xfId="0" applyFill="1" applyBorder="1" applyAlignment="1">
      <alignment horizontal="center"/>
    </xf>
    <xf numFmtId="0" fontId="0" fillId="0" borderId="0" xfId="0" applyAlignment="1">
      <alignment horizontal="left" wrapText="1"/>
    </xf>
    <xf numFmtId="0" fontId="0" fillId="0" borderId="0" xfId="0" applyAlignment="1">
      <alignment horizontal="left"/>
    </xf>
    <xf numFmtId="0" fontId="0" fillId="4" borderId="2" xfId="0" applyFill="1" applyBorder="1" applyAlignment="1">
      <alignment horizontal="left"/>
    </xf>
    <xf numFmtId="0" fontId="0" fillId="4" borderId="7" xfId="0" applyFill="1" applyBorder="1" applyAlignment="1">
      <alignment horizontal="center"/>
    </xf>
    <xf numFmtId="0" fontId="7" fillId="0" borderId="8" xfId="0" applyNumberFormat="1" applyFont="1" applyFill="1" applyBorder="1" applyAlignment="1" applyProtection="1">
      <alignment horizontal="left" vertical="center" wrapText="1"/>
      <protection locked="0"/>
    </xf>
    <xf numFmtId="0" fontId="4" fillId="9" borderId="8" xfId="0" applyNumberFormat="1" applyFont="1" applyFill="1" applyBorder="1" applyAlignment="1" applyProtection="1">
      <alignment horizontal="center" vertical="center" wrapText="1"/>
      <protection locked="0"/>
    </xf>
    <xf numFmtId="0" fontId="5" fillId="10" borderId="8" xfId="0" applyNumberFormat="1" applyFont="1" applyFill="1" applyBorder="1" applyAlignment="1" applyProtection="1">
      <alignment horizontal="center" vertical="center" wrapText="1"/>
      <protection locked="0"/>
    </xf>
    <xf numFmtId="0" fontId="6" fillId="10" borderId="8" xfId="0" applyNumberFormat="1" applyFont="1" applyFill="1" applyBorder="1" applyAlignment="1" applyProtection="1">
      <alignment horizontal="left" vertical="center" wrapText="1"/>
      <protection locked="0"/>
    </xf>
  </cellXfs>
  <cellStyles count="2">
    <cellStyle name="Currency" xfId="1" builtinId="4"/>
    <cellStyle name="Normal" xfId="0" builtinId="0"/>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7E19-773F-41FF-9D4F-B14BAFD56171}">
  <dimension ref="A1:E15"/>
  <sheetViews>
    <sheetView tabSelected="1" workbookViewId="0">
      <selection activeCell="A16" sqref="A16"/>
    </sheetView>
  </sheetViews>
  <sheetFormatPr defaultRowHeight="14.4" x14ac:dyDescent="0.3"/>
  <cols>
    <col min="1" max="1" width="51.33203125" customWidth="1"/>
    <col min="2" max="2" width="19.33203125" customWidth="1"/>
    <col min="3" max="3" width="17.5546875" customWidth="1"/>
    <col min="4" max="4" width="19.6640625" customWidth="1"/>
    <col min="5" max="5" width="18.44140625" customWidth="1"/>
  </cols>
  <sheetData>
    <row r="1" spans="1:5" x14ac:dyDescent="0.3">
      <c r="A1" s="1" t="s">
        <v>10</v>
      </c>
      <c r="D1" s="19" t="s">
        <v>32</v>
      </c>
      <c r="E1" s="17" t="s">
        <v>33</v>
      </c>
    </row>
    <row r="2" spans="1:5" x14ac:dyDescent="0.3">
      <c r="A2" t="s">
        <v>19</v>
      </c>
      <c r="D2" s="18" t="s">
        <v>40</v>
      </c>
      <c r="E2" s="6" t="b">
        <v>1</v>
      </c>
    </row>
    <row r="3" spans="1:5" x14ac:dyDescent="0.3">
      <c r="D3" s="6" t="s">
        <v>16</v>
      </c>
      <c r="E3" s="6" t="b">
        <v>1</v>
      </c>
    </row>
    <row r="4" spans="1:5" x14ac:dyDescent="0.3">
      <c r="A4" s="1" t="s">
        <v>27</v>
      </c>
      <c r="D4" s="6" t="s">
        <v>22</v>
      </c>
      <c r="E4" s="6" t="b">
        <v>1</v>
      </c>
    </row>
    <row r="5" spans="1:5" x14ac:dyDescent="0.3">
      <c r="D5" s="20" t="s">
        <v>34</v>
      </c>
      <c r="E5" s="6" t="b">
        <v>0</v>
      </c>
    </row>
    <row r="6" spans="1:5" x14ac:dyDescent="0.3">
      <c r="A6" t="s">
        <v>26</v>
      </c>
    </row>
    <row r="8" spans="1:5" x14ac:dyDescent="0.3">
      <c r="A8" s="1" t="s">
        <v>41</v>
      </c>
    </row>
    <row r="9" spans="1:5" x14ac:dyDescent="0.3">
      <c r="A9" t="s">
        <v>93</v>
      </c>
      <c r="B9" s="36">
        <v>43282</v>
      </c>
    </row>
    <row r="10" spans="1:5" x14ac:dyDescent="0.3">
      <c r="A10" t="s">
        <v>92</v>
      </c>
      <c r="B10" s="36">
        <v>43647</v>
      </c>
    </row>
    <row r="11" spans="1:5" x14ac:dyDescent="0.3">
      <c r="A11" t="s">
        <v>101</v>
      </c>
      <c r="B11" s="36">
        <v>44013</v>
      </c>
    </row>
    <row r="13" spans="1:5" x14ac:dyDescent="0.3">
      <c r="A13" s="42" t="s">
        <v>78</v>
      </c>
      <c r="B13" s="1"/>
      <c r="C13" s="1"/>
    </row>
    <row r="14" spans="1:5" x14ac:dyDescent="0.3">
      <c r="A14" s="42" t="s">
        <v>79</v>
      </c>
      <c r="B14" s="40"/>
      <c r="C14" s="40"/>
      <c r="D14" s="40"/>
      <c r="E14" s="40"/>
    </row>
    <row r="15" spans="1:5" x14ac:dyDescent="0.3">
      <c r="A15" s="42" t="s">
        <v>143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5C01-A15B-4C95-B2FD-8F1D94A979FA}">
  <dimension ref="A1:Y15"/>
  <sheetViews>
    <sheetView topLeftCell="G1" workbookViewId="0">
      <selection activeCell="I6" sqref="I6"/>
    </sheetView>
  </sheetViews>
  <sheetFormatPr defaultRowHeight="14.4" x14ac:dyDescent="0.3"/>
  <cols>
    <col min="1" max="1" width="30.33203125" customWidth="1"/>
    <col min="2" max="23" width="15.109375" customWidth="1"/>
    <col min="257" max="257" width="30.33203125" customWidth="1"/>
    <col min="258" max="279" width="15.109375" customWidth="1"/>
    <col min="513" max="513" width="30.33203125" customWidth="1"/>
    <col min="514" max="535" width="15.109375" customWidth="1"/>
    <col min="769" max="769" width="30.33203125" customWidth="1"/>
    <col min="770" max="791" width="15.109375" customWidth="1"/>
    <col min="1025" max="1025" width="30.33203125" customWidth="1"/>
    <col min="1026" max="1047" width="15.109375" customWidth="1"/>
    <col min="1281" max="1281" width="30.33203125" customWidth="1"/>
    <col min="1282" max="1303" width="15.109375" customWidth="1"/>
    <col min="1537" max="1537" width="30.33203125" customWidth="1"/>
    <col min="1538" max="1559" width="15.109375" customWidth="1"/>
    <col min="1793" max="1793" width="30.33203125" customWidth="1"/>
    <col min="1794" max="1815" width="15.109375" customWidth="1"/>
    <col min="2049" max="2049" width="30.33203125" customWidth="1"/>
    <col min="2050" max="2071" width="15.109375" customWidth="1"/>
    <col min="2305" max="2305" width="30.33203125" customWidth="1"/>
    <col min="2306" max="2327" width="15.109375" customWidth="1"/>
    <col min="2561" max="2561" width="30.33203125" customWidth="1"/>
    <col min="2562" max="2583" width="15.109375" customWidth="1"/>
    <col min="2817" max="2817" width="30.33203125" customWidth="1"/>
    <col min="2818" max="2839" width="15.109375" customWidth="1"/>
    <col min="3073" max="3073" width="30.33203125" customWidth="1"/>
    <col min="3074" max="3095" width="15.109375" customWidth="1"/>
    <col min="3329" max="3329" width="30.33203125" customWidth="1"/>
    <col min="3330" max="3351" width="15.109375" customWidth="1"/>
    <col min="3585" max="3585" width="30.33203125" customWidth="1"/>
    <col min="3586" max="3607" width="15.109375" customWidth="1"/>
    <col min="3841" max="3841" width="30.33203125" customWidth="1"/>
    <col min="3842" max="3863" width="15.109375" customWidth="1"/>
    <col min="4097" max="4097" width="30.33203125" customWidth="1"/>
    <col min="4098" max="4119" width="15.109375" customWidth="1"/>
    <col min="4353" max="4353" width="30.33203125" customWidth="1"/>
    <col min="4354" max="4375" width="15.109375" customWidth="1"/>
    <col min="4609" max="4609" width="30.33203125" customWidth="1"/>
    <col min="4610" max="4631" width="15.109375" customWidth="1"/>
    <col min="4865" max="4865" width="30.33203125" customWidth="1"/>
    <col min="4866" max="4887" width="15.109375" customWidth="1"/>
    <col min="5121" max="5121" width="30.33203125" customWidth="1"/>
    <col min="5122" max="5143" width="15.109375" customWidth="1"/>
    <col min="5377" max="5377" width="30.33203125" customWidth="1"/>
    <col min="5378" max="5399" width="15.109375" customWidth="1"/>
    <col min="5633" max="5633" width="30.33203125" customWidth="1"/>
    <col min="5634" max="5655" width="15.109375" customWidth="1"/>
    <col min="5889" max="5889" width="30.33203125" customWidth="1"/>
    <col min="5890" max="5911" width="15.109375" customWidth="1"/>
    <col min="6145" max="6145" width="30.33203125" customWidth="1"/>
    <col min="6146" max="6167" width="15.109375" customWidth="1"/>
    <col min="6401" max="6401" width="30.33203125" customWidth="1"/>
    <col min="6402" max="6423" width="15.109375" customWidth="1"/>
    <col min="6657" max="6657" width="30.33203125" customWidth="1"/>
    <col min="6658" max="6679" width="15.109375" customWidth="1"/>
    <col min="6913" max="6913" width="30.33203125" customWidth="1"/>
    <col min="6914" max="6935" width="15.109375" customWidth="1"/>
    <col min="7169" max="7169" width="30.33203125" customWidth="1"/>
    <col min="7170" max="7191" width="15.109375" customWidth="1"/>
    <col min="7425" max="7425" width="30.33203125" customWidth="1"/>
    <col min="7426" max="7447" width="15.109375" customWidth="1"/>
    <col min="7681" max="7681" width="30.33203125" customWidth="1"/>
    <col min="7682" max="7703" width="15.109375" customWidth="1"/>
    <col min="7937" max="7937" width="30.33203125" customWidth="1"/>
    <col min="7938" max="7959" width="15.109375" customWidth="1"/>
    <col min="8193" max="8193" width="30.33203125" customWidth="1"/>
    <col min="8194" max="8215" width="15.109375" customWidth="1"/>
    <col min="8449" max="8449" width="30.33203125" customWidth="1"/>
    <col min="8450" max="8471" width="15.109375" customWidth="1"/>
    <col min="8705" max="8705" width="30.33203125" customWidth="1"/>
    <col min="8706" max="8727" width="15.109375" customWidth="1"/>
    <col min="8961" max="8961" width="30.33203125" customWidth="1"/>
    <col min="8962" max="8983" width="15.109375" customWidth="1"/>
    <col min="9217" max="9217" width="30.33203125" customWidth="1"/>
    <col min="9218" max="9239" width="15.109375" customWidth="1"/>
    <col min="9473" max="9473" width="30.33203125" customWidth="1"/>
    <col min="9474" max="9495" width="15.109375" customWidth="1"/>
    <col min="9729" max="9729" width="30.33203125" customWidth="1"/>
    <col min="9730" max="9751" width="15.109375" customWidth="1"/>
    <col min="9985" max="9985" width="30.33203125" customWidth="1"/>
    <col min="9986" max="10007" width="15.109375" customWidth="1"/>
    <col min="10241" max="10241" width="30.33203125" customWidth="1"/>
    <col min="10242" max="10263" width="15.109375" customWidth="1"/>
    <col min="10497" max="10497" width="30.33203125" customWidth="1"/>
    <col min="10498" max="10519" width="15.109375" customWidth="1"/>
    <col min="10753" max="10753" width="30.33203125" customWidth="1"/>
    <col min="10754" max="10775" width="15.109375" customWidth="1"/>
    <col min="11009" max="11009" width="30.33203125" customWidth="1"/>
    <col min="11010" max="11031" width="15.109375" customWidth="1"/>
    <col min="11265" max="11265" width="30.33203125" customWidth="1"/>
    <col min="11266" max="11287" width="15.109375" customWidth="1"/>
    <col min="11521" max="11521" width="30.33203125" customWidth="1"/>
    <col min="11522" max="11543" width="15.109375" customWidth="1"/>
    <col min="11777" max="11777" width="30.33203125" customWidth="1"/>
    <col min="11778" max="11799" width="15.109375" customWidth="1"/>
    <col min="12033" max="12033" width="30.33203125" customWidth="1"/>
    <col min="12034" max="12055" width="15.109375" customWidth="1"/>
    <col min="12289" max="12289" width="30.33203125" customWidth="1"/>
    <col min="12290" max="12311" width="15.109375" customWidth="1"/>
    <col min="12545" max="12545" width="30.33203125" customWidth="1"/>
    <col min="12546" max="12567" width="15.109375" customWidth="1"/>
    <col min="12801" max="12801" width="30.33203125" customWidth="1"/>
    <col min="12802" max="12823" width="15.109375" customWidth="1"/>
    <col min="13057" max="13057" width="30.33203125" customWidth="1"/>
    <col min="13058" max="13079" width="15.109375" customWidth="1"/>
    <col min="13313" max="13313" width="30.33203125" customWidth="1"/>
    <col min="13314" max="13335" width="15.109375" customWidth="1"/>
    <col min="13569" max="13569" width="30.33203125" customWidth="1"/>
    <col min="13570" max="13591" width="15.109375" customWidth="1"/>
    <col min="13825" max="13825" width="30.33203125" customWidth="1"/>
    <col min="13826" max="13847" width="15.109375" customWidth="1"/>
    <col min="14081" max="14081" width="30.33203125" customWidth="1"/>
    <col min="14082" max="14103" width="15.109375" customWidth="1"/>
    <col min="14337" max="14337" width="30.33203125" customWidth="1"/>
    <col min="14338" max="14359" width="15.109375" customWidth="1"/>
    <col min="14593" max="14593" width="30.33203125" customWidth="1"/>
    <col min="14594" max="14615" width="15.109375" customWidth="1"/>
    <col min="14849" max="14849" width="30.33203125" customWidth="1"/>
    <col min="14850" max="14871" width="15.109375" customWidth="1"/>
    <col min="15105" max="15105" width="30.33203125" customWidth="1"/>
    <col min="15106" max="15127" width="15.109375" customWidth="1"/>
    <col min="15361" max="15361" width="30.33203125" customWidth="1"/>
    <col min="15362" max="15383" width="15.109375" customWidth="1"/>
    <col min="15617" max="15617" width="30.33203125" customWidth="1"/>
    <col min="15618" max="15639" width="15.109375" customWidth="1"/>
    <col min="15873" max="15873" width="30.33203125" customWidth="1"/>
    <col min="15874" max="15895" width="15.109375" customWidth="1"/>
    <col min="16129" max="16129" width="30.33203125" customWidth="1"/>
    <col min="16130" max="16151" width="15.109375" customWidth="1"/>
  </cols>
  <sheetData>
    <row r="1" spans="1:25" ht="18.600000000000001" x14ac:dyDescent="0.3">
      <c r="A1" s="69" t="s">
        <v>75</v>
      </c>
      <c r="B1" s="69"/>
      <c r="C1" s="69"/>
      <c r="D1" s="69"/>
      <c r="E1" s="69"/>
      <c r="F1" s="69"/>
      <c r="G1" s="69"/>
      <c r="H1" s="69"/>
      <c r="I1" s="69"/>
      <c r="J1" s="69"/>
      <c r="K1" s="69"/>
      <c r="L1" s="69"/>
      <c r="M1" s="69"/>
      <c r="N1" s="69"/>
      <c r="O1" s="69"/>
      <c r="P1" s="69"/>
      <c r="Q1" s="69"/>
      <c r="R1" s="69"/>
      <c r="S1" s="69"/>
      <c r="T1" s="69"/>
      <c r="U1" s="69"/>
      <c r="V1" s="69"/>
      <c r="W1" s="69"/>
    </row>
    <row r="2" spans="1:25" ht="15" x14ac:dyDescent="0.3">
      <c r="A2" s="70" t="s">
        <v>48</v>
      </c>
      <c r="B2" s="70"/>
      <c r="C2" s="70"/>
      <c r="D2" s="70"/>
      <c r="E2" s="70"/>
      <c r="F2" s="70"/>
      <c r="G2" s="70"/>
      <c r="H2" s="70"/>
      <c r="I2" s="70"/>
      <c r="J2" s="70"/>
      <c r="K2" s="70"/>
      <c r="L2" s="70"/>
      <c r="M2" s="70"/>
      <c r="N2" s="70"/>
      <c r="O2" s="70"/>
      <c r="P2" s="70"/>
      <c r="Q2" s="70"/>
      <c r="R2" s="70"/>
      <c r="S2" s="70"/>
      <c r="T2" s="70"/>
      <c r="U2" s="70"/>
      <c r="V2" s="70"/>
      <c r="W2" s="70"/>
    </row>
    <row r="3" spans="1:25" x14ac:dyDescent="0.3">
      <c r="A3" s="28" t="s">
        <v>49</v>
      </c>
      <c r="B3" s="71" t="s">
        <v>50</v>
      </c>
      <c r="C3" s="71"/>
      <c r="D3" s="71"/>
      <c r="E3" s="71"/>
      <c r="F3" s="71" t="s">
        <v>51</v>
      </c>
      <c r="G3" s="71"/>
      <c r="H3" s="71"/>
      <c r="I3" s="71"/>
      <c r="J3" s="71"/>
      <c r="K3" s="71"/>
      <c r="L3" s="71"/>
      <c r="M3" s="71"/>
      <c r="N3" s="71"/>
      <c r="O3" s="71"/>
      <c r="P3" s="71"/>
      <c r="Q3" s="71"/>
      <c r="R3" s="71"/>
      <c r="S3" s="71"/>
      <c r="T3" s="71" t="s">
        <v>52</v>
      </c>
      <c r="U3" s="71"/>
      <c r="V3" s="71"/>
      <c r="W3" s="71"/>
    </row>
    <row r="4" spans="1:25" ht="21.6" x14ac:dyDescent="0.3">
      <c r="A4" s="28" t="s">
        <v>53</v>
      </c>
      <c r="B4" s="28" t="s">
        <v>54</v>
      </c>
      <c r="C4" s="28" t="s">
        <v>55</v>
      </c>
      <c r="D4" s="28" t="s">
        <v>56</v>
      </c>
      <c r="E4" s="28" t="s">
        <v>57</v>
      </c>
      <c r="F4" s="28" t="s">
        <v>58</v>
      </c>
      <c r="G4" s="28" t="s">
        <v>59</v>
      </c>
      <c r="H4" s="28" t="s">
        <v>60</v>
      </c>
      <c r="I4" s="28" t="s">
        <v>61</v>
      </c>
      <c r="J4" s="28" t="s">
        <v>62</v>
      </c>
      <c r="K4" s="28" t="s">
        <v>63</v>
      </c>
      <c r="L4" s="28" t="s">
        <v>64</v>
      </c>
      <c r="M4" s="28" t="s">
        <v>65</v>
      </c>
      <c r="N4" s="28" t="s">
        <v>66</v>
      </c>
      <c r="O4" s="28" t="s">
        <v>67</v>
      </c>
      <c r="P4" s="28" t="s">
        <v>68</v>
      </c>
      <c r="Q4" s="28" t="s">
        <v>69</v>
      </c>
      <c r="R4" s="28" t="s">
        <v>70</v>
      </c>
      <c r="S4" s="28" t="s">
        <v>71</v>
      </c>
      <c r="T4" s="28" t="s">
        <v>54</v>
      </c>
      <c r="U4" s="28" t="s">
        <v>55</v>
      </c>
      <c r="V4" s="28" t="s">
        <v>56</v>
      </c>
      <c r="W4" s="28" t="s">
        <v>57</v>
      </c>
      <c r="Y4" s="47" t="s">
        <v>94</v>
      </c>
    </row>
    <row r="5" spans="1:25" x14ac:dyDescent="0.3">
      <c r="A5" s="29" t="s">
        <v>72</v>
      </c>
      <c r="B5" s="68"/>
      <c r="C5" s="68"/>
      <c r="D5" s="68"/>
      <c r="E5" s="68"/>
      <c r="F5" s="68"/>
      <c r="G5" s="68"/>
      <c r="H5" s="68"/>
      <c r="I5" s="68"/>
      <c r="J5" s="68"/>
      <c r="K5" s="68"/>
      <c r="L5" s="68"/>
      <c r="M5" s="68"/>
      <c r="N5" s="68"/>
      <c r="O5" s="68"/>
      <c r="P5" s="68"/>
      <c r="Q5" s="68"/>
      <c r="R5" s="68"/>
      <c r="S5" s="68"/>
      <c r="T5" s="68"/>
      <c r="U5" s="68"/>
      <c r="V5" s="68"/>
      <c r="W5" s="68"/>
    </row>
    <row r="6" spans="1:25" x14ac:dyDescent="0.3">
      <c r="A6" s="29" t="s">
        <v>36</v>
      </c>
      <c r="B6" s="35">
        <f>SUMIFS('05.01.2020 - Derecognition'!$I:$I,'05.01.2020 - Derecognition'!$D:$D,"&lt;"&amp;Notes!$B$9,'05.01.2020 - Derecognition'!$G:$G,"=COST",'05.01.2020 - Derecognition'!$J:$J,"WATER")</f>
        <v>0</v>
      </c>
      <c r="C6" s="35">
        <f>SUMIFS('05.01.2020 - Derecognition'!$I:$I,'05.01.2020 - Derecognition'!$D:$D,"&lt;"&amp;Notes!$B$9,'05.01.2020 - Derecognition'!$G:$G,"DEPRECIATION",'05.01.2020 - Derecognition'!$J:$J,"WATER")</f>
        <v>0</v>
      </c>
      <c r="D6" s="35">
        <f>SUMIFS('05.01.2020 - Derecognition'!$I:$I,'05.01.2020 - Derecognition'!$D:$D,"&lt;"&amp;Notes!$B$9,'05.01.2020 - Derecognition'!$G:$G,"IMPAIRMENT",'05.01.2020 - Derecognition'!$J:$J,"WATER")</f>
        <v>0</v>
      </c>
      <c r="E6" s="35">
        <f>B6+C6+D6</f>
        <v>0</v>
      </c>
      <c r="F6" s="35">
        <f>SUMIFS('05.01.2020 - Derecognition'!$I:$I,'05.01.2020 - Derecognition'!$D:$D,"&gt;="&amp;Notes!$B$9,'05.01.2020 - Derecognition'!$D:$D,"&lt;"&amp;Notes!$B$10,'05.01.2020 - Derecognition'!$F:$F,"ADDITION",'05.01.2020 - Derecognition'!$J:$J,"WATER")</f>
        <v>30000</v>
      </c>
      <c r="G6" s="35">
        <v>0</v>
      </c>
      <c r="H6" s="30">
        <v>0</v>
      </c>
      <c r="I6" s="35">
        <f>SUMIFS('05.01.2020 - Derecognition'!$I:$I,'05.01.2020 - Derecognition'!$D:$D,"&gt;="&amp;Notes!$B$9,'05.01.2020 - Derecognition'!$D:$D,"&lt;"&amp;Notes!$B$10,'05.01.2020 - Derecognition'!$F:$F,"WIP TRANSFER",'05.01.2020 - Derecognition'!$J:$J,"WATER")</f>
        <v>70000</v>
      </c>
      <c r="J6" s="30">
        <v>0</v>
      </c>
      <c r="K6" s="35">
        <f>SUMIFS('05.01.2020 - Derecognition'!$I:$I,'05.01.2020 - Derecognition'!$D:$D,"&gt;="&amp;Notes!$B$9,'05.01.2020 - Derecognition'!$D:$D,"&lt;"&amp;Notes!$B$10,'05.01.2020 - Derecognition'!$G:$G,"DEPRECIATION",'05.01.2020 - Derecognition'!$J:$J,"WATER")</f>
        <v>-28130.19</v>
      </c>
      <c r="L6" s="35">
        <f>SUMIFS('05.01.2020 - Derecognition'!$I:$I,'05.01.2020 - Derecognition'!$D:$D,"&gt;="&amp;Notes!$B$9,'05.01.2020 - Derecognition'!$D:$D,"&lt;"&amp;Notes!$B$10,'05.01.2020 - Derecognition'!$G:$G,"IMPAIRMENT",'05.01.2020 - Derecognition'!$J:$J,"WATER")</f>
        <v>-10000</v>
      </c>
      <c r="M6" s="30">
        <v>0</v>
      </c>
      <c r="N6" s="30">
        <v>0</v>
      </c>
      <c r="O6" s="35">
        <f>SUMIFS('05.01.2020 - Derecognition'!$I:$I,'05.01.2020 - Derecognition'!$D:$D,"&gt;="&amp;Notes!$B$9,'05.01.2020 - Derecognition'!$D:$D,"&lt;"&amp;Notes!$B$10,'05.01.2020 - Derecognition'!$G:$G,"IMPAIRMENT",'05.01.2020 - Derecognition'!$F:$F,"DERECOGNISE",'05.01.2020 - Derecognition'!$J:$J,"WATER")</f>
        <v>0</v>
      </c>
      <c r="P6" s="35">
        <f>SUMIFS('05.01.2020 - Derecognition'!$I:$I,'05.01.2020 - Derecognition'!$D:$D,"&gt;="&amp;Notes!$B$9,'05.01.2020 - Derecognition'!$D:$D,"&lt;"&amp;Notes!$B$10,'05.01.2020 - Derecognition'!$G:$G,"COST",'05.01.2020 - Derecognition'!$F:$F,"DERECOGNISE",'05.01.2020 - Derecognition'!$J:$J,"WATER")</f>
        <v>0</v>
      </c>
      <c r="Q6" s="35">
        <f>SUMIFS('05.01.2020 - Derecognition'!$I:$I,'05.01.2020 - Derecognition'!$D:$D,"&gt;="&amp;Notes!$B$9,'05.01.2020 - Derecognition'!$D:$D,"&lt;"&amp;Notes!$B$10,'05.01.2020 - Derecognition'!$G:$G,"DEPRECIATION",'05.01.2020 - Derecognition'!$F:$F,"DERECOGNISE",'05.01.2020 - Derecognition'!$J:$J,"WATER")</f>
        <v>0</v>
      </c>
      <c r="R6" s="35">
        <f>SUMIFS('05.01.2020 - Derecognition'!$I:$I,'05.01.2020 - Derecognition'!$D:$D,"&gt;="&amp;Notes!$B$9,'05.01.2020 - Derecognition'!$D:$D,"&lt;"&amp;Notes!$B$10,'05.01.2020 - Derecognition'!$F:$F,"UPGRADE",'05.01.2020 - Derecognition'!$J:$J,"WATER")</f>
        <v>15000</v>
      </c>
      <c r="S6" s="30">
        <v>0</v>
      </c>
      <c r="T6" s="35">
        <f>SUMIFS('05.01.2020 - Derecognition'!$I:$I,'05.01.2020 - Derecognition'!$D:$D,"&gt;="&amp;Notes!$B$9,'05.01.2020 - Derecognition'!$D:$D,"&lt;"&amp;Notes!$B$10,'05.01.2020 - Derecognition'!$G:$G,"COST",'05.01.2020 - Derecognition'!$J:$J,"WATER")</f>
        <v>115000</v>
      </c>
      <c r="U6" s="35">
        <f>SUMIFS('05.01.2020 - Derecognition'!$I:$I,'05.01.2020 - Derecognition'!$D:$D,"&gt;="&amp;Notes!$B$9,'05.01.2020 - Derecognition'!$D:$D,"&lt;"&amp;Notes!$B$10,'05.01.2020 - Derecognition'!$G:$G,"DEPRECIATION",'05.01.2020 - Derecognition'!$J:$J,"WATER")</f>
        <v>-28130.19</v>
      </c>
      <c r="V6" s="35">
        <f>SUMIFS('05.01.2020 - Derecognition'!$I:$I,'05.01.2020 - Derecognition'!$D:$D,"&gt;="&amp;Notes!$B$9,'05.01.2020 - Derecognition'!$D:$D,"&lt;"&amp;Notes!$B$10,'05.01.2020 - Derecognition'!$G:$G,"IMPAIRMENT",'05.01.2020 - Derecognition'!$J:$J,"WATER")</f>
        <v>-10000</v>
      </c>
      <c r="W6" s="35">
        <f>SUMIFS('05.01.2020 - Derecognition'!$I:$I,'05.01.2020 - Derecognition'!$D:$D,"&gt;="&amp;Notes!$B$9,'05.01.2020 - Derecognition'!$D:$D,"&lt;"&amp;Notes!$B$10,'05.01.2020 - Derecognition'!$J:$J,"WATER",'05.01.2020 - Derecognition'!$G:$G,"&lt;&gt;MAINTENANCE")</f>
        <v>76869.81</v>
      </c>
      <c r="Y6" s="46">
        <f>SUM(B6:S6)</f>
        <v>76869.81</v>
      </c>
    </row>
    <row r="7" spans="1:25" x14ac:dyDescent="0.3">
      <c r="A7" s="29" t="s">
        <v>39</v>
      </c>
      <c r="B7" s="35">
        <f>SUMIFS('05.01.2020 - Derecognition'!$I:$I,'05.01.2020 - Derecognition'!$D:$D,"&lt;"&amp;Notes!$B$9,'05.01.2020 - Derecognition'!$G:$G,"=COST",'05.01.2020 - Derecognition'!$J:$J,"STORMWATER")</f>
        <v>0</v>
      </c>
      <c r="C7" s="35">
        <f>SUMIFS('05.01.2020 - Derecognition'!$I:$I,'05.01.2020 - Derecognition'!$D:$D,"&lt;"&amp;Notes!$B$9,'05.01.2020 - Derecognition'!$G:$G,"DEPRECIATION",'05.01.2020 - Derecognition'!$J:$J,"STORMWATER")</f>
        <v>0</v>
      </c>
      <c r="D7" s="35">
        <f>SUMIFS('05.01.2020 - Derecognition'!$I:$I,'05.01.2020 - Derecognition'!$D:$D,"&lt;"&amp;Notes!$B$9,'05.01.2020 - Derecognition'!$G:$G,"IMPAIRMENT",'05.01.2020 - Derecognition'!$J:$J,"STORMWATER")</f>
        <v>0</v>
      </c>
      <c r="E7" s="35">
        <f>B7+C7+D7</f>
        <v>0</v>
      </c>
      <c r="F7" s="35">
        <f>SUMIFS('05.01.2020 - Derecognition'!$I:$I,'05.01.2020 - Derecognition'!$D:$D,"&gt;="&amp;Notes!$B$9,'05.01.2020 - Derecognition'!$D:$D,"&lt;"&amp;Notes!$B$10,'05.01.2020 - Derecognition'!$F:$F,"ADDITION",'05.01.2020 - Derecognition'!$J:$J,"STORMWATER")</f>
        <v>0</v>
      </c>
      <c r="G7" s="35">
        <v>0</v>
      </c>
      <c r="H7" s="30">
        <v>0</v>
      </c>
      <c r="I7" s="35">
        <f>SUMIFS('05.01.2020 - Derecognition'!$I:$I,'05.01.2020 - Derecognition'!$D:$D,"&gt;="&amp;Notes!$B$9,'05.01.2020 - Derecognition'!$D:$D,"&lt;"&amp;Notes!$B$10,'05.01.2020 - Derecognition'!$F:$F,"WIP TRANSFER",'05.01.2020 - Derecognition'!$J:$J,"STORMWATER")</f>
        <v>0</v>
      </c>
      <c r="J7" s="30">
        <v>0</v>
      </c>
      <c r="K7" s="35">
        <f>SUMIFS('05.01.2020 - Derecognition'!$I:$I,'05.01.2020 - Derecognition'!$D:$D,"&gt;="&amp;Notes!$B$9,'05.01.2020 - Derecognition'!$D:$D,"&lt;"&amp;Notes!$B$10,'05.01.2020 - Derecognition'!$G:$G,"DEPRECIATION",'05.01.2020 - Derecognition'!$J:$J,"STORMWATER")</f>
        <v>0</v>
      </c>
      <c r="L7" s="35">
        <f>SUMIFS('05.01.2020 - Derecognition'!$I:$I,'05.01.2020 - Derecognition'!$D:$D,"&gt;="&amp;Notes!$B$9,'05.01.2020 - Derecognition'!$D:$D,"&lt;"&amp;Notes!$B$10,'05.01.2020 - Derecognition'!$G:$G,"IMPAIRMENT",'05.01.2020 - Derecognition'!$J:$J,"STORMWATER")</f>
        <v>0</v>
      </c>
      <c r="M7" s="30">
        <v>0</v>
      </c>
      <c r="N7" s="30">
        <v>0</v>
      </c>
      <c r="O7" s="35">
        <f>SUMIFS('05.01.2020 - Derecognition'!$I:$I,'05.01.2020 - Derecognition'!$D:$D,"&gt;="&amp;Notes!$B$9,'05.01.2020 - Derecognition'!$D:$D,"&lt;"&amp;Notes!$B$10,'05.01.2020 - Derecognition'!$G:$G,"IMPAIRMENT",'05.01.2020 - Derecognition'!$F:$F,"DERECOGNISE",'05.01.2020 - Derecognition'!$J:$J,"STORMWATER")</f>
        <v>0</v>
      </c>
      <c r="P7" s="35">
        <f>SUMIFS('05.01.2020 - Derecognition'!$I:$I,'05.01.2020 - Derecognition'!$D:$D,"&gt;="&amp;Notes!$B$9,'05.01.2020 - Derecognition'!$D:$D,"&lt;"&amp;Notes!$B$10,'05.01.2020 - Derecognition'!$G:$G,"COST",'05.01.2020 - Derecognition'!$F:$F,"DERECOGNISE",'05.01.2020 - Derecognition'!$J:$J,"STORMWATER")</f>
        <v>0</v>
      </c>
      <c r="Q7" s="35">
        <f>SUMIFS('05.01.2020 - Derecognition'!$I:$I,'05.01.2020 - Derecognition'!$D:$D,"&gt;="&amp;Notes!$B$9,'05.01.2020 - Derecognition'!$D:$D,"&lt;"&amp;Notes!$B$10,'05.01.2020 - Derecognition'!$G:$G,"DEPRECIATION",'05.01.2020 - Derecognition'!$F:$F,"DERECOGNISE",'05.01.2020 - Derecognition'!$J:$J,"STORMWATER")</f>
        <v>0</v>
      </c>
      <c r="R7" s="35">
        <f>SUMIFS('05.01.2020 - Derecognition'!$I:$I,'05.01.2020 - Derecognition'!$D:$D,"&gt;="&amp;Notes!$B$9,'05.01.2020 - Derecognition'!$D:$D,"&lt;"&amp;Notes!$B$10,'05.01.2020 - Derecognition'!$F:$F,"UPGRADE",'05.01.2020 - Derecognition'!$J:$J,"STORMWATER")</f>
        <v>0</v>
      </c>
      <c r="S7" s="30">
        <v>0</v>
      </c>
      <c r="T7" s="35">
        <f>SUMIFS('05.01.2020 - Derecognition'!$I:$I,'05.01.2020 - Derecognition'!$D:$D,"&gt;="&amp;Notes!$B$9,'05.01.2020 - Derecognition'!$D:$D,"&lt;"&amp;Notes!$B$10,'05.01.2020 - Derecognition'!$G:$G,"COST",'05.01.2020 - Derecognition'!$J:$J,"STORMWATER")</f>
        <v>0</v>
      </c>
      <c r="U7" s="35">
        <f>SUMIFS('05.01.2020 - Derecognition'!$I:$I,'05.01.2020 - Derecognition'!$D:$D,"&gt;="&amp;Notes!$B$9,'05.01.2020 - Derecognition'!$D:$D,"&lt;"&amp;Notes!$B$10,'05.01.2020 - Derecognition'!$G:$G,"DEPRECIATION",'05.01.2020 - Derecognition'!$J:$J,"STORMWATER")</f>
        <v>0</v>
      </c>
      <c r="V7" s="35">
        <f>SUMIFS('05.01.2020 - Derecognition'!$I:$I,'05.01.2020 - Derecognition'!$D:$D,"&gt;="&amp;Notes!$B$9,'05.01.2020 - Derecognition'!$D:$D,"&lt;"&amp;Notes!$B$10,'05.01.2020 - Derecognition'!$G:$G,"IMPAIRMENT",'05.01.2020 - Derecognition'!$J:$J,"STORMWATER")</f>
        <v>0</v>
      </c>
      <c r="W7" s="35">
        <f>SUMIFS('05.01.2020 - Derecognition'!$I:$I,'05.01.2020 - Derecognition'!$D:$D,"&gt;="&amp;Notes!$B$9,'05.01.2020 - Derecognition'!$D:$D,"&lt;"&amp;Notes!$B$10,'05.01.2020 - Derecognition'!$J:$J,"STORMWATER",'05.01.2020 - Derecognition'!$G:$G,"&lt;&gt;MAINTENANCE")</f>
        <v>0</v>
      </c>
    </row>
    <row r="8" spans="1:25" x14ac:dyDescent="0.3">
      <c r="A8" s="31" t="s">
        <v>73</v>
      </c>
      <c r="B8" s="32">
        <f>SUM(B6:B7)</f>
        <v>0</v>
      </c>
      <c r="C8" s="32">
        <f t="shared" ref="C8:W8" si="0">SUM(C6:C7)</f>
        <v>0</v>
      </c>
      <c r="D8" s="32">
        <f t="shared" si="0"/>
        <v>0</v>
      </c>
      <c r="E8" s="32">
        <f t="shared" si="0"/>
        <v>0</v>
      </c>
      <c r="F8" s="32">
        <f t="shared" si="0"/>
        <v>30000</v>
      </c>
      <c r="G8" s="32">
        <f t="shared" si="0"/>
        <v>0</v>
      </c>
      <c r="H8" s="32">
        <f t="shared" si="0"/>
        <v>0</v>
      </c>
      <c r="I8" s="32">
        <f t="shared" si="0"/>
        <v>70000</v>
      </c>
      <c r="J8" s="32">
        <f t="shared" si="0"/>
        <v>0</v>
      </c>
      <c r="K8" s="32">
        <f t="shared" si="0"/>
        <v>-28130.19</v>
      </c>
      <c r="L8" s="32">
        <f t="shared" si="0"/>
        <v>-10000</v>
      </c>
      <c r="M8" s="32">
        <f t="shared" si="0"/>
        <v>0</v>
      </c>
      <c r="N8" s="32">
        <f t="shared" si="0"/>
        <v>0</v>
      </c>
      <c r="O8" s="32">
        <f t="shared" si="0"/>
        <v>0</v>
      </c>
      <c r="P8" s="32">
        <f t="shared" si="0"/>
        <v>0</v>
      </c>
      <c r="Q8" s="32">
        <f t="shared" si="0"/>
        <v>0</v>
      </c>
      <c r="R8" s="32">
        <f t="shared" si="0"/>
        <v>15000</v>
      </c>
      <c r="S8" s="32">
        <f t="shared" si="0"/>
        <v>0</v>
      </c>
      <c r="T8" s="32">
        <f t="shared" si="0"/>
        <v>115000</v>
      </c>
      <c r="U8" s="32">
        <f t="shared" si="0"/>
        <v>-28130.19</v>
      </c>
      <c r="V8" s="32">
        <f t="shared" si="0"/>
        <v>-10000</v>
      </c>
      <c r="W8" s="32">
        <f t="shared" si="0"/>
        <v>76869.81</v>
      </c>
    </row>
    <row r="9" spans="1:25" x14ac:dyDescent="0.3">
      <c r="A9" s="68"/>
      <c r="B9" s="68"/>
      <c r="C9" s="68"/>
      <c r="D9" s="68"/>
      <c r="E9" s="68"/>
      <c r="F9" s="68"/>
      <c r="G9" s="68"/>
      <c r="H9" s="68"/>
      <c r="I9" s="68"/>
      <c r="J9" s="68"/>
      <c r="K9" s="68"/>
      <c r="L9" s="68"/>
      <c r="M9" s="68"/>
      <c r="N9" s="68"/>
      <c r="O9" s="68"/>
      <c r="P9" s="68"/>
      <c r="Q9" s="68"/>
      <c r="R9" s="68"/>
      <c r="S9" s="68"/>
      <c r="T9" s="68"/>
      <c r="U9" s="68"/>
      <c r="V9" s="68"/>
      <c r="W9" s="68"/>
    </row>
    <row r="10" spans="1:25" x14ac:dyDescent="0.3">
      <c r="A10" s="34" t="str">
        <f t="shared" ref="A10" si="1">A8</f>
        <v>Sub Total</v>
      </c>
      <c r="B10" s="34">
        <f>B8</f>
        <v>0</v>
      </c>
      <c r="C10" s="34">
        <f t="shared" ref="C10:W10" si="2">C8</f>
        <v>0</v>
      </c>
      <c r="D10" s="34">
        <f t="shared" si="2"/>
        <v>0</v>
      </c>
      <c r="E10" s="34">
        <f t="shared" si="2"/>
        <v>0</v>
      </c>
      <c r="F10" s="34">
        <f t="shared" si="2"/>
        <v>30000</v>
      </c>
      <c r="G10" s="34">
        <f t="shared" si="2"/>
        <v>0</v>
      </c>
      <c r="H10" s="34">
        <f t="shared" si="2"/>
        <v>0</v>
      </c>
      <c r="I10" s="34">
        <f t="shared" si="2"/>
        <v>70000</v>
      </c>
      <c r="J10" s="34">
        <f t="shared" si="2"/>
        <v>0</v>
      </c>
      <c r="K10" s="34">
        <f t="shared" si="2"/>
        <v>-28130.19</v>
      </c>
      <c r="L10" s="34">
        <f t="shared" si="2"/>
        <v>-10000</v>
      </c>
      <c r="M10" s="34">
        <f t="shared" si="2"/>
        <v>0</v>
      </c>
      <c r="N10" s="34">
        <f t="shared" si="2"/>
        <v>0</v>
      </c>
      <c r="O10" s="34">
        <f t="shared" si="2"/>
        <v>0</v>
      </c>
      <c r="P10" s="34">
        <f t="shared" si="2"/>
        <v>0</v>
      </c>
      <c r="Q10" s="34">
        <f t="shared" si="2"/>
        <v>0</v>
      </c>
      <c r="R10" s="34">
        <f t="shared" si="2"/>
        <v>15000</v>
      </c>
      <c r="S10" s="34">
        <f t="shared" si="2"/>
        <v>0</v>
      </c>
      <c r="T10" s="34">
        <f t="shared" si="2"/>
        <v>115000</v>
      </c>
      <c r="U10" s="34">
        <f t="shared" si="2"/>
        <v>-28130.19</v>
      </c>
      <c r="V10" s="34">
        <f t="shared" si="2"/>
        <v>-10000</v>
      </c>
      <c r="W10" s="34">
        <f t="shared" si="2"/>
        <v>76869.81</v>
      </c>
    </row>
    <row r="11" spans="1:25" x14ac:dyDescent="0.3">
      <c r="A11" s="68"/>
      <c r="B11" s="68"/>
      <c r="C11" s="68"/>
      <c r="D11" s="68"/>
      <c r="E11" s="68"/>
      <c r="F11" s="68"/>
      <c r="G11" s="68"/>
      <c r="H11" s="68"/>
      <c r="I11" s="68"/>
      <c r="J11" s="68"/>
      <c r="K11" s="68"/>
      <c r="L11" s="68"/>
      <c r="M11" s="68"/>
      <c r="N11" s="68"/>
      <c r="O11" s="68"/>
      <c r="P11" s="68"/>
      <c r="Q11" s="68"/>
      <c r="R11" s="68"/>
      <c r="S11" s="68"/>
      <c r="T11" s="68"/>
      <c r="U11" s="68"/>
      <c r="V11" s="68"/>
      <c r="W11" s="68"/>
    </row>
    <row r="12" spans="1:25" x14ac:dyDescent="0.3">
      <c r="A12" s="33" t="s">
        <v>74</v>
      </c>
      <c r="B12" s="34">
        <f>B10</f>
        <v>0</v>
      </c>
      <c r="C12" s="34">
        <f t="shared" ref="C12:W12" si="3">C10</f>
        <v>0</v>
      </c>
      <c r="D12" s="34">
        <f t="shared" si="3"/>
        <v>0</v>
      </c>
      <c r="E12" s="34">
        <f t="shared" si="3"/>
        <v>0</v>
      </c>
      <c r="F12" s="34">
        <f t="shared" si="3"/>
        <v>30000</v>
      </c>
      <c r="G12" s="34">
        <f t="shared" si="3"/>
        <v>0</v>
      </c>
      <c r="H12" s="34">
        <f t="shared" si="3"/>
        <v>0</v>
      </c>
      <c r="I12" s="34">
        <f t="shared" si="3"/>
        <v>70000</v>
      </c>
      <c r="J12" s="34">
        <f t="shared" si="3"/>
        <v>0</v>
      </c>
      <c r="K12" s="34">
        <f t="shared" si="3"/>
        <v>-28130.19</v>
      </c>
      <c r="L12" s="34">
        <f t="shared" si="3"/>
        <v>-10000</v>
      </c>
      <c r="M12" s="34">
        <f t="shared" si="3"/>
        <v>0</v>
      </c>
      <c r="N12" s="34">
        <f t="shared" si="3"/>
        <v>0</v>
      </c>
      <c r="O12" s="34">
        <f t="shared" si="3"/>
        <v>0</v>
      </c>
      <c r="P12" s="34">
        <f t="shared" si="3"/>
        <v>0</v>
      </c>
      <c r="Q12" s="34">
        <f t="shared" si="3"/>
        <v>0</v>
      </c>
      <c r="R12" s="34">
        <f t="shared" si="3"/>
        <v>15000</v>
      </c>
      <c r="S12" s="34">
        <f t="shared" si="3"/>
        <v>0</v>
      </c>
      <c r="T12" s="34">
        <f t="shared" si="3"/>
        <v>115000</v>
      </c>
      <c r="U12" s="34">
        <f t="shared" si="3"/>
        <v>-28130.19</v>
      </c>
      <c r="V12" s="34">
        <f t="shared" si="3"/>
        <v>-10000</v>
      </c>
      <c r="W12" s="34">
        <f t="shared" si="3"/>
        <v>76869.81</v>
      </c>
    </row>
    <row r="15" spans="1:25" x14ac:dyDescent="0.3">
      <c r="T15" s="35"/>
    </row>
  </sheetData>
  <mergeCells count="10">
    <mergeCell ref="A9:W9"/>
    <mergeCell ref="A11:W11"/>
    <mergeCell ref="A1:W1"/>
    <mergeCell ref="A2:W2"/>
    <mergeCell ref="B3:E3"/>
    <mergeCell ref="F3:S3"/>
    <mergeCell ref="T3:W3"/>
    <mergeCell ref="B5:E5"/>
    <mergeCell ref="F5:S5"/>
    <mergeCell ref="T5:W5"/>
  </mergeCells>
  <conditionalFormatting sqref="T15">
    <cfRule type="cellIs" dxfId="15" priority="8" operator="equal">
      <formula>$T$12</formula>
    </cfRule>
    <cfRule type="cellIs" dxfId="14" priority="9" operator="notEqual">
      <formula>$T$12</formula>
    </cfRule>
  </conditionalFormatting>
  <conditionalFormatting sqref="U15">
    <cfRule type="cellIs" dxfId="13" priority="5" operator="notEqual">
      <formula>$U$12</formula>
    </cfRule>
    <cfRule type="cellIs" dxfId="12" priority="7" operator="equal">
      <formula>$U$12</formula>
    </cfRule>
  </conditionalFormatting>
  <conditionalFormatting sqref="V15">
    <cfRule type="cellIs" dxfId="11" priority="3" operator="equal">
      <formula>$V$12</formula>
    </cfRule>
    <cfRule type="cellIs" dxfId="10" priority="4" operator="notEqual">
      <formula>$V$12</formula>
    </cfRule>
  </conditionalFormatting>
  <conditionalFormatting sqref="W15">
    <cfRule type="cellIs" dxfId="9" priority="1" operator="equal">
      <formula>$W$12</formula>
    </cfRule>
    <cfRule type="cellIs" dxfId="8" priority="2" operator="notEqual">
      <formula>$W$12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B08F-7F68-4146-BBD1-BB0C4863CF52}">
  <dimension ref="A1:Y15"/>
  <sheetViews>
    <sheetView workbookViewId="0">
      <selection activeCell="N6" sqref="N6"/>
    </sheetView>
  </sheetViews>
  <sheetFormatPr defaultRowHeight="14.4" x14ac:dyDescent="0.3"/>
  <cols>
    <col min="1" max="1" width="30.33203125" customWidth="1"/>
    <col min="2" max="23" width="15.109375" customWidth="1"/>
    <col min="257" max="257" width="30.33203125" customWidth="1"/>
    <col min="258" max="279" width="15.109375" customWidth="1"/>
    <col min="513" max="513" width="30.33203125" customWidth="1"/>
    <col min="514" max="535" width="15.109375" customWidth="1"/>
    <col min="769" max="769" width="30.33203125" customWidth="1"/>
    <col min="770" max="791" width="15.109375" customWidth="1"/>
    <col min="1025" max="1025" width="30.33203125" customWidth="1"/>
    <col min="1026" max="1047" width="15.109375" customWidth="1"/>
    <col min="1281" max="1281" width="30.33203125" customWidth="1"/>
    <col min="1282" max="1303" width="15.109375" customWidth="1"/>
    <col min="1537" max="1537" width="30.33203125" customWidth="1"/>
    <col min="1538" max="1559" width="15.109375" customWidth="1"/>
    <col min="1793" max="1793" width="30.33203125" customWidth="1"/>
    <col min="1794" max="1815" width="15.109375" customWidth="1"/>
    <col min="2049" max="2049" width="30.33203125" customWidth="1"/>
    <col min="2050" max="2071" width="15.109375" customWidth="1"/>
    <col min="2305" max="2305" width="30.33203125" customWidth="1"/>
    <col min="2306" max="2327" width="15.109375" customWidth="1"/>
    <col min="2561" max="2561" width="30.33203125" customWidth="1"/>
    <col min="2562" max="2583" width="15.109375" customWidth="1"/>
    <col min="2817" max="2817" width="30.33203125" customWidth="1"/>
    <col min="2818" max="2839" width="15.109375" customWidth="1"/>
    <col min="3073" max="3073" width="30.33203125" customWidth="1"/>
    <col min="3074" max="3095" width="15.109375" customWidth="1"/>
    <col min="3329" max="3329" width="30.33203125" customWidth="1"/>
    <col min="3330" max="3351" width="15.109375" customWidth="1"/>
    <col min="3585" max="3585" width="30.33203125" customWidth="1"/>
    <col min="3586" max="3607" width="15.109375" customWidth="1"/>
    <col min="3841" max="3841" width="30.33203125" customWidth="1"/>
    <col min="3842" max="3863" width="15.109375" customWidth="1"/>
    <col min="4097" max="4097" width="30.33203125" customWidth="1"/>
    <col min="4098" max="4119" width="15.109375" customWidth="1"/>
    <col min="4353" max="4353" width="30.33203125" customWidth="1"/>
    <col min="4354" max="4375" width="15.109375" customWidth="1"/>
    <col min="4609" max="4609" width="30.33203125" customWidth="1"/>
    <col min="4610" max="4631" width="15.109375" customWidth="1"/>
    <col min="4865" max="4865" width="30.33203125" customWidth="1"/>
    <col min="4866" max="4887" width="15.109375" customWidth="1"/>
    <col min="5121" max="5121" width="30.33203125" customWidth="1"/>
    <col min="5122" max="5143" width="15.109375" customWidth="1"/>
    <col min="5377" max="5377" width="30.33203125" customWidth="1"/>
    <col min="5378" max="5399" width="15.109375" customWidth="1"/>
    <col min="5633" max="5633" width="30.33203125" customWidth="1"/>
    <col min="5634" max="5655" width="15.109375" customWidth="1"/>
    <col min="5889" max="5889" width="30.33203125" customWidth="1"/>
    <col min="5890" max="5911" width="15.109375" customWidth="1"/>
    <col min="6145" max="6145" width="30.33203125" customWidth="1"/>
    <col min="6146" max="6167" width="15.109375" customWidth="1"/>
    <col min="6401" max="6401" width="30.33203125" customWidth="1"/>
    <col min="6402" max="6423" width="15.109375" customWidth="1"/>
    <col min="6657" max="6657" width="30.33203125" customWidth="1"/>
    <col min="6658" max="6679" width="15.109375" customWidth="1"/>
    <col min="6913" max="6913" width="30.33203125" customWidth="1"/>
    <col min="6914" max="6935" width="15.109375" customWidth="1"/>
    <col min="7169" max="7169" width="30.33203125" customWidth="1"/>
    <col min="7170" max="7191" width="15.109375" customWidth="1"/>
    <col min="7425" max="7425" width="30.33203125" customWidth="1"/>
    <col min="7426" max="7447" width="15.109375" customWidth="1"/>
    <col min="7681" max="7681" width="30.33203125" customWidth="1"/>
    <col min="7682" max="7703" width="15.109375" customWidth="1"/>
    <col min="7937" max="7937" width="30.33203125" customWidth="1"/>
    <col min="7938" max="7959" width="15.109375" customWidth="1"/>
    <col min="8193" max="8193" width="30.33203125" customWidth="1"/>
    <col min="8194" max="8215" width="15.109375" customWidth="1"/>
    <col min="8449" max="8449" width="30.33203125" customWidth="1"/>
    <col min="8450" max="8471" width="15.109375" customWidth="1"/>
    <col min="8705" max="8705" width="30.33203125" customWidth="1"/>
    <col min="8706" max="8727" width="15.109375" customWidth="1"/>
    <col min="8961" max="8961" width="30.33203125" customWidth="1"/>
    <col min="8962" max="8983" width="15.109375" customWidth="1"/>
    <col min="9217" max="9217" width="30.33203125" customWidth="1"/>
    <col min="9218" max="9239" width="15.109375" customWidth="1"/>
    <col min="9473" max="9473" width="30.33203125" customWidth="1"/>
    <col min="9474" max="9495" width="15.109375" customWidth="1"/>
    <col min="9729" max="9729" width="30.33203125" customWidth="1"/>
    <col min="9730" max="9751" width="15.109375" customWidth="1"/>
    <col min="9985" max="9985" width="30.33203125" customWidth="1"/>
    <col min="9986" max="10007" width="15.109375" customWidth="1"/>
    <col min="10241" max="10241" width="30.33203125" customWidth="1"/>
    <col min="10242" max="10263" width="15.109375" customWidth="1"/>
    <col min="10497" max="10497" width="30.33203125" customWidth="1"/>
    <col min="10498" max="10519" width="15.109375" customWidth="1"/>
    <col min="10753" max="10753" width="30.33203125" customWidth="1"/>
    <col min="10754" max="10775" width="15.109375" customWidth="1"/>
    <col min="11009" max="11009" width="30.33203125" customWidth="1"/>
    <col min="11010" max="11031" width="15.109375" customWidth="1"/>
    <col min="11265" max="11265" width="30.33203125" customWidth="1"/>
    <col min="11266" max="11287" width="15.109375" customWidth="1"/>
    <col min="11521" max="11521" width="30.33203125" customWidth="1"/>
    <col min="11522" max="11543" width="15.109375" customWidth="1"/>
    <col min="11777" max="11777" width="30.33203125" customWidth="1"/>
    <col min="11778" max="11799" width="15.109375" customWidth="1"/>
    <col min="12033" max="12033" width="30.33203125" customWidth="1"/>
    <col min="12034" max="12055" width="15.109375" customWidth="1"/>
    <col min="12289" max="12289" width="30.33203125" customWidth="1"/>
    <col min="12290" max="12311" width="15.109375" customWidth="1"/>
    <col min="12545" max="12545" width="30.33203125" customWidth="1"/>
    <col min="12546" max="12567" width="15.109375" customWidth="1"/>
    <col min="12801" max="12801" width="30.33203125" customWidth="1"/>
    <col min="12802" max="12823" width="15.109375" customWidth="1"/>
    <col min="13057" max="13057" width="30.33203125" customWidth="1"/>
    <col min="13058" max="13079" width="15.109375" customWidth="1"/>
    <col min="13313" max="13313" width="30.33203125" customWidth="1"/>
    <col min="13314" max="13335" width="15.109375" customWidth="1"/>
    <col min="13569" max="13569" width="30.33203125" customWidth="1"/>
    <col min="13570" max="13591" width="15.109375" customWidth="1"/>
    <col min="13825" max="13825" width="30.33203125" customWidth="1"/>
    <col min="13826" max="13847" width="15.109375" customWidth="1"/>
    <col min="14081" max="14081" width="30.33203125" customWidth="1"/>
    <col min="14082" max="14103" width="15.109375" customWidth="1"/>
    <col min="14337" max="14337" width="30.33203125" customWidth="1"/>
    <col min="14338" max="14359" width="15.109375" customWidth="1"/>
    <col min="14593" max="14593" width="30.33203125" customWidth="1"/>
    <col min="14594" max="14615" width="15.109375" customWidth="1"/>
    <col min="14849" max="14849" width="30.33203125" customWidth="1"/>
    <col min="14850" max="14871" width="15.109375" customWidth="1"/>
    <col min="15105" max="15105" width="30.33203125" customWidth="1"/>
    <col min="15106" max="15127" width="15.109375" customWidth="1"/>
    <col min="15361" max="15361" width="30.33203125" customWidth="1"/>
    <col min="15362" max="15383" width="15.109375" customWidth="1"/>
    <col min="15617" max="15617" width="30.33203125" customWidth="1"/>
    <col min="15618" max="15639" width="15.109375" customWidth="1"/>
    <col min="15873" max="15873" width="30.33203125" customWidth="1"/>
    <col min="15874" max="15895" width="15.109375" customWidth="1"/>
    <col min="16129" max="16129" width="30.33203125" customWidth="1"/>
    <col min="16130" max="16151" width="15.109375" customWidth="1"/>
  </cols>
  <sheetData>
    <row r="1" spans="1:25" ht="18.600000000000001" x14ac:dyDescent="0.3">
      <c r="A1" s="69" t="s">
        <v>95</v>
      </c>
      <c r="B1" s="69"/>
      <c r="C1" s="69"/>
      <c r="D1" s="69"/>
      <c r="E1" s="69"/>
      <c r="F1" s="69"/>
      <c r="G1" s="69"/>
      <c r="H1" s="69"/>
      <c r="I1" s="69"/>
      <c r="J1" s="69"/>
      <c r="K1" s="69"/>
      <c r="L1" s="69"/>
      <c r="M1" s="69"/>
      <c r="N1" s="69"/>
      <c r="O1" s="69"/>
      <c r="P1" s="69"/>
      <c r="Q1" s="69"/>
      <c r="R1" s="69"/>
      <c r="S1" s="69"/>
      <c r="T1" s="69"/>
      <c r="U1" s="69"/>
      <c r="V1" s="69"/>
      <c r="W1" s="69"/>
    </row>
    <row r="2" spans="1:25" ht="15" x14ac:dyDescent="0.3">
      <c r="A2" s="70" t="s">
        <v>48</v>
      </c>
      <c r="B2" s="70"/>
      <c r="C2" s="70"/>
      <c r="D2" s="70"/>
      <c r="E2" s="70"/>
      <c r="F2" s="70"/>
      <c r="G2" s="70"/>
      <c r="H2" s="70"/>
      <c r="I2" s="70"/>
      <c r="J2" s="70"/>
      <c r="K2" s="70"/>
      <c r="L2" s="70"/>
      <c r="M2" s="70"/>
      <c r="N2" s="70"/>
      <c r="O2" s="70"/>
      <c r="P2" s="70"/>
      <c r="Q2" s="70"/>
      <c r="R2" s="70"/>
      <c r="S2" s="70"/>
      <c r="T2" s="70"/>
      <c r="U2" s="70"/>
      <c r="V2" s="70"/>
      <c r="W2" s="70"/>
    </row>
    <row r="3" spans="1:25" x14ac:dyDescent="0.3">
      <c r="A3" s="39" t="s">
        <v>49</v>
      </c>
      <c r="B3" s="71" t="s">
        <v>50</v>
      </c>
      <c r="C3" s="71"/>
      <c r="D3" s="71"/>
      <c r="E3" s="71"/>
      <c r="F3" s="71" t="s">
        <v>51</v>
      </c>
      <c r="G3" s="71"/>
      <c r="H3" s="71"/>
      <c r="I3" s="71"/>
      <c r="J3" s="71"/>
      <c r="K3" s="71"/>
      <c r="L3" s="71"/>
      <c r="M3" s="71"/>
      <c r="N3" s="71"/>
      <c r="O3" s="71"/>
      <c r="P3" s="71"/>
      <c r="Q3" s="71"/>
      <c r="R3" s="71"/>
      <c r="S3" s="71"/>
      <c r="T3" s="71" t="s">
        <v>52</v>
      </c>
      <c r="U3" s="71"/>
      <c r="V3" s="71"/>
      <c r="W3" s="71"/>
    </row>
    <row r="4" spans="1:25" ht="21.6" x14ac:dyDescent="0.3">
      <c r="A4" s="39" t="s">
        <v>53</v>
      </c>
      <c r="B4" s="39" t="s">
        <v>54</v>
      </c>
      <c r="C4" s="39" t="s">
        <v>55</v>
      </c>
      <c r="D4" s="39" t="s">
        <v>56</v>
      </c>
      <c r="E4" s="39" t="s">
        <v>57</v>
      </c>
      <c r="F4" s="39" t="s">
        <v>58</v>
      </c>
      <c r="G4" s="39" t="s">
        <v>59</v>
      </c>
      <c r="H4" s="39" t="s">
        <v>60</v>
      </c>
      <c r="I4" s="39" t="s">
        <v>61</v>
      </c>
      <c r="J4" s="39" t="s">
        <v>62</v>
      </c>
      <c r="K4" s="39" t="s">
        <v>63</v>
      </c>
      <c r="L4" s="39" t="s">
        <v>64</v>
      </c>
      <c r="M4" s="39" t="s">
        <v>65</v>
      </c>
      <c r="N4" s="39" t="s">
        <v>66</v>
      </c>
      <c r="O4" s="39" t="s">
        <v>67</v>
      </c>
      <c r="P4" s="39" t="s">
        <v>68</v>
      </c>
      <c r="Q4" s="39" t="s">
        <v>69</v>
      </c>
      <c r="R4" s="39" t="s">
        <v>70</v>
      </c>
      <c r="S4" s="39" t="s">
        <v>71</v>
      </c>
      <c r="T4" s="39" t="s">
        <v>54</v>
      </c>
      <c r="U4" s="39" t="s">
        <v>55</v>
      </c>
      <c r="V4" s="39" t="s">
        <v>56</v>
      </c>
      <c r="W4" s="39" t="s">
        <v>57</v>
      </c>
      <c r="Y4" s="47" t="s">
        <v>94</v>
      </c>
    </row>
    <row r="5" spans="1:25" x14ac:dyDescent="0.3">
      <c r="A5" s="38" t="s">
        <v>72</v>
      </c>
      <c r="B5" s="68"/>
      <c r="C5" s="68"/>
      <c r="D5" s="68"/>
      <c r="E5" s="68"/>
      <c r="F5" s="68"/>
      <c r="G5" s="68"/>
      <c r="H5" s="68"/>
      <c r="I5" s="68"/>
      <c r="J5" s="68"/>
      <c r="K5" s="68"/>
      <c r="L5" s="68"/>
      <c r="M5" s="68"/>
      <c r="N5" s="68"/>
      <c r="O5" s="68"/>
      <c r="P5" s="68"/>
      <c r="Q5" s="68"/>
      <c r="R5" s="68"/>
      <c r="S5" s="68"/>
      <c r="T5" s="68"/>
      <c r="U5" s="68"/>
      <c r="V5" s="68"/>
      <c r="W5" s="68"/>
    </row>
    <row r="6" spans="1:25" x14ac:dyDescent="0.3">
      <c r="A6" s="38" t="s">
        <v>36</v>
      </c>
      <c r="B6" s="35">
        <f>SUMIFS('05.01.2020 - Derecognition'!$I:$I,'05.01.2020 - Derecognition'!$D:$D,"&lt;"&amp;Notes!$B$10,'05.01.2020 - Derecognition'!$G:$G,"COST",'05.01.2020 - Derecognition'!$J:$J,"WATER")</f>
        <v>115000</v>
      </c>
      <c r="C6" s="35">
        <f>SUMIFS('05.01.2020 - Derecognition'!$I:$I,'05.01.2020 - Derecognition'!$D:$D,"&lt;"&amp;Notes!$B$10,'05.01.2020 - Derecognition'!$G:$G,"DEPRECIATION",'05.01.2020 - Derecognition'!$J:$J,"WATER")</f>
        <v>-28130.19</v>
      </c>
      <c r="D6" s="35">
        <f>SUMIFS('05.01.2020 - Derecognition'!$I:$I,'05.01.2020 - Derecognition'!$D:$D,"&lt;"&amp;Notes!$B$10,'05.01.2020 - Derecognition'!$G:$G,"IMPAIRMENT",'05.01.2020 - Derecognition'!$J:$J,"WATER")</f>
        <v>-10000</v>
      </c>
      <c r="E6" s="35">
        <f>B6+C6+D6</f>
        <v>76869.81</v>
      </c>
      <c r="F6" s="35">
        <f>SUMIFS('05.01.2020 - Derecognition'!$I:$I,'05.01.2020 - Derecognition'!$D:$D,"&gt;="&amp;Notes!$B$10,'05.01.2020 - Derecognition'!$F:$F,"ADDITION",'05.01.2020 - Derecognition'!$J:$J,"WATER")</f>
        <v>0</v>
      </c>
      <c r="G6" s="35">
        <v>0</v>
      </c>
      <c r="H6" s="35">
        <v>0</v>
      </c>
      <c r="I6" s="35">
        <f>SUMIFS('05.01.2020 - Derecognition'!$I:$I,'05.01.2020 - Derecognition'!$D:$D,"&gt;="&amp;Notes!$B$10,'05.01.2020 - Derecognition'!$F:$F,"RECLASSIFY",'05.01.2020 - Derecognition'!$G:$G,"COST",'05.01.2020 - Derecognition'!$J:$J,"WATER")</f>
        <v>-115000</v>
      </c>
      <c r="J6" s="35">
        <f>SUMIFS('05.01.2020 - Derecognition'!$I:$I,'05.01.2020 - Derecognition'!$D:$D,"&gt;="&amp;Notes!$B$10,'05.01.2020 - Derecognition'!$F:$F,"RECLASSIFY",'05.01.2020 - Derecognition'!$G:$G,"IMPAIRMENT",'05.01.2020 - Derecognition'!$J:$J,"WATER")</f>
        <v>10000</v>
      </c>
      <c r="K6" s="35">
        <f>SUMIFS('05.01.2020 - Derecognition'!$I:$I,'05.01.2020 - Derecognition'!$D:$D,"&lt;"&amp;Notes!$B$11,'05.01.2020 - Derecognition'!$G:$G,"DEPRECIATION",'05.01.2020 - Derecognition'!$J:$J,"WATER")</f>
        <v>0</v>
      </c>
      <c r="L6" s="35">
        <f>SUMIFS('05.01.2020 - Derecognition'!$I:$I,'05.01.2020 - Derecognition'!$D:$D,"&gt;="&amp;Notes!$B$10,'05.01.2020 - Derecognition'!$G:$G,"IMPAIRMENT",'05.01.2020 - Derecognition'!$F:$F,"&lt;&gt;RECLASSIFY",'05.01.2020 - Derecognition'!$J:$J,"WATER")</f>
        <v>0</v>
      </c>
      <c r="M6" s="35">
        <v>0</v>
      </c>
      <c r="N6" s="35">
        <f>SUMIFS('05.01.2020 - Derecognition'!$I:$I,'05.01.2020 - Derecognition'!$D:$D,"&gt;="&amp;Notes!$B$10,'05.01.2020 - Derecognition'!$F:$F,"RECLASSIFY",'05.01.2020 - Derecognition'!$G:$G,"DEPRECIATION",'05.01.2020 - Derecognition'!$J:$J,"WATER")</f>
        <v>28130.190000000002</v>
      </c>
      <c r="O6" s="35">
        <f>SUMIFS('05.01.2020 - Derecognition'!$I:$I,'05.01.2020 - Derecognition'!$D:$D,"&gt;="&amp;Notes!$B$10,'05.01.2020 - Derecognition'!$G:$G,"IMPAIRMENT",'05.01.2020 - Derecognition'!$F:$F,"DERECOGNISE",'05.01.2020 - Derecognition'!$J:$J,"WATER")</f>
        <v>0</v>
      </c>
      <c r="P6" s="35">
        <f>SUMIFS('05.01.2020 - Derecognition'!$I:$I,'05.01.2020 - Derecognition'!$D:$D,"&gt;="&amp;Notes!$B$10,'05.01.2020 - Derecognition'!$G:$G,"COST",'05.01.2020 - Derecognition'!$F:$F,"DERECOGNISE",'05.01.2020 - Derecognition'!$J:$J,"WATER")</f>
        <v>0</v>
      </c>
      <c r="Q6" s="35">
        <f>SUMIFS('05.01.2020 - Derecognition'!$I:$I,'05.01.2020 - Derecognition'!$D:$D,"&gt;="&amp;Notes!$B$10,'05.01.2020 - Derecognition'!$G:$G,"DEPRECIATION",'05.01.2020 - Derecognition'!$F:$F,"DERECOGNISE",'05.01.2020 - Derecognition'!$J:$J,"WATER")</f>
        <v>0</v>
      </c>
      <c r="R6" s="35">
        <f>SUMIFS('05.01.2020 - Derecognition'!$I:$I,'05.01.2020 - Derecognition'!$D:$D,"&gt;="&amp;Notes!$B$10,'05.01.2020 - Derecognition'!$F:$F,"UPGRADE",'05.01.2020 - Derecognition'!$J:$J,"WATER")</f>
        <v>0</v>
      </c>
      <c r="S6" s="30">
        <v>0</v>
      </c>
      <c r="T6" s="35">
        <f>SUMIFS('05.01.2020 - Derecognition'!$I:$I,'05.01.2020 - Derecognition'!$D:$D,"&gt;="&amp;Notes!$B$10,'05.01.2020 - Derecognition'!$G:$G,"COST",'05.01.2020 - Derecognition'!$F:$F,"&lt;&gt;RECLASSIFY",'05.01.2020 - Derecognition'!$J:$J,"WATER")</f>
        <v>0</v>
      </c>
      <c r="U6" s="35">
        <f>SUMIFS('05.01.2020 - Derecognition'!$I:$I,'05.01.2020 - Derecognition'!$D:$D,"&gt;="&amp;Notes!$B$10,'05.01.2020 - Derecognition'!$G:$G,"DEPRECIATION",'05.01.2020 - Derecognition'!$F:$F,"&lt;&gt;RECLASSIFY",'05.01.2020 - Derecognition'!$J:$J,"WATER")</f>
        <v>1.8189894035458565E-12</v>
      </c>
      <c r="V6" s="35">
        <f>SUMIFS('05.01.2020 - Derecognition'!$I:$I,'05.01.2020 - Derecognition'!$D:$D,"&gt;="&amp;Notes!$B$10,'05.01.2020 - Derecognition'!$G:$G,"IMPAIRMENT",'05.01.2020 - Derecognition'!$F:$F,"&lt;&gt;RECLASSIFY",'05.01.2020 - Derecognition'!$J:$J,"WATER")</f>
        <v>0</v>
      </c>
      <c r="W6" s="35">
        <f>SUMIFS('05.01.2020 - Derecognition'!$I:$I,'05.01.2020 - Derecognition'!$D:$D,"&gt;="&amp;Notes!$B$10,'05.01.2020 - Derecognition'!$J:$J,"WATER",'05.01.2020 - Derecognition'!$F:$F,"&lt;&gt;RECLASSIFY",'05.01.2020 - Derecognition'!$G:$G,"&lt;&gt;MAINTENANCE")</f>
        <v>1.8189894035458565E-12</v>
      </c>
      <c r="Y6" s="46">
        <f>SUM(B6:S6)-E6</f>
        <v>0</v>
      </c>
    </row>
    <row r="7" spans="1:25" x14ac:dyDescent="0.3">
      <c r="A7" s="38" t="s">
        <v>39</v>
      </c>
      <c r="B7" s="35">
        <f>SUMIFS('05.01.2020 - Derecognition'!$I:$I,'05.01.2020 - Derecognition'!$D:$D,"&lt;"&amp;Notes!$B$10,'05.01.2020 - Derecognition'!$G:$G,"COST",'05.01.2020 - Derecognition'!$J:$J,"STORMWATER")</f>
        <v>0</v>
      </c>
      <c r="C7" s="35">
        <f>SUMIFS('05.01.2020 - Derecognition'!$I:$I,'05.01.2020 - Derecognition'!$D:$D,"&lt;"&amp;Notes!$B$10,'05.01.2020 - Derecognition'!$G:$G,"DEPRECIATION",'05.01.2020 - Derecognition'!$J:$J,"STORMWATER")</f>
        <v>0</v>
      </c>
      <c r="D7" s="35">
        <f>SUMIFS('05.01.2020 - Derecognition'!$I:$I,'05.01.2020 - Derecognition'!$D:$D,"&lt;"&amp;Notes!$B$10,'05.01.2020 - Derecognition'!$G:$G,"IMPAIRMENT",'05.01.2020 - Derecognition'!$J:$J,"STORMWATER")</f>
        <v>0</v>
      </c>
      <c r="E7" s="35">
        <f>B7+C7+D7</f>
        <v>0</v>
      </c>
      <c r="F7" s="35">
        <f>SUMIFS('05.01.2020 - Derecognition'!$I:$I,'05.01.2020 - Derecognition'!$D:$D,"&gt;="&amp;Notes!$B$10,'05.01.2020 - Derecognition'!$F:$F,"ADDITION",'05.01.2020 - Derecognition'!$J:$J,"STORMWATER")</f>
        <v>0</v>
      </c>
      <c r="G7" s="35">
        <v>0</v>
      </c>
      <c r="H7" s="35">
        <v>0</v>
      </c>
      <c r="I7" s="35">
        <f>SUMIFS('05.01.2020 - Derecognition'!$I:$I,'05.01.2020 - Derecognition'!$D:$D,"&gt;="&amp;Notes!$B$10,'05.01.2020 - Derecognition'!$F:$F,"RECLASSIFY",'05.01.2020 - Derecognition'!$G:$G,"COST",'05.01.2020 - Derecognition'!$J:$J,"STORMWATER")</f>
        <v>115000</v>
      </c>
      <c r="J7" s="35">
        <f>SUMIFS('05.01.2020 - Derecognition'!$I:$I,'05.01.2020 - Derecognition'!$D:$D,"&gt;="&amp;Notes!$B$10,'05.01.2020 - Derecognition'!$F:$F,"RECLASSIFY",'05.01.2020 - Derecognition'!$G:$G,"IMPAIRMENT",'05.01.2020 - Derecognition'!$J:$J,"STORMWATER")</f>
        <v>-10000</v>
      </c>
      <c r="K7" s="35">
        <f>SUMIFS('05.01.2020 - Derecognition'!$I:$I,'05.01.2020 - Derecognition'!$D:$D,"&gt;="&amp;Notes!$B$10,'05.01.2020 - Derecognition'!$G:$G,"DEPRECIATION",'05.01.2020 - Derecognition'!$J:$J,"STORMWATER")</f>
        <v>0</v>
      </c>
      <c r="L7" s="35">
        <f>SUMIFS('05.01.2020 - Derecognition'!$I:$I,'05.01.2020 - Derecognition'!$D:$D,"&gt;="&amp;Notes!$B$10,'05.01.2020 - Derecognition'!$G:$G,"IMPAIRMENT",'05.01.2020 - Derecognition'!$J:$J,"STORMWATER")</f>
        <v>0</v>
      </c>
      <c r="M7" s="35">
        <v>0</v>
      </c>
      <c r="N7" s="35">
        <f>SUMIFS('05.01.2020 - Derecognition'!$I:$I,'05.01.2020 - Derecognition'!$D:$D,"&gt;="&amp;Notes!$B$10,'05.01.2020 - Derecognition'!$F:$F,"RECLASSIFY",'05.01.2020 - Derecognition'!$G:$G,"DEPRECIATION",'05.01.2020 - Derecognition'!$J:$J,"STORMWATER")</f>
        <v>-28130.190000000002</v>
      </c>
      <c r="O7" s="35">
        <f>SUMIFS('05.01.2020 - Derecognition'!$I:$I,'05.01.2020 - Derecognition'!$D:$D,"&gt;="&amp;Notes!$B$10,'05.01.2020 - Derecognition'!$G:$G,"IMPAIRMENT",'05.01.2020 - Derecognition'!$F:$F,"DERECOGNISE",'05.01.2020 - Derecognition'!$J:$J,"STORMWATER")</f>
        <v>0</v>
      </c>
      <c r="P7" s="35">
        <f>SUMIFS('05.01.2020 - Derecognition'!$I:$I,'05.01.2020 - Derecognition'!$D:$D,"&gt;="&amp;Notes!$B$10,'05.01.2020 - Derecognition'!$G:$G,"COST",'05.01.2020 - Derecognition'!$F:$F,"DERECOGNISE",'05.01.2020 - Derecognition'!$J:$J,"STORMWATER")</f>
        <v>-60000</v>
      </c>
      <c r="Q7" s="35">
        <f>SUMIFS('05.01.2020 - Derecognition'!$I:$I,'05.01.2020 - Derecognition'!$D:$D,"&gt;="&amp;Notes!$B$10,'05.01.2020 - Derecognition'!$G:$G,"DEPRECIATION",'05.01.2020 - Derecognition'!$F:$F,"DERECOGNISE",'05.01.2020 - Derecognition'!$J:$J,"STORMWATER")</f>
        <v>5850</v>
      </c>
      <c r="R7" s="35">
        <f>SUMIFS('05.01.2020 - Derecognition'!$I:$I,'05.01.2020 - Derecognition'!$D:$D,"&gt;="&amp;Notes!$B$10,'05.01.2020 - Derecognition'!$F:$F,"UPGRADE",'05.01.2020 - Derecognition'!$J:$J,"STORMWATER")</f>
        <v>0</v>
      </c>
      <c r="S7" s="30">
        <v>0</v>
      </c>
      <c r="T7" s="35">
        <f>SUMIFS('05.01.2020 - Derecognition'!$I:$I,'05.01.2020 - Derecognition'!$D:$D,"&gt;="&amp;Notes!$B$10,'05.01.2020 - Derecognition'!$G:$G,"COST",'05.01.2020 - Derecognition'!$J:$J,"STORMWATER")</f>
        <v>0</v>
      </c>
      <c r="U7" s="35">
        <f>SUMIFS('05.01.2020 - Derecognition'!$I:$I,'05.01.2020 - Derecognition'!$D:$D,"&gt;="&amp;Notes!$B$10,'05.01.2020 - Derecognition'!$G:$G,"DEPRECIATION",'05.01.2020 - Derecognition'!$J:$J,"STORMWATER")</f>
        <v>0</v>
      </c>
      <c r="V7" s="35">
        <f>SUMIFS('05.01.2020 - Derecognition'!$I:$I,'05.01.2020 - Derecognition'!$D:$D,"&gt;="&amp;Notes!$B$10,'05.01.2020 - Derecognition'!$G:$G,"IMPAIRMENT",'05.01.2020 - Derecognition'!$J:$J,"STORMWATER")</f>
        <v>0</v>
      </c>
      <c r="W7" s="35">
        <f>SUMIFS('05.01.2020 - Derecognition'!$I:$I,'05.01.2020 - Derecognition'!$D:$D,"&gt;="&amp;Notes!$B$10,'05.01.2020 - Derecognition'!$J:$J,"STORMWATER",'05.01.2020 - Derecognition'!$G:$G,"&lt;&gt;MAINTENANCE")</f>
        <v>0</v>
      </c>
      <c r="Y7" s="46">
        <f>SUM(B7:S7)-E7</f>
        <v>22719.809999999998</v>
      </c>
    </row>
    <row r="8" spans="1:25" x14ac:dyDescent="0.3">
      <c r="A8" s="31" t="s">
        <v>73</v>
      </c>
      <c r="B8" s="32">
        <f>SUM(B6:B7)</f>
        <v>115000</v>
      </c>
      <c r="C8" s="32">
        <f t="shared" ref="C8:W8" si="0">SUM(C6:C7)</f>
        <v>-28130.19</v>
      </c>
      <c r="D8" s="32">
        <f t="shared" si="0"/>
        <v>-10000</v>
      </c>
      <c r="E8" s="32">
        <f t="shared" si="0"/>
        <v>76869.81</v>
      </c>
      <c r="F8" s="32">
        <f t="shared" si="0"/>
        <v>0</v>
      </c>
      <c r="G8" s="32">
        <f t="shared" si="0"/>
        <v>0</v>
      </c>
      <c r="H8" s="32">
        <f t="shared" si="0"/>
        <v>0</v>
      </c>
      <c r="I8" s="32">
        <f t="shared" si="0"/>
        <v>0</v>
      </c>
      <c r="J8" s="32">
        <f t="shared" si="0"/>
        <v>0</v>
      </c>
      <c r="K8" s="32">
        <f t="shared" si="0"/>
        <v>0</v>
      </c>
      <c r="L8" s="32">
        <f t="shared" si="0"/>
        <v>0</v>
      </c>
      <c r="M8" s="32">
        <f t="shared" si="0"/>
        <v>0</v>
      </c>
      <c r="N8" s="32">
        <f t="shared" si="0"/>
        <v>0</v>
      </c>
      <c r="O8" s="32">
        <f t="shared" si="0"/>
        <v>0</v>
      </c>
      <c r="P8" s="32">
        <f t="shared" si="0"/>
        <v>-60000</v>
      </c>
      <c r="Q8" s="32">
        <f t="shared" si="0"/>
        <v>5850</v>
      </c>
      <c r="R8" s="32">
        <f t="shared" si="0"/>
        <v>0</v>
      </c>
      <c r="S8" s="32">
        <f t="shared" si="0"/>
        <v>0</v>
      </c>
      <c r="T8" s="32">
        <f t="shared" si="0"/>
        <v>0</v>
      </c>
      <c r="U8" s="32">
        <f t="shared" si="0"/>
        <v>1.8189894035458565E-12</v>
      </c>
      <c r="V8" s="32">
        <f t="shared" si="0"/>
        <v>0</v>
      </c>
      <c r="W8" s="32">
        <f t="shared" si="0"/>
        <v>1.8189894035458565E-12</v>
      </c>
    </row>
    <row r="9" spans="1:25" x14ac:dyDescent="0.3">
      <c r="A9" s="68"/>
      <c r="B9" s="68"/>
      <c r="C9" s="68"/>
      <c r="D9" s="68"/>
      <c r="E9" s="68"/>
      <c r="F9" s="68"/>
      <c r="G9" s="68"/>
      <c r="H9" s="68"/>
      <c r="I9" s="68"/>
      <c r="J9" s="68"/>
      <c r="K9" s="68"/>
      <c r="L9" s="68"/>
      <c r="M9" s="68"/>
      <c r="N9" s="68"/>
      <c r="O9" s="68"/>
      <c r="P9" s="68"/>
      <c r="Q9" s="68"/>
      <c r="R9" s="68"/>
      <c r="S9" s="68"/>
      <c r="T9" s="68"/>
      <c r="U9" s="68"/>
      <c r="V9" s="68"/>
      <c r="W9" s="68"/>
    </row>
    <row r="10" spans="1:25" x14ac:dyDescent="0.3">
      <c r="A10" s="34" t="str">
        <f t="shared" ref="A10" si="1">A8</f>
        <v>Sub Total</v>
      </c>
      <c r="B10" s="34">
        <f>B8</f>
        <v>115000</v>
      </c>
      <c r="C10" s="34">
        <f t="shared" ref="C10:W10" si="2">C8</f>
        <v>-28130.19</v>
      </c>
      <c r="D10" s="34">
        <f t="shared" si="2"/>
        <v>-10000</v>
      </c>
      <c r="E10" s="34">
        <f t="shared" si="2"/>
        <v>76869.81</v>
      </c>
      <c r="F10" s="34">
        <f t="shared" si="2"/>
        <v>0</v>
      </c>
      <c r="G10" s="34">
        <f t="shared" si="2"/>
        <v>0</v>
      </c>
      <c r="H10" s="34">
        <f t="shared" si="2"/>
        <v>0</v>
      </c>
      <c r="I10" s="34">
        <f t="shared" si="2"/>
        <v>0</v>
      </c>
      <c r="J10" s="34">
        <f t="shared" si="2"/>
        <v>0</v>
      </c>
      <c r="K10" s="34">
        <f t="shared" si="2"/>
        <v>0</v>
      </c>
      <c r="L10" s="34">
        <f t="shared" si="2"/>
        <v>0</v>
      </c>
      <c r="M10" s="34">
        <f t="shared" si="2"/>
        <v>0</v>
      </c>
      <c r="N10" s="34">
        <f t="shared" si="2"/>
        <v>0</v>
      </c>
      <c r="O10" s="34">
        <f t="shared" si="2"/>
        <v>0</v>
      </c>
      <c r="P10" s="34">
        <f t="shared" si="2"/>
        <v>-60000</v>
      </c>
      <c r="Q10" s="34">
        <f t="shared" si="2"/>
        <v>5850</v>
      </c>
      <c r="R10" s="34">
        <f t="shared" si="2"/>
        <v>0</v>
      </c>
      <c r="S10" s="34">
        <f t="shared" si="2"/>
        <v>0</v>
      </c>
      <c r="T10" s="34">
        <f t="shared" si="2"/>
        <v>0</v>
      </c>
      <c r="U10" s="34">
        <f t="shared" si="2"/>
        <v>1.8189894035458565E-12</v>
      </c>
      <c r="V10" s="34">
        <f t="shared" si="2"/>
        <v>0</v>
      </c>
      <c r="W10" s="34">
        <f t="shared" si="2"/>
        <v>1.8189894035458565E-12</v>
      </c>
    </row>
    <row r="11" spans="1:25" x14ac:dyDescent="0.3">
      <c r="A11" s="68"/>
      <c r="B11" s="68"/>
      <c r="C11" s="68"/>
      <c r="D11" s="68"/>
      <c r="E11" s="68"/>
      <c r="F11" s="68"/>
      <c r="G11" s="68"/>
      <c r="H11" s="68"/>
      <c r="I11" s="68"/>
      <c r="J11" s="68"/>
      <c r="K11" s="68"/>
      <c r="L11" s="68"/>
      <c r="M11" s="68"/>
      <c r="N11" s="68"/>
      <c r="O11" s="68"/>
      <c r="P11" s="68"/>
      <c r="Q11" s="68"/>
      <c r="R11" s="68"/>
      <c r="S11" s="68"/>
      <c r="T11" s="68"/>
      <c r="U11" s="68"/>
      <c r="V11" s="68"/>
      <c r="W11" s="68"/>
    </row>
    <row r="12" spans="1:25" x14ac:dyDescent="0.3">
      <c r="A12" s="33" t="s">
        <v>74</v>
      </c>
      <c r="B12" s="34">
        <f>B10</f>
        <v>115000</v>
      </c>
      <c r="C12" s="34">
        <f t="shared" ref="C12:W12" si="3">C10</f>
        <v>-28130.19</v>
      </c>
      <c r="D12" s="34">
        <f t="shared" si="3"/>
        <v>-10000</v>
      </c>
      <c r="E12" s="34">
        <f t="shared" si="3"/>
        <v>76869.81</v>
      </c>
      <c r="F12" s="34">
        <f t="shared" si="3"/>
        <v>0</v>
      </c>
      <c r="G12" s="34">
        <f t="shared" si="3"/>
        <v>0</v>
      </c>
      <c r="H12" s="34">
        <f t="shared" si="3"/>
        <v>0</v>
      </c>
      <c r="I12" s="34">
        <f t="shared" si="3"/>
        <v>0</v>
      </c>
      <c r="J12" s="34">
        <f t="shared" si="3"/>
        <v>0</v>
      </c>
      <c r="K12" s="34">
        <f t="shared" si="3"/>
        <v>0</v>
      </c>
      <c r="L12" s="34">
        <f t="shared" si="3"/>
        <v>0</v>
      </c>
      <c r="M12" s="34">
        <f t="shared" si="3"/>
        <v>0</v>
      </c>
      <c r="N12" s="34">
        <f t="shared" si="3"/>
        <v>0</v>
      </c>
      <c r="O12" s="34">
        <f t="shared" si="3"/>
        <v>0</v>
      </c>
      <c r="P12" s="34">
        <f t="shared" si="3"/>
        <v>-60000</v>
      </c>
      <c r="Q12" s="34">
        <f t="shared" si="3"/>
        <v>5850</v>
      </c>
      <c r="R12" s="34">
        <f t="shared" si="3"/>
        <v>0</v>
      </c>
      <c r="S12" s="34">
        <f t="shared" si="3"/>
        <v>0</v>
      </c>
      <c r="T12" s="34">
        <f t="shared" si="3"/>
        <v>0</v>
      </c>
      <c r="U12" s="34">
        <f t="shared" si="3"/>
        <v>1.8189894035458565E-12</v>
      </c>
      <c r="V12" s="34">
        <f t="shared" si="3"/>
        <v>0</v>
      </c>
      <c r="W12" s="34">
        <f t="shared" si="3"/>
        <v>1.8189894035458565E-12</v>
      </c>
    </row>
    <row r="15" spans="1:25" x14ac:dyDescent="0.3">
      <c r="B15" t="s">
        <v>96</v>
      </c>
      <c r="R15" t="s">
        <v>76</v>
      </c>
      <c r="T15" s="35">
        <f>SUMIFS('05.01.2020 - Derecognition'!$I:$I,'05.01.2020 - Derecognition'!$D:$D,"&lt;"&amp;Notes!$B$10,'05.01.2020 - Derecognition'!$G:$G,"&lt;&gt;MAINTENANCE")</f>
        <v>76869.81</v>
      </c>
      <c r="U15">
        <v>0</v>
      </c>
      <c r="V15">
        <v>0</v>
      </c>
      <c r="W15">
        <v>0</v>
      </c>
    </row>
  </sheetData>
  <mergeCells count="10">
    <mergeCell ref="A9:W9"/>
    <mergeCell ref="A11:W11"/>
    <mergeCell ref="A1:W1"/>
    <mergeCell ref="A2:W2"/>
    <mergeCell ref="B3:E3"/>
    <mergeCell ref="F3:S3"/>
    <mergeCell ref="T3:W3"/>
    <mergeCell ref="B5:E5"/>
    <mergeCell ref="F5:S5"/>
    <mergeCell ref="T5:W5"/>
  </mergeCells>
  <conditionalFormatting sqref="T15">
    <cfRule type="cellIs" dxfId="7" priority="7" operator="equal">
      <formula>$T$12</formula>
    </cfRule>
    <cfRule type="cellIs" dxfId="6" priority="8" operator="notEqual">
      <formula>$T$12</formula>
    </cfRule>
  </conditionalFormatting>
  <conditionalFormatting sqref="U15">
    <cfRule type="cellIs" dxfId="5" priority="5" operator="notEqual">
      <formula>$U$12</formula>
    </cfRule>
    <cfRule type="cellIs" dxfId="4" priority="6" operator="equal">
      <formula>$U$12</formula>
    </cfRule>
  </conditionalFormatting>
  <conditionalFormatting sqref="V15">
    <cfRule type="cellIs" dxfId="3" priority="3" operator="equal">
      <formula>$V$12</formula>
    </cfRule>
    <cfRule type="cellIs" dxfId="2" priority="4" operator="notEqual">
      <formula>$V$12</formula>
    </cfRule>
  </conditionalFormatting>
  <conditionalFormatting sqref="W15">
    <cfRule type="cellIs" dxfId="1" priority="1" operator="equal">
      <formula>$W$12</formula>
    </cfRule>
    <cfRule type="cellIs" dxfId="0" priority="2" operator="notEqual">
      <formula>$W$12</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B629-17C9-4F48-82EC-6260BC4B7B0F}">
  <dimension ref="A1:D54"/>
  <sheetViews>
    <sheetView workbookViewId="0">
      <selection activeCell="A58" sqref="A58"/>
    </sheetView>
  </sheetViews>
  <sheetFormatPr defaultRowHeight="14.4" x14ac:dyDescent="0.3"/>
  <cols>
    <col min="1" max="1" width="36.109375" customWidth="1"/>
    <col min="2" max="2" width="19.44140625" customWidth="1"/>
    <col min="4" max="4" width="114.44140625" style="55" customWidth="1"/>
  </cols>
  <sheetData>
    <row r="1" spans="1:4" x14ac:dyDescent="0.3">
      <c r="A1" s="49" t="s">
        <v>103</v>
      </c>
      <c r="B1" s="48">
        <v>43647</v>
      </c>
      <c r="D1" s="55" t="s">
        <v>136</v>
      </c>
    </row>
    <row r="2" spans="1:4" x14ac:dyDescent="0.3">
      <c r="A2" s="49" t="s">
        <v>104</v>
      </c>
      <c r="B2" s="48">
        <v>43829</v>
      </c>
    </row>
    <row r="3" spans="1:4" x14ac:dyDescent="0.3">
      <c r="A3" s="49" t="s">
        <v>12</v>
      </c>
      <c r="B3" s="51" t="s">
        <v>36</v>
      </c>
    </row>
    <row r="5" spans="1:4" x14ac:dyDescent="0.3">
      <c r="A5" s="49" t="s">
        <v>120</v>
      </c>
      <c r="B5" s="50" t="s">
        <v>40</v>
      </c>
    </row>
    <row r="6" spans="1:4" x14ac:dyDescent="0.3">
      <c r="A6" s="6" t="s">
        <v>97</v>
      </c>
      <c r="B6" s="56">
        <f>_xlfn.MAXIFS('05.01.2020 - Derecognition'!$D$12:$D$52,'05.01.2020 - Derecognition'!$G$12:$G$52,"DEPRECIATION",'05.01.2020 - Derecognition'!$J$12:$J$52,$B$3,'05.01.2020 - Derecognition'!$D$12:$D$52,"&lt;=" &amp; $B$2,'05.01.2020 - Derecognition'!$D$12:$D$52,"&gt;=" &amp; $B$1)</f>
        <v>43799</v>
      </c>
      <c r="D6" s="55" t="s">
        <v>102</v>
      </c>
    </row>
    <row r="7" spans="1:4" x14ac:dyDescent="0.3">
      <c r="A7" s="6" t="s">
        <v>98</v>
      </c>
      <c r="B7" s="52">
        <f>SUMIFS('05.01.2020 - Derecognition'!$I$12:$I$52,'05.01.2020 - Derecognition'!$G$12:$G$52,"DEPRECIATION",'05.01.2020 - Derecognition'!$J$12:$J$52,$B$3,'05.01.2020 - Derecognition'!$D$12:$D$52,"&lt;=" &amp; $B$2)</f>
        <v>0</v>
      </c>
    </row>
    <row r="8" spans="1:4" x14ac:dyDescent="0.3">
      <c r="A8" s="6" t="s">
        <v>99</v>
      </c>
      <c r="B8" s="52">
        <f>SUMIFS('05.01.2020 - Derecognition'!$I$12:$I$52,'05.01.2020 - Derecognition'!$G$12:$G$52,"DEPRECIATION",'05.01.2020 - Derecognition'!$J$12:$J$52,$B$3,'05.01.2020 - Derecognition'!$D$12:$D$52,"&lt;=" &amp; $B$2,'05.01.2020 - Derecognition'!$D$12:$D$52,"&gt;=" &amp; $B$1)</f>
        <v>28130.190000000002</v>
      </c>
    </row>
    <row r="9" spans="1:4" x14ac:dyDescent="0.3">
      <c r="A9" s="6" t="s">
        <v>100</v>
      </c>
      <c r="B9" s="52">
        <f>SUMIFS('05.01.2020 - Derecognition'!$I$12:$I$52,'05.01.2020 - Derecognition'!$G$12:$G$52,"DEPRECIATION",'05.01.2020 - Derecognition'!$D$12:$D$52,"&lt;" &amp; $B$1,'05.01.2020 - Derecognition'!$J$12:$J$52,$B$3)</f>
        <v>-28130.19</v>
      </c>
    </row>
    <row r="11" spans="1:4" x14ac:dyDescent="0.3">
      <c r="A11" s="49" t="s">
        <v>122</v>
      </c>
      <c r="B11" s="50" t="s">
        <v>40</v>
      </c>
    </row>
    <row r="12" spans="1:4" x14ac:dyDescent="0.3">
      <c r="A12" s="6" t="s">
        <v>97</v>
      </c>
      <c r="B12" s="56">
        <f>_xlfn.MAXIFS('05.01.2020 - Derecognition'!$D$12:$D$52,'05.01.2020 - Derecognition'!$G$12:$G$52,"IMPAIRMENT",'05.01.2020 - Derecognition'!$J$12:$J$52,$B$3,'05.01.2020 - Derecognition'!$D$12:$D$52,"&lt;=" &amp; $B$2,'05.01.2020 - Derecognition'!$D$12:$D$52,"&gt;=" &amp; $B$1)</f>
        <v>43697</v>
      </c>
      <c r="D12" s="55" t="s">
        <v>102</v>
      </c>
    </row>
    <row r="13" spans="1:4" x14ac:dyDescent="0.3">
      <c r="A13" s="6" t="s">
        <v>98</v>
      </c>
      <c r="B13" s="52">
        <f>SUMIFS('05.01.2020 - Derecognition'!$I$12:$I$52,'05.01.2020 - Derecognition'!$G$12:$G$52,"IMPAIRMENT",'05.01.2020 - Derecognition'!$J$12:$J$52,$B$3,'05.01.2020 - Derecognition'!$D$12:$D$52,"&lt;=" &amp; $B$2)</f>
        <v>0</v>
      </c>
    </row>
    <row r="14" spans="1:4" x14ac:dyDescent="0.3">
      <c r="A14" s="6" t="s">
        <v>99</v>
      </c>
      <c r="B14" s="52">
        <f>SUMIFS('05.01.2020 - Derecognition'!$I$12:$I$52,'05.01.2020 - Derecognition'!$G$12:$G$52,"IMPAIRMENT",'05.01.2020 - Derecognition'!$J$12:$J$52,$B$3,'05.01.2020 - Derecognition'!$D$12:$D$52,"&lt;=" &amp; $B$2,'05.01.2020 - Derecognition'!$D$12:$D$52,"&gt;=" &amp; $B$1)</f>
        <v>10000</v>
      </c>
    </row>
    <row r="15" spans="1:4" x14ac:dyDescent="0.3">
      <c r="A15" s="6" t="s">
        <v>100</v>
      </c>
      <c r="B15" s="52">
        <f>SUMIFS('05.01.2020 - Derecognition'!$I$12:$I$52,'05.01.2020 - Derecognition'!$G$12:$G$52,"IMPAIRMENT",'05.01.2020 - Derecognition'!$D$12:$D$52,"&lt;" &amp; $B$1,'05.01.2020 - Derecognition'!$J$12:$J$52,$B$3)</f>
        <v>-10000</v>
      </c>
    </row>
    <row r="17" spans="1:4" x14ac:dyDescent="0.3">
      <c r="A17" s="49" t="s">
        <v>119</v>
      </c>
      <c r="B17" s="50" t="s">
        <v>40</v>
      </c>
    </row>
    <row r="18" spans="1:4" x14ac:dyDescent="0.3">
      <c r="A18" s="6" t="s">
        <v>105</v>
      </c>
      <c r="B18" s="53">
        <f>SUMIFS('05.01.2020 - Derecognition'!$I$12:$I$52,'05.01.2020 - Derecognition'!$D$12:$D$52,"&lt;" &amp; $B$1,'05.01.2020 - Derecognition'!$J$12:$J$52,$B$3)</f>
        <v>76869.81</v>
      </c>
    </row>
    <row r="19" spans="1:4" x14ac:dyDescent="0.3">
      <c r="A19" s="6" t="s">
        <v>106</v>
      </c>
      <c r="B19" s="53">
        <f>SUMIFS('05.01.2020 - Derecognition'!$I$12:$I$52,'05.01.2020 - Derecognition'!$D$12:$D$52,"&lt;" &amp; $B$2,'05.01.2020 - Derecognition'!$J$12:$J$52,$B$3)</f>
        <v>1.4551915228366852E-11</v>
      </c>
    </row>
    <row r="20" spans="1:4" x14ac:dyDescent="0.3">
      <c r="A20" s="6" t="s">
        <v>107</v>
      </c>
      <c r="B20" s="53">
        <f>SUMIFS('05.01.2020 - Derecognition'!$I$12:$I$52,'05.01.2020 - Derecognition'!$G$12:$G$52,"COST",'05.01.2020 - Derecognition'!$D$12:$D$52,"&lt;" &amp; $B$1,'05.01.2020 - Derecognition'!$J$12:$J$52,$B$3)</f>
        <v>115000</v>
      </c>
    </row>
    <row r="21" spans="1:4" x14ac:dyDescent="0.3">
      <c r="A21" s="6" t="s">
        <v>108</v>
      </c>
      <c r="B21" s="53">
        <f>SUMIFS('05.01.2020 - Derecognition'!$I$12:$I$52,'05.01.2020 - Derecognition'!$G$12:$G$52,"COST",'05.01.2020 - Derecognition'!$D$12:$D$52,"&lt;=" &amp; $B$2,'05.01.2020 - Derecognition'!$J$12:$J$52,$B$3)</f>
        <v>0</v>
      </c>
    </row>
    <row r="22" spans="1:4" x14ac:dyDescent="0.3">
      <c r="A22" s="6" t="s">
        <v>109</v>
      </c>
      <c r="B22" s="54" t="s">
        <v>112</v>
      </c>
      <c r="D22" s="55" t="s">
        <v>114</v>
      </c>
    </row>
    <row r="23" spans="1:4" ht="28.8" x14ac:dyDescent="0.3">
      <c r="A23" s="6" t="s">
        <v>110</v>
      </c>
      <c r="B23" s="53">
        <f>SUMIFS('05.01.2020 - Derecognition'!$I$12:$I$52,'05.01.2020 - Derecognition'!$G$12:$G$52,"COST",'05.01.2020 - Derecognition'!$D$12:$D$52,"&gt;=" &amp; $B$1,'05.01.2020 - Derecognition'!$D$12:$D$52,"&lt;=" &amp; $B$2,'05.01.2020 - Derecognition'!$J$12:$J$52,$B$3,'05.01.2020 - Derecognition'!$F$12:$F$52,"RECLASSIFY")+SUMIFS('05.01.2020 - Derecognition'!$I$12:$I$52,'05.01.2020 - Derecognition'!$G$12:$G$52,"COST",'05.01.2020 - Derecognition'!$D$12:$D$52,"&gt;=" &amp; $B$1,'05.01.2020 - Derecognition'!$D$12:$D$52,"&lt;=" &amp; $B$2,'05.01.2020 - Derecognition'!$J$12:$J$52,$B$3,'05.01.2020 - Derecognition'!$F$12:$F$52,"WIP TRANSFER")</f>
        <v>-115000</v>
      </c>
      <c r="D23" s="55" t="s">
        <v>113</v>
      </c>
    </row>
    <row r="24" spans="1:4" x14ac:dyDescent="0.3">
      <c r="A24" s="6" t="s">
        <v>111</v>
      </c>
      <c r="B24" s="54" t="s">
        <v>112</v>
      </c>
      <c r="D24" s="55" t="s">
        <v>114</v>
      </c>
    </row>
    <row r="26" spans="1:4" x14ac:dyDescent="0.3">
      <c r="A26" s="49" t="s">
        <v>121</v>
      </c>
      <c r="B26" s="50" t="s">
        <v>40</v>
      </c>
    </row>
    <row r="27" spans="1:4" x14ac:dyDescent="0.3">
      <c r="A27" s="6" t="s">
        <v>115</v>
      </c>
      <c r="B27" s="56">
        <f>_xlfn.MAXIFS('05.01.2020 - Derecognition'!$D$12:$D$52,'05.01.2020 - Derecognition'!$F$12:$F$52,"RECLASSIFY",'05.01.2020 - Derecognition'!$J$12:$J$52,$B$3,'05.01.2020 - Derecognition'!$D$12:$D$52,"&lt;=" &amp; $B$2,'05.01.2020 - Derecognition'!$D$12:$D$52,"&gt;=" &amp; $B$1)</f>
        <v>43647</v>
      </c>
    </row>
    <row r="28" spans="1:4" x14ac:dyDescent="0.3">
      <c r="A28" s="6" t="s">
        <v>116</v>
      </c>
      <c r="B28" s="53">
        <f>SUMIFS('05.01.2020 - Derecognition'!$I$12:$I$52,'05.01.2020 - Derecognition'!$G$12:$G$52,"COST",'05.01.2020 - Derecognition'!$D$12:$D$52,"&gt;=" &amp; $B$1,'05.01.2020 - Derecognition'!$D$12:$D$52,"&lt;=" &amp; $B$2,'05.01.2020 - Derecognition'!$J$12:$J$52,$B$3)</f>
        <v>-115000</v>
      </c>
    </row>
    <row r="29" spans="1:4" x14ac:dyDescent="0.3">
      <c r="A29" s="6" t="s">
        <v>117</v>
      </c>
      <c r="B29" s="53">
        <f>SUMIFS('05.01.2020 - Derecognition'!$I$12:$I$52,'05.01.2020 - Derecognition'!$G$12:$G$52,"DEPRECIATION",'05.01.2020 - Derecognition'!$D$12:$D$52,"&gt;=" &amp; $B$1,'05.01.2020 - Derecognition'!$D$12:$D$52,"&lt;=" &amp; $B$2,'05.01.2020 - Derecognition'!$J$12:$J$52,$B$3)</f>
        <v>28130.190000000002</v>
      </c>
    </row>
    <row r="30" spans="1:4" x14ac:dyDescent="0.3">
      <c r="A30" s="6" t="s">
        <v>118</v>
      </c>
      <c r="B30" s="53">
        <f>SUMIFS('05.01.2020 - Derecognition'!$I$12:$I$52,'05.01.2020 - Derecognition'!$G$12:$G$52,"IMPAIRMENT",'05.01.2020 - Derecognition'!$D$12:$D$52,"&gt;=" &amp; $B$1,'05.01.2020 - Derecognition'!$D$12:$D$52,"&lt;=" &amp; $B$2,'05.01.2020 - Derecognition'!$J$12:$J$52,$B$3)</f>
        <v>10000</v>
      </c>
    </row>
    <row r="32" spans="1:4" x14ac:dyDescent="0.3">
      <c r="A32" s="49" t="s">
        <v>123</v>
      </c>
      <c r="B32" s="50" t="s">
        <v>40</v>
      </c>
    </row>
    <row r="33" spans="1:4" x14ac:dyDescent="0.3">
      <c r="A33" s="6" t="s">
        <v>124</v>
      </c>
      <c r="B33" s="56">
        <f>_xlfn.MAXIFS('05.01.2020 - Derecognition'!$D$12:$D$52,'05.01.2020 - Derecognition'!$F$12:$F$52,"RECLASSIFY",'05.01.2020 - Derecognition'!$J$12:$J$52,$B$3,'05.01.2020 - Derecognition'!$D$12:$D$52,"&lt;=" &amp; $B$2,'05.01.2020 - Derecognition'!$D$12:$D$52,"&gt;=" &amp; $B$1)</f>
        <v>43647</v>
      </c>
    </row>
    <row r="34" spans="1:4" x14ac:dyDescent="0.3">
      <c r="A34" s="6" t="s">
        <v>125</v>
      </c>
      <c r="B34" s="53">
        <f>SUMIFS('05.01.2020 - Derecognition'!$I$12:$I$52,'05.01.2020 - Derecognition'!$F$12:$F$52,"REVALUE",'05.01.2020 - Derecognition'!$D$12:$D$52,"&lt;=" &amp; $B$2,'05.01.2020 - Derecognition'!$J$12:$J$52,$B$3)</f>
        <v>-13026.32</v>
      </c>
    </row>
    <row r="35" spans="1:4" x14ac:dyDescent="0.3">
      <c r="A35" s="6" t="s">
        <v>126</v>
      </c>
      <c r="B35" s="53">
        <f>SUMIFS('05.01.2020 - Derecognition'!$I$12:$I$52,'05.01.2020 - Derecognition'!$G$12:$G$52,"COST",'05.01.2020 - Derecognition'!$F$12:$F$52,"REVALUE",'05.01.2020 - Derecognition'!$D$12:$D$52,"&gt;=" &amp; $B$1,'05.01.2020 - Derecognition'!$D$12:$D$52,"&lt;=" &amp; $B$2,'05.01.2020 - Derecognition'!$J$12:$J$52,$B$3)</f>
        <v>-55000</v>
      </c>
    </row>
    <row r="36" spans="1:4" x14ac:dyDescent="0.3">
      <c r="A36" s="6" t="s">
        <v>127</v>
      </c>
      <c r="B36" s="53">
        <f>SUMIFS('05.01.2020 - Derecognition'!$I$12:$I$52,'05.01.2020 - Derecognition'!$G$12:$G$52,"DEPRECIATION",'05.01.2020 - Derecognition'!$F$12:$F$52,"REVALUE",'05.01.2020 - Derecognition'!$D$12:$D$52,"&gt;=" &amp; $B$1,'05.01.2020 - Derecognition'!$D$12:$D$52,"&lt;=" &amp; $B$2,'05.01.2020 - Derecognition'!$J$12:$J$52,$B$3)</f>
        <v>31973.68</v>
      </c>
    </row>
    <row r="37" spans="1:4" x14ac:dyDescent="0.3">
      <c r="A37" s="6" t="s">
        <v>128</v>
      </c>
      <c r="B37" s="53">
        <f>SUMIFS('05.01.2020 - Derecognition'!$I$12:$I$52,'05.01.2020 - Derecognition'!$G$12:$G$52,"IMPAIRMENT",'05.01.2020 - Derecognition'!$F$12:$F$52,"REVALUE",'05.01.2020 - Derecognition'!$D$12:$D$52,"&gt;=" &amp; $B$1,'05.01.2020 - Derecognition'!$D$12:$D$52,"&lt;=" &amp; $B$2,'05.01.2020 - Derecognition'!$J$12:$J$52,$B$3)</f>
        <v>10000</v>
      </c>
    </row>
    <row r="38" spans="1:4" x14ac:dyDescent="0.3">
      <c r="A38" s="6" t="s">
        <v>129</v>
      </c>
      <c r="B38" s="53">
        <f>SUMIFS('05.01.2020 - Derecognition'!$I$12:$I$52,'05.01.2020 - Derecognition'!$F$12:$F$52,"REVALUE",'05.01.2020 - Derecognition'!$D$12:$D$52,"&lt;" &amp; $B$1,'05.01.2020 - Derecognition'!$J$12:$J$52,$B$3)</f>
        <v>0</v>
      </c>
    </row>
    <row r="39" spans="1:4" x14ac:dyDescent="0.3">
      <c r="A39" s="6" t="s">
        <v>130</v>
      </c>
      <c r="B39" s="53">
        <f>SUMIFS('05.01.2020 - Derecognition'!$H$12:$H$52,'05.01.2020 - Derecognition'!$F$12:$F$52,"REVALUE",'05.01.2020 - Derecognition'!$G$12:$G$52,"COST",'05.01.2020 - Derecognition'!$D$12:$D$52,"&gt;=" &amp; $B$1,'05.01.2020 - Derecognition'!$D$12:$D$52,"&lt;=" &amp; $B$2,'05.01.2020 - Derecognition'!$J$12:$J$52,$B$3)</f>
        <v>60000</v>
      </c>
    </row>
    <row r="41" spans="1:4" x14ac:dyDescent="0.3">
      <c r="A41" s="49" t="s">
        <v>131</v>
      </c>
      <c r="B41" s="50" t="s">
        <v>40</v>
      </c>
      <c r="D41" s="55" t="s">
        <v>137</v>
      </c>
    </row>
    <row r="42" spans="1:4" x14ac:dyDescent="0.3">
      <c r="A42" s="6" t="s">
        <v>132</v>
      </c>
      <c r="B42" s="56">
        <f>_xlfn.MAXIFS('05.01.2020 - Derecognition'!$D$12:$D$52,'05.01.2020 - Derecognition'!$F$12:$F$52,"RECLASSIFY",'05.01.2020 - Derecognition'!$J$12:$J$52,$B$3,'05.01.2020 - Derecognition'!$D$12:$D$52,"&lt;=" &amp; $B$2,'05.01.2020 - Derecognition'!$D$12:$D$52,"&gt;=" &amp; $B$1)</f>
        <v>43647</v>
      </c>
    </row>
    <row r="43" spans="1:4" x14ac:dyDescent="0.3">
      <c r="A43" s="6" t="s">
        <v>133</v>
      </c>
      <c r="B43" s="53">
        <f>SUMIFS('05.01.2020 - Derecognition'!$I$12:$I$52,'05.01.2020 - Derecognition'!$F$12:$F$52,"REVALUE",'05.01.2020 - Derecognition'!$D$12:$D$52,"&lt;=" &amp; $B$2,'05.01.2020 - Derecognition'!$J$12:$J$52,$B$3)</f>
        <v>-13026.32</v>
      </c>
    </row>
    <row r="44" spans="1:4" x14ac:dyDescent="0.3">
      <c r="A44" s="6" t="s">
        <v>134</v>
      </c>
      <c r="B44" s="53">
        <f>SUMIFS('05.01.2020 - Derecognition'!$I$12:$I$52,'05.01.2020 - Derecognition'!$G$12:$G$52,"COST",'05.01.2020 - Derecognition'!$F$12:$F$52,"REVALUE",'05.01.2020 - Derecognition'!$D$12:$D$52,"&gt;=" &amp; $B$1,'05.01.2020 - Derecognition'!$D$12:$D$52,"&lt;=" &amp; $B$2,'05.01.2020 - Derecognition'!$J$12:$J$52,$B$3)</f>
        <v>-55000</v>
      </c>
    </row>
    <row r="45" spans="1:4" x14ac:dyDescent="0.3">
      <c r="A45" s="6" t="s">
        <v>135</v>
      </c>
      <c r="B45" s="53">
        <f>SUMIFS('05.01.2020 - Derecognition'!$I$12:$I$52,'05.01.2020 - Derecognition'!$G$12:$G$52,"DEPRECIATION",'05.01.2020 - Derecognition'!$F$12:$F$52,"REVALUE",'05.01.2020 - Derecognition'!$D$12:$D$52,"&gt;=" &amp; $B$1,'05.01.2020 - Derecognition'!$D$12:$D$52,"&lt;=" &amp; $B$2,'05.01.2020 - Derecognition'!$J$12:$J$52,$B$3)</f>
        <v>31973.68</v>
      </c>
    </row>
    <row r="46" spans="1:4" x14ac:dyDescent="0.3">
      <c r="A46" s="6" t="s">
        <v>128</v>
      </c>
      <c r="B46" s="53">
        <f>SUMIFS('05.01.2020 - Derecognition'!$I$12:$I$52,'05.01.2020 - Derecognition'!$G$12:$G$52,"IMPAIRMENT",'05.01.2020 - Derecognition'!$F$12:$F$52,"REVALUE",'05.01.2020 - Derecognition'!$D$12:$D$52,"&gt;=" &amp; $B$1,'05.01.2020 - Derecognition'!$D$12:$D$52,"&lt;=" &amp; $B$2,'05.01.2020 - Derecognition'!$J$12:$J$52,$B$3)</f>
        <v>10000</v>
      </c>
    </row>
    <row r="47" spans="1:4" x14ac:dyDescent="0.3">
      <c r="A47" s="6" t="s">
        <v>129</v>
      </c>
      <c r="B47" s="53">
        <f>SUMIFS('05.01.2020 - Derecognition'!$I$12:$I$52,'05.01.2020 - Derecognition'!$F$12:$F$52,"REVALUE",'05.01.2020 - Derecognition'!$D$12:$D$52,"&lt;" &amp; $B$1,'05.01.2020 - Derecognition'!$J$12:$J$52,$B$3)</f>
        <v>0</v>
      </c>
    </row>
    <row r="48" spans="1:4" x14ac:dyDescent="0.3">
      <c r="A48" s="6" t="s">
        <v>130</v>
      </c>
      <c r="B48" s="53">
        <f>SUMIFS('05.01.2020 - Derecognition'!$H$12:$H$52,'05.01.2020 - Derecognition'!$F$12:$F$52,"REVALUE",'05.01.2020 - Derecognition'!$G$12:$G$52,"COST",'05.01.2020 - Derecognition'!$D$12:$D$52,"&gt;=" &amp; $B$1,'05.01.2020 - Derecognition'!$D$12:$D$52,"&lt;=" &amp; $B$2,'05.01.2020 - Derecognition'!$J$12:$J$52,$B$3)</f>
        <v>60000</v>
      </c>
    </row>
    <row r="50" spans="1:4" x14ac:dyDescent="0.3">
      <c r="A50" s="49" t="s">
        <v>138</v>
      </c>
      <c r="B50" s="50" t="s">
        <v>40</v>
      </c>
      <c r="D50" s="55" t="s">
        <v>137</v>
      </c>
    </row>
    <row r="51" spans="1:4" x14ac:dyDescent="0.3">
      <c r="A51" s="6" t="s">
        <v>139</v>
      </c>
      <c r="B51" s="56">
        <f>_xlfn.MAXIFS('05.01.2020 - Derecognition'!$D$12:$D$52,'05.01.2020 - Derecognition'!$F$12:$F$52,"ADDITION",'05.01.2020 - Derecognition'!$J$12:$J$52,$B$3,'05.01.2020 - Derecognition'!$D$12:$D$52,"&lt;=" &amp; $B$2)</f>
        <v>43475</v>
      </c>
    </row>
    <row r="52" spans="1:4" x14ac:dyDescent="0.3">
      <c r="A52" s="6" t="s">
        <v>140</v>
      </c>
      <c r="B52" s="53">
        <f>SUMIFS('05.01.2020 - Derecognition'!$I$12:$I$52,'05.01.2020 - Derecognition'!$F$12:$F$52,"ADDITION",'05.01.2020 - Derecognition'!$D$12:$D$52,"&lt;=" &amp; $B$2,'05.01.2020 - Derecognition'!$J$12:$J$52,$B$3)</f>
        <v>30000</v>
      </c>
    </row>
    <row r="53" spans="1:4" x14ac:dyDescent="0.3">
      <c r="A53" s="6" t="s">
        <v>141</v>
      </c>
      <c r="B53" s="53">
        <f>SUMIFS('05.01.2020 - Derecognition'!$I$12:$I$52,'05.01.2020 - Derecognition'!$G$12:$G$52,"ADDITION",'05.01.2020 - Derecognition'!$F$12:$F$52,"REVALUE",'05.01.2020 - Derecognition'!$D$12:$D$52,"&gt;=" &amp; $B$1,'05.01.2020 - Derecognition'!$D$12:$D$52,"&lt;=" &amp; $B$2,'05.01.2020 - Derecognition'!$J$12:$J$52,$B$3)</f>
        <v>0</v>
      </c>
    </row>
    <row r="54" spans="1:4" x14ac:dyDescent="0.3">
      <c r="A54" s="6" t="s">
        <v>142</v>
      </c>
      <c r="B54" s="53">
        <f>SUMIFS('05.01.2020 - Derecognition'!$I$12:$I$52,'05.01.2020 - Derecognition'!$F$12:$F$52,"ADDITION",'05.01.2020 - Derecognition'!$D$12:$D$52,"&lt;" &amp; $B$1,'05.01.2020 - Derecognition'!$J$12:$J$52,$B$3)</f>
        <v>30000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08FB-BB21-485B-ADCE-87601A032514}">
  <dimension ref="A1:J16"/>
  <sheetViews>
    <sheetView workbookViewId="0">
      <selection activeCell="D12" sqref="D12"/>
    </sheetView>
  </sheetViews>
  <sheetFormatPr defaultRowHeight="14.4" x14ac:dyDescent="0.3"/>
  <cols>
    <col min="1" max="1" width="9.33203125" customWidth="1"/>
    <col min="2" max="2" width="14.88671875" customWidth="1"/>
    <col min="3" max="3" width="13.88671875" customWidth="1"/>
    <col min="4" max="4" width="18.109375" customWidth="1"/>
    <col min="5" max="5" width="21.109375" customWidth="1"/>
    <col min="6" max="6" width="15.6640625" customWidth="1"/>
    <col min="7" max="7" width="13.5546875" customWidth="1"/>
    <col min="8" max="8" width="16.109375" customWidth="1"/>
    <col min="9" max="9" width="13.6640625" customWidth="1"/>
    <col min="10" max="10" width="10.44140625" customWidth="1"/>
  </cols>
  <sheetData>
    <row r="1" spans="1:10" ht="25.8" x14ac:dyDescent="0.5">
      <c r="A1" s="57" t="s">
        <v>13</v>
      </c>
      <c r="B1" s="57"/>
      <c r="C1" s="57"/>
      <c r="D1" s="57"/>
      <c r="E1" s="57"/>
      <c r="F1" s="57"/>
      <c r="G1" s="57"/>
      <c r="H1" s="57"/>
      <c r="I1" s="57"/>
      <c r="J1" s="57"/>
    </row>
    <row r="3" spans="1:10" ht="28.2" customHeight="1" x14ac:dyDescent="0.3">
      <c r="A3" s="64" t="s">
        <v>80</v>
      </c>
      <c r="B3" s="64"/>
      <c r="C3" s="64"/>
      <c r="D3" s="64"/>
      <c r="E3" s="64"/>
      <c r="F3" s="64"/>
      <c r="G3" s="64"/>
      <c r="H3" s="64"/>
      <c r="I3" s="64"/>
      <c r="J3" s="64"/>
    </row>
    <row r="5" spans="1:10" ht="18" x14ac:dyDescent="0.35">
      <c r="A5" s="60" t="s">
        <v>3</v>
      </c>
      <c r="B5" s="61"/>
      <c r="C5" s="61"/>
      <c r="D5" s="61"/>
      <c r="E5" s="62"/>
    </row>
    <row r="6" spans="1:10" x14ac:dyDescent="0.3">
      <c r="A6" s="4" t="s">
        <v>4</v>
      </c>
      <c r="B6" s="4" t="s">
        <v>9</v>
      </c>
      <c r="C6" s="3" t="s">
        <v>12</v>
      </c>
      <c r="D6" s="5"/>
      <c r="E6" s="5"/>
    </row>
    <row r="7" spans="1:10" x14ac:dyDescent="0.3">
      <c r="A7" s="16">
        <v>1</v>
      </c>
      <c r="B7" s="10">
        <v>43475</v>
      </c>
      <c r="C7" s="9" t="s">
        <v>36</v>
      </c>
      <c r="D7" s="9"/>
      <c r="E7" s="9"/>
    </row>
    <row r="8" spans="1:10" ht="4.5" customHeight="1" x14ac:dyDescent="0.3">
      <c r="A8" s="63"/>
      <c r="B8" s="63"/>
      <c r="C8" s="63"/>
      <c r="D8" s="63"/>
      <c r="E8" s="63"/>
    </row>
    <row r="10" spans="1:10" ht="18" x14ac:dyDescent="0.35">
      <c r="A10" s="59" t="s">
        <v>11</v>
      </c>
      <c r="B10" s="59"/>
      <c r="C10" s="59"/>
      <c r="D10" s="59"/>
      <c r="E10" s="59"/>
      <c r="F10" s="59"/>
      <c r="G10" s="59"/>
      <c r="H10" s="59"/>
      <c r="I10" s="59"/>
      <c r="J10" s="59"/>
    </row>
    <row r="11" spans="1:10" x14ac:dyDescent="0.3">
      <c r="A11" s="4" t="s">
        <v>6</v>
      </c>
      <c r="B11" s="4" t="s">
        <v>1</v>
      </c>
      <c r="C11" s="4" t="s">
        <v>4</v>
      </c>
      <c r="D11" s="4" t="s">
        <v>29</v>
      </c>
      <c r="E11" s="4" t="s">
        <v>28</v>
      </c>
      <c r="F11" s="3" t="s">
        <v>2</v>
      </c>
      <c r="G11" s="3" t="s">
        <v>7</v>
      </c>
      <c r="H11" s="4" t="s">
        <v>87</v>
      </c>
      <c r="I11" s="4" t="s">
        <v>5</v>
      </c>
      <c r="J11" s="4" t="s">
        <v>12</v>
      </c>
    </row>
    <row r="12" spans="1:10" x14ac:dyDescent="0.3">
      <c r="A12" s="16">
        <v>1</v>
      </c>
      <c r="B12" s="16">
        <v>1</v>
      </c>
      <c r="C12" s="16">
        <v>1</v>
      </c>
      <c r="D12" s="10">
        <v>43475</v>
      </c>
      <c r="E12" s="10">
        <v>43475</v>
      </c>
      <c r="F12" s="9" t="s">
        <v>8</v>
      </c>
      <c r="G12" s="9" t="s">
        <v>81</v>
      </c>
      <c r="H12" s="15">
        <v>30000</v>
      </c>
      <c r="I12" s="15">
        <v>30000</v>
      </c>
      <c r="J12" s="15" t="s">
        <v>36</v>
      </c>
    </row>
    <row r="13" spans="1:10" x14ac:dyDescent="0.3">
      <c r="A13" s="16">
        <v>2</v>
      </c>
      <c r="B13" s="16">
        <v>1</v>
      </c>
      <c r="C13" s="16">
        <v>1</v>
      </c>
      <c r="D13" s="10">
        <v>43475</v>
      </c>
      <c r="E13" s="10">
        <v>43475</v>
      </c>
      <c r="F13" s="9" t="s">
        <v>77</v>
      </c>
      <c r="G13" s="9" t="s">
        <v>81</v>
      </c>
      <c r="H13" s="15">
        <v>70000</v>
      </c>
      <c r="I13" s="15">
        <v>70000</v>
      </c>
      <c r="J13" s="15" t="s">
        <v>36</v>
      </c>
    </row>
    <row r="14" spans="1:10" ht="4.5" customHeight="1" x14ac:dyDescent="0.3">
      <c r="A14" s="58"/>
      <c r="B14" s="58"/>
      <c r="C14" s="58"/>
      <c r="D14" s="58"/>
      <c r="E14" s="58"/>
      <c r="F14" s="58"/>
      <c r="G14" s="58"/>
      <c r="H14" s="58"/>
      <c r="I14" s="58"/>
      <c r="J14" s="58"/>
    </row>
    <row r="16" spans="1:10" x14ac:dyDescent="0.3">
      <c r="B16" s="41"/>
    </row>
  </sheetData>
  <mergeCells count="6">
    <mergeCell ref="A1:J1"/>
    <mergeCell ref="A14:J14"/>
    <mergeCell ref="A10:J10"/>
    <mergeCell ref="A5:E5"/>
    <mergeCell ref="A8:E8"/>
    <mergeCell ref="A3:J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33FA-A21B-40DB-B812-1B54CABA1A2D}">
  <dimension ref="A1:J15"/>
  <sheetViews>
    <sheetView workbookViewId="0">
      <selection activeCell="H11" sqref="H11:H14"/>
    </sheetView>
  </sheetViews>
  <sheetFormatPr defaultRowHeight="14.4" x14ac:dyDescent="0.3"/>
  <cols>
    <col min="1" max="1" width="9.33203125" customWidth="1"/>
    <col min="2" max="2" width="16.6640625" customWidth="1"/>
    <col min="3" max="3" width="12.6640625" customWidth="1"/>
    <col min="4" max="4" width="18.109375" customWidth="1"/>
    <col min="5" max="5" width="13.44140625" customWidth="1"/>
    <col min="6" max="6" width="15.5546875" customWidth="1"/>
    <col min="7" max="8" width="16" customWidth="1"/>
    <col min="9" max="9" width="12.5546875" customWidth="1"/>
  </cols>
  <sheetData>
    <row r="1" spans="1:10" ht="25.8" x14ac:dyDescent="0.5">
      <c r="A1" s="57" t="s">
        <v>14</v>
      </c>
      <c r="B1" s="57"/>
      <c r="C1" s="57"/>
      <c r="D1" s="57"/>
      <c r="E1" s="57"/>
    </row>
    <row r="3" spans="1:10" x14ac:dyDescent="0.3">
      <c r="A3" s="65" t="s">
        <v>23</v>
      </c>
      <c r="B3" s="65"/>
      <c r="C3" s="65"/>
      <c r="D3" s="65"/>
      <c r="E3" s="65"/>
    </row>
    <row r="4" spans="1:10" x14ac:dyDescent="0.3">
      <c r="A4" s="2"/>
      <c r="B4" s="2"/>
      <c r="C4" s="2"/>
      <c r="D4" s="2"/>
      <c r="E4" s="2"/>
    </row>
    <row r="5" spans="1:10" ht="18" x14ac:dyDescent="0.35">
      <c r="A5" s="59" t="s">
        <v>3</v>
      </c>
      <c r="B5" s="59"/>
      <c r="C5" s="59"/>
      <c r="D5" s="59"/>
      <c r="E5" s="59"/>
    </row>
    <row r="6" spans="1:10" x14ac:dyDescent="0.3">
      <c r="A6" s="4" t="s">
        <v>4</v>
      </c>
      <c r="B6" s="4" t="s">
        <v>9</v>
      </c>
      <c r="C6" s="3" t="s">
        <v>12</v>
      </c>
      <c r="D6" s="5"/>
      <c r="E6" s="5"/>
    </row>
    <row r="7" spans="1:10" x14ac:dyDescent="0.3">
      <c r="A7" s="6">
        <v>1</v>
      </c>
      <c r="B7" s="7">
        <v>43475</v>
      </c>
      <c r="C7" s="6" t="s">
        <v>36</v>
      </c>
      <c r="D7" s="6"/>
      <c r="E7" s="6"/>
    </row>
    <row r="8" spans="1:10" ht="4.5" customHeight="1" x14ac:dyDescent="0.3">
      <c r="A8" s="63"/>
      <c r="B8" s="63"/>
      <c r="C8" s="63"/>
      <c r="D8" s="63"/>
      <c r="E8" s="63"/>
    </row>
    <row r="10" spans="1:10" ht="18" x14ac:dyDescent="0.35">
      <c r="A10" s="59" t="s">
        <v>11</v>
      </c>
      <c r="B10" s="59"/>
      <c r="C10" s="59"/>
      <c r="D10" s="59"/>
      <c r="E10" s="59"/>
      <c r="F10" s="59"/>
      <c r="G10" s="59"/>
      <c r="H10" s="59"/>
      <c r="I10" s="59"/>
      <c r="J10" s="59"/>
    </row>
    <row r="11" spans="1:10" x14ac:dyDescent="0.3">
      <c r="A11" s="4" t="s">
        <v>6</v>
      </c>
      <c r="B11" s="4" t="s">
        <v>1</v>
      </c>
      <c r="C11" s="4" t="s">
        <v>4</v>
      </c>
      <c r="D11" s="4" t="s">
        <v>29</v>
      </c>
      <c r="E11" s="4" t="s">
        <v>28</v>
      </c>
      <c r="F11" s="3" t="s">
        <v>2</v>
      </c>
      <c r="G11" s="3" t="s">
        <v>7</v>
      </c>
      <c r="H11" s="4" t="s">
        <v>87</v>
      </c>
      <c r="I11" s="4" t="s">
        <v>5</v>
      </c>
      <c r="J11" s="4" t="s">
        <v>12</v>
      </c>
    </row>
    <row r="12" spans="1:10" s="44" customFormat="1" x14ac:dyDescent="0.3">
      <c r="A12" s="43">
        <v>1</v>
      </c>
      <c r="B12" s="43">
        <v>1</v>
      </c>
      <c r="C12" s="43">
        <v>1</v>
      </c>
      <c r="D12" s="12">
        <v>43475</v>
      </c>
      <c r="E12" s="12">
        <v>43475</v>
      </c>
      <c r="F12" s="11" t="s">
        <v>8</v>
      </c>
      <c r="G12" s="11" t="s">
        <v>81</v>
      </c>
      <c r="H12" s="21">
        <v>30000</v>
      </c>
      <c r="I12" s="21">
        <v>30000</v>
      </c>
      <c r="J12" s="21" t="s">
        <v>36</v>
      </c>
    </row>
    <row r="13" spans="1:10" s="44" customFormat="1" x14ac:dyDescent="0.3">
      <c r="A13" s="43">
        <v>2</v>
      </c>
      <c r="B13" s="43">
        <v>1</v>
      </c>
      <c r="C13" s="43">
        <v>1</v>
      </c>
      <c r="D13" s="12">
        <v>43475</v>
      </c>
      <c r="E13" s="12">
        <v>43475</v>
      </c>
      <c r="F13" s="11" t="s">
        <v>77</v>
      </c>
      <c r="G13" s="11" t="s">
        <v>81</v>
      </c>
      <c r="H13" s="21">
        <v>70000</v>
      </c>
      <c r="I13" s="21">
        <v>70000</v>
      </c>
      <c r="J13" s="21" t="s">
        <v>36</v>
      </c>
    </row>
    <row r="14" spans="1:10" x14ac:dyDescent="0.3">
      <c r="A14" s="9">
        <v>3</v>
      </c>
      <c r="B14" s="9">
        <v>2</v>
      </c>
      <c r="C14" s="9">
        <v>1</v>
      </c>
      <c r="D14" s="10">
        <v>43496</v>
      </c>
      <c r="E14" s="10">
        <v>43496</v>
      </c>
      <c r="F14" s="9" t="s">
        <v>15</v>
      </c>
      <c r="G14" s="9" t="s">
        <v>16</v>
      </c>
      <c r="H14" s="14">
        <f>I14</f>
        <v>-5000</v>
      </c>
      <c r="I14" s="14">
        <f>-ROUND(SUM(I12:I13)*5%,2)</f>
        <v>-5000</v>
      </c>
      <c r="J14" s="15" t="s">
        <v>36</v>
      </c>
    </row>
    <row r="15" spans="1:10" ht="4.5" customHeight="1" x14ac:dyDescent="0.3">
      <c r="A15" s="66"/>
      <c r="B15" s="66"/>
      <c r="C15" s="66"/>
      <c r="D15" s="66"/>
      <c r="E15" s="66"/>
      <c r="F15" s="66"/>
      <c r="G15" s="66"/>
      <c r="H15" s="66"/>
      <c r="I15" s="66"/>
      <c r="J15" s="66"/>
    </row>
  </sheetData>
  <mergeCells count="6">
    <mergeCell ref="A3:E3"/>
    <mergeCell ref="A10:J10"/>
    <mergeCell ref="A15:J15"/>
    <mergeCell ref="A1:E1"/>
    <mergeCell ref="A5:E5"/>
    <mergeCell ref="A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9C79-A90C-4BD5-AA49-E5D3D9D10DF3}">
  <dimension ref="A1:J18"/>
  <sheetViews>
    <sheetView workbookViewId="0">
      <selection activeCell="H11" sqref="H11:H17"/>
    </sheetView>
  </sheetViews>
  <sheetFormatPr defaultRowHeight="14.4" x14ac:dyDescent="0.3"/>
  <cols>
    <col min="1" max="1" width="9.33203125" customWidth="1"/>
    <col min="2" max="2" width="16.6640625" customWidth="1"/>
    <col min="3" max="3" width="10.109375" customWidth="1"/>
    <col min="4" max="4" width="18.109375" customWidth="1"/>
    <col min="5" max="5" width="13.44140625" customWidth="1"/>
    <col min="6" max="6" width="17.33203125" customWidth="1"/>
    <col min="7" max="8" width="20.33203125" customWidth="1"/>
    <col min="9" max="9" width="14.5546875" customWidth="1"/>
  </cols>
  <sheetData>
    <row r="1" spans="1:10" ht="25.8" x14ac:dyDescent="0.5">
      <c r="A1" s="57" t="s">
        <v>17</v>
      </c>
      <c r="B1" s="57"/>
      <c r="C1" s="57"/>
      <c r="D1" s="57"/>
      <c r="E1" s="57"/>
      <c r="F1" s="57"/>
      <c r="G1" s="57"/>
      <c r="H1" s="57"/>
      <c r="I1" s="57"/>
      <c r="J1" s="57"/>
    </row>
    <row r="3" spans="1:10" ht="18" customHeight="1" x14ac:dyDescent="0.3">
      <c r="A3" s="64" t="s">
        <v>24</v>
      </c>
      <c r="B3" s="64"/>
      <c r="C3" s="64"/>
      <c r="D3" s="64"/>
      <c r="E3" s="64"/>
      <c r="F3" s="64"/>
      <c r="G3" s="64"/>
      <c r="H3" s="64"/>
      <c r="I3" s="64"/>
      <c r="J3" s="64"/>
    </row>
    <row r="4" spans="1:10" x14ac:dyDescent="0.3">
      <c r="A4" s="2"/>
      <c r="B4" s="2"/>
      <c r="C4" s="2"/>
      <c r="D4" s="2"/>
      <c r="E4" s="2"/>
    </row>
    <row r="5" spans="1:10" ht="18" x14ac:dyDescent="0.35">
      <c r="A5" s="60" t="s">
        <v>3</v>
      </c>
      <c r="B5" s="61"/>
      <c r="C5" s="61"/>
      <c r="D5" s="61"/>
      <c r="E5" s="62"/>
    </row>
    <row r="6" spans="1:10" x14ac:dyDescent="0.3">
      <c r="A6" s="4" t="s">
        <v>4</v>
      </c>
      <c r="B6" s="4" t="s">
        <v>9</v>
      </c>
      <c r="C6" s="3" t="s">
        <v>12</v>
      </c>
      <c r="D6" s="5"/>
      <c r="E6" s="5"/>
    </row>
    <row r="7" spans="1:10" x14ac:dyDescent="0.3">
      <c r="A7" s="6">
        <v>1</v>
      </c>
      <c r="B7" s="7">
        <v>43475</v>
      </c>
      <c r="C7" s="6" t="s">
        <v>36</v>
      </c>
      <c r="D7" s="6"/>
      <c r="E7" s="6"/>
    </row>
    <row r="8" spans="1:10" ht="4.5" customHeight="1" x14ac:dyDescent="0.3">
      <c r="A8" s="63"/>
      <c r="B8" s="63"/>
      <c r="C8" s="63"/>
      <c r="D8" s="63"/>
      <c r="E8" s="63"/>
    </row>
    <row r="10" spans="1:10" ht="18" x14ac:dyDescent="0.35">
      <c r="A10" s="59" t="s">
        <v>11</v>
      </c>
      <c r="B10" s="59"/>
      <c r="C10" s="59"/>
      <c r="D10" s="59"/>
      <c r="E10" s="59"/>
      <c r="F10" s="59"/>
      <c r="G10" s="59"/>
      <c r="H10" s="59"/>
      <c r="I10" s="59"/>
      <c r="J10" s="59"/>
    </row>
    <row r="11" spans="1:10" x14ac:dyDescent="0.3">
      <c r="A11" s="4" t="s">
        <v>6</v>
      </c>
      <c r="B11" s="4" t="s">
        <v>1</v>
      </c>
      <c r="C11" s="4" t="s">
        <v>4</v>
      </c>
      <c r="D11" s="4" t="s">
        <v>29</v>
      </c>
      <c r="E11" s="4" t="s">
        <v>28</v>
      </c>
      <c r="F11" s="3" t="s">
        <v>2</v>
      </c>
      <c r="G11" s="3"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11">
        <v>3</v>
      </c>
      <c r="B14" s="11">
        <v>2</v>
      </c>
      <c r="C14" s="11">
        <v>1</v>
      </c>
      <c r="D14" s="12">
        <v>43496</v>
      </c>
      <c r="E14" s="12">
        <v>43496</v>
      </c>
      <c r="F14" s="11" t="s">
        <v>15</v>
      </c>
      <c r="G14" s="11" t="s">
        <v>16</v>
      </c>
      <c r="H14" s="13">
        <f>I14</f>
        <v>-5000</v>
      </c>
      <c r="I14" s="13">
        <f>-ROUND(SUM(I12:I13)*5%,2)</f>
        <v>-5000</v>
      </c>
      <c r="J14" s="21" t="s">
        <v>36</v>
      </c>
    </row>
    <row r="15" spans="1:10" x14ac:dyDescent="0.3">
      <c r="A15" s="9">
        <v>4</v>
      </c>
      <c r="B15" s="9">
        <v>3</v>
      </c>
      <c r="C15" s="9">
        <v>1</v>
      </c>
      <c r="D15" s="10">
        <v>43524</v>
      </c>
      <c r="E15" s="10">
        <v>43570</v>
      </c>
      <c r="F15" s="9" t="s">
        <v>15</v>
      </c>
      <c r="G15" s="9" t="s">
        <v>16</v>
      </c>
      <c r="H15" s="14">
        <f t="shared" ref="H15:H17" si="0">I15</f>
        <v>-4750</v>
      </c>
      <c r="I15" s="14">
        <f>-ROUND(SUM(I12:I14)*5%,2)</f>
        <v>-4750</v>
      </c>
      <c r="J15" s="15" t="s">
        <v>36</v>
      </c>
    </row>
    <row r="16" spans="1:10" x14ac:dyDescent="0.3">
      <c r="A16" s="9">
        <v>5</v>
      </c>
      <c r="B16" s="9">
        <v>4</v>
      </c>
      <c r="C16" s="9">
        <v>1</v>
      </c>
      <c r="D16" s="10">
        <v>43555</v>
      </c>
      <c r="E16" s="10">
        <v>43570</v>
      </c>
      <c r="F16" s="9" t="s">
        <v>15</v>
      </c>
      <c r="G16" s="9" t="s">
        <v>16</v>
      </c>
      <c r="H16" s="14">
        <f t="shared" si="0"/>
        <v>-4512.5</v>
      </c>
      <c r="I16" s="14">
        <f>-ROUND(SUM(I12:I15)*5%,2)</f>
        <v>-4512.5</v>
      </c>
      <c r="J16" s="15" t="s">
        <v>36</v>
      </c>
    </row>
    <row r="17" spans="1:10" x14ac:dyDescent="0.3">
      <c r="A17" s="9">
        <v>6</v>
      </c>
      <c r="B17" s="9">
        <v>5</v>
      </c>
      <c r="C17" s="9">
        <v>1</v>
      </c>
      <c r="D17" s="10">
        <v>43570</v>
      </c>
      <c r="E17" s="10">
        <v>43570</v>
      </c>
      <c r="F17" s="9" t="s">
        <v>18</v>
      </c>
      <c r="G17" s="9" t="s">
        <v>81</v>
      </c>
      <c r="H17" s="14">
        <f t="shared" si="0"/>
        <v>15000</v>
      </c>
      <c r="I17" s="14">
        <v>15000</v>
      </c>
      <c r="J17" s="15" t="s">
        <v>36</v>
      </c>
    </row>
    <row r="18" spans="1:10" ht="4.5" customHeight="1" x14ac:dyDescent="0.3">
      <c r="A18" s="63"/>
      <c r="B18" s="63"/>
      <c r="C18" s="63"/>
      <c r="D18" s="63"/>
      <c r="E18" s="63"/>
      <c r="F18" s="63"/>
      <c r="G18" s="63"/>
      <c r="H18" s="63"/>
      <c r="I18" s="63"/>
      <c r="J18" s="63"/>
    </row>
  </sheetData>
  <mergeCells count="6">
    <mergeCell ref="A1:J1"/>
    <mergeCell ref="A18:J18"/>
    <mergeCell ref="A10:J10"/>
    <mergeCell ref="A5:E5"/>
    <mergeCell ref="A8:E8"/>
    <mergeCell ref="A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AE2B-19AF-4FF4-B326-5201A1A4F7A7}">
  <dimension ref="A1:J21"/>
  <sheetViews>
    <sheetView workbookViewId="0">
      <selection activeCell="H11" sqref="H11:H20"/>
    </sheetView>
  </sheetViews>
  <sheetFormatPr defaultRowHeight="14.4" x14ac:dyDescent="0.3"/>
  <cols>
    <col min="1" max="1" width="9.33203125" customWidth="1"/>
    <col min="2" max="2" width="15" customWidth="1"/>
    <col min="3" max="3" width="10.109375" customWidth="1"/>
    <col min="4" max="4" width="18.109375" customWidth="1"/>
    <col min="5" max="5" width="19" bestFit="1" customWidth="1"/>
    <col min="6" max="6" width="13.6640625" customWidth="1"/>
    <col min="7" max="8" width="19.109375" customWidth="1"/>
    <col min="9" max="9" width="11.88671875" customWidth="1"/>
  </cols>
  <sheetData>
    <row r="1" spans="1:10" ht="25.8" x14ac:dyDescent="0.5">
      <c r="A1" s="57" t="s">
        <v>20</v>
      </c>
      <c r="B1" s="57"/>
      <c r="C1" s="57"/>
      <c r="D1" s="57"/>
      <c r="E1" s="57"/>
      <c r="F1" s="57"/>
      <c r="G1" s="57"/>
      <c r="H1" s="57"/>
      <c r="I1" s="57"/>
      <c r="J1" s="57"/>
    </row>
    <row r="3" spans="1:10" ht="14.4" customHeight="1" x14ac:dyDescent="0.3">
      <c r="A3" s="64" t="s">
        <v>82</v>
      </c>
      <c r="B3" s="64"/>
      <c r="C3" s="64"/>
      <c r="D3" s="64"/>
      <c r="E3" s="64"/>
      <c r="F3" s="64"/>
      <c r="G3" s="64"/>
      <c r="H3" s="64"/>
      <c r="I3" s="64"/>
      <c r="J3" s="64"/>
    </row>
    <row r="4" spans="1:10" x14ac:dyDescent="0.3">
      <c r="A4" s="2"/>
      <c r="B4" s="2"/>
      <c r="C4" s="2"/>
      <c r="D4" s="2"/>
      <c r="E4" s="2"/>
    </row>
    <row r="5" spans="1:10" ht="18" x14ac:dyDescent="0.35">
      <c r="A5" s="59" t="s">
        <v>3</v>
      </c>
      <c r="B5" s="59"/>
      <c r="C5" s="59"/>
      <c r="D5" s="59"/>
      <c r="E5" s="59"/>
    </row>
    <row r="6" spans="1:10" x14ac:dyDescent="0.3">
      <c r="A6" s="4" t="s">
        <v>4</v>
      </c>
      <c r="B6" s="4" t="s">
        <v>9</v>
      </c>
      <c r="C6" s="3" t="s">
        <v>12</v>
      </c>
      <c r="D6" s="5"/>
      <c r="E6" s="5"/>
    </row>
    <row r="7" spans="1:10" x14ac:dyDescent="0.3">
      <c r="A7" s="6">
        <v>1</v>
      </c>
      <c r="B7" s="7">
        <v>43475</v>
      </c>
      <c r="C7" s="6" t="s">
        <v>36</v>
      </c>
      <c r="D7" s="6"/>
      <c r="E7" s="6"/>
    </row>
    <row r="8" spans="1:10" ht="4.5" customHeight="1" x14ac:dyDescent="0.3">
      <c r="A8" s="63"/>
      <c r="B8" s="63"/>
      <c r="C8" s="63"/>
      <c r="D8" s="63"/>
      <c r="E8" s="63"/>
    </row>
    <row r="10" spans="1:10" ht="18" x14ac:dyDescent="0.35">
      <c r="A10" s="59" t="s">
        <v>11</v>
      </c>
      <c r="B10" s="59"/>
      <c r="C10" s="59"/>
      <c r="D10" s="59"/>
      <c r="E10" s="59"/>
      <c r="F10" s="59"/>
      <c r="G10" s="59"/>
      <c r="H10" s="59"/>
      <c r="I10" s="59"/>
      <c r="J10" s="59"/>
    </row>
    <row r="11" spans="1:10" x14ac:dyDescent="0.3">
      <c r="A11" s="4" t="s">
        <v>6</v>
      </c>
      <c r="B11" s="4" t="s">
        <v>1</v>
      </c>
      <c r="C11" s="4" t="s">
        <v>4</v>
      </c>
      <c r="D11" s="4" t="s">
        <v>29</v>
      </c>
      <c r="E11" s="4" t="s">
        <v>28</v>
      </c>
      <c r="F11" s="3" t="s">
        <v>2</v>
      </c>
      <c r="G11" s="4"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43">
        <v>3</v>
      </c>
      <c r="B14" s="11">
        <v>2</v>
      </c>
      <c r="C14" s="11">
        <v>1</v>
      </c>
      <c r="D14" s="12">
        <v>43496</v>
      </c>
      <c r="E14" s="12">
        <v>43496</v>
      </c>
      <c r="F14" s="11" t="s">
        <v>15</v>
      </c>
      <c r="G14" s="11" t="s">
        <v>16</v>
      </c>
      <c r="H14" s="13">
        <f>I14</f>
        <v>-5000</v>
      </c>
      <c r="I14" s="13">
        <f>-ROUND(SUM(I12:I13)*5%,2)</f>
        <v>-5000</v>
      </c>
      <c r="J14" s="21" t="s">
        <v>36</v>
      </c>
    </row>
    <row r="15" spans="1:10" x14ac:dyDescent="0.3">
      <c r="A15" s="43">
        <v>4</v>
      </c>
      <c r="B15" s="11">
        <v>3</v>
      </c>
      <c r="C15" s="11">
        <v>1</v>
      </c>
      <c r="D15" s="12">
        <v>43524</v>
      </c>
      <c r="E15" s="12">
        <v>43570</v>
      </c>
      <c r="F15" s="11" t="s">
        <v>15</v>
      </c>
      <c r="G15" s="11" t="s">
        <v>16</v>
      </c>
      <c r="H15" s="13">
        <f t="shared" ref="H15:H20" si="0">I15</f>
        <v>-4750</v>
      </c>
      <c r="I15" s="13">
        <f>-ROUND(SUM(I12:I14)*5%,2)</f>
        <v>-4750</v>
      </c>
      <c r="J15" s="21" t="s">
        <v>36</v>
      </c>
    </row>
    <row r="16" spans="1:10" x14ac:dyDescent="0.3">
      <c r="A16" s="43">
        <v>5</v>
      </c>
      <c r="B16" s="11">
        <v>4</v>
      </c>
      <c r="C16" s="11">
        <v>1</v>
      </c>
      <c r="D16" s="12">
        <v>43555</v>
      </c>
      <c r="E16" s="12">
        <v>43570</v>
      </c>
      <c r="F16" s="11" t="s">
        <v>15</v>
      </c>
      <c r="G16" s="11" t="s">
        <v>16</v>
      </c>
      <c r="H16" s="13">
        <f t="shared" si="0"/>
        <v>-4512.5</v>
      </c>
      <c r="I16" s="13">
        <f>-ROUND(SUM(I12:I15)*5%,2)</f>
        <v>-4512.5</v>
      </c>
      <c r="J16" s="21" t="s">
        <v>36</v>
      </c>
    </row>
    <row r="17" spans="1:10" x14ac:dyDescent="0.3">
      <c r="A17" s="43">
        <v>6</v>
      </c>
      <c r="B17" s="11">
        <v>5</v>
      </c>
      <c r="C17" s="11">
        <v>1</v>
      </c>
      <c r="D17" s="12">
        <v>43570</v>
      </c>
      <c r="E17" s="12">
        <v>43570</v>
      </c>
      <c r="F17" s="11" t="s">
        <v>18</v>
      </c>
      <c r="G17" s="11" t="s">
        <v>81</v>
      </c>
      <c r="H17" s="13">
        <f t="shared" si="0"/>
        <v>15000</v>
      </c>
      <c r="I17" s="13">
        <v>15000</v>
      </c>
      <c r="J17" s="21" t="s">
        <v>36</v>
      </c>
    </row>
    <row r="18" spans="1:10" x14ac:dyDescent="0.3">
      <c r="A18" s="9">
        <v>7</v>
      </c>
      <c r="B18" s="9">
        <v>6</v>
      </c>
      <c r="C18" s="9">
        <v>1</v>
      </c>
      <c r="D18" s="10">
        <v>43585</v>
      </c>
      <c r="E18" s="10">
        <v>43643</v>
      </c>
      <c r="F18" s="9" t="s">
        <v>15</v>
      </c>
      <c r="G18" s="9" t="s">
        <v>16</v>
      </c>
      <c r="H18" s="14">
        <f t="shared" si="0"/>
        <v>-5036.88</v>
      </c>
      <c r="I18" s="14">
        <f>-ROUND(SUM(I12:I17)*5%,2)</f>
        <v>-5036.88</v>
      </c>
      <c r="J18" s="15" t="s">
        <v>36</v>
      </c>
    </row>
    <row r="19" spans="1:10" x14ac:dyDescent="0.3">
      <c r="A19" s="9">
        <v>8</v>
      </c>
      <c r="B19" s="9">
        <v>7</v>
      </c>
      <c r="C19" s="9">
        <v>1</v>
      </c>
      <c r="D19" s="10">
        <v>43555</v>
      </c>
      <c r="E19" s="10">
        <v>43643</v>
      </c>
      <c r="F19" s="9" t="s">
        <v>15</v>
      </c>
      <c r="G19" s="9" t="s">
        <v>16</v>
      </c>
      <c r="H19" s="14">
        <f t="shared" si="0"/>
        <v>-4785.03</v>
      </c>
      <c r="I19" s="14">
        <f>-ROUND(SUM(I12:I18)*5%,2)</f>
        <v>-4785.03</v>
      </c>
      <c r="J19" s="15" t="s">
        <v>36</v>
      </c>
    </row>
    <row r="20" spans="1:10" x14ac:dyDescent="0.3">
      <c r="A20" s="9">
        <v>9</v>
      </c>
      <c r="B20" s="9">
        <v>8</v>
      </c>
      <c r="C20" s="9">
        <v>1</v>
      </c>
      <c r="D20" s="10">
        <v>43643</v>
      </c>
      <c r="E20" s="10">
        <v>43643</v>
      </c>
      <c r="F20" s="9" t="s">
        <v>21</v>
      </c>
      <c r="G20" s="9" t="s">
        <v>22</v>
      </c>
      <c r="H20" s="14">
        <f t="shared" si="0"/>
        <v>-10000</v>
      </c>
      <c r="I20" s="14">
        <v>-10000</v>
      </c>
      <c r="J20" s="15" t="s">
        <v>36</v>
      </c>
    </row>
    <row r="21" spans="1:10" ht="4.5" customHeight="1" x14ac:dyDescent="0.3">
      <c r="A21" s="67"/>
      <c r="B21" s="63"/>
      <c r="C21" s="63"/>
      <c r="D21" s="63"/>
      <c r="E21" s="63"/>
      <c r="F21" s="63"/>
      <c r="G21" s="63"/>
      <c r="H21" s="63"/>
      <c r="I21" s="63"/>
      <c r="J21" s="63"/>
    </row>
  </sheetData>
  <mergeCells count="6">
    <mergeCell ref="A1:J1"/>
    <mergeCell ref="A21:J21"/>
    <mergeCell ref="A10:J10"/>
    <mergeCell ref="A5:E5"/>
    <mergeCell ref="A8:E8"/>
    <mergeCell ref="A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8D8A-D17A-4BCB-BFD4-008FDE51E290}">
  <dimension ref="A1:J30"/>
  <sheetViews>
    <sheetView topLeftCell="A4" workbookViewId="0">
      <selection activeCell="B29" sqref="B29"/>
    </sheetView>
  </sheetViews>
  <sheetFormatPr defaultRowHeight="14.4" x14ac:dyDescent="0.3"/>
  <cols>
    <col min="1" max="1" width="9.33203125" customWidth="1"/>
    <col min="2" max="2" width="15.33203125" customWidth="1"/>
    <col min="3" max="3" width="14.44140625" customWidth="1"/>
    <col min="4" max="4" width="18.109375" customWidth="1"/>
    <col min="5" max="5" width="19.6640625" customWidth="1"/>
    <col min="6" max="6" width="15" customWidth="1"/>
    <col min="7" max="7" width="22.5546875" customWidth="1"/>
    <col min="8" max="8" width="17.6640625" customWidth="1"/>
    <col min="9" max="9" width="14.6640625" customWidth="1"/>
  </cols>
  <sheetData>
    <row r="1" spans="1:10" ht="25.8" x14ac:dyDescent="0.5">
      <c r="A1" s="57" t="s">
        <v>30</v>
      </c>
      <c r="B1" s="57"/>
      <c r="C1" s="57"/>
      <c r="D1" s="57"/>
      <c r="E1" s="57"/>
      <c r="F1" s="57"/>
    </row>
    <row r="3" spans="1:10" x14ac:dyDescent="0.3">
      <c r="A3" s="65" t="s">
        <v>25</v>
      </c>
      <c r="B3" s="65"/>
      <c r="C3" s="65"/>
      <c r="D3" s="65"/>
      <c r="E3" s="65"/>
      <c r="F3" s="65"/>
    </row>
    <row r="4" spans="1:10" x14ac:dyDescent="0.3">
      <c r="A4" s="2"/>
      <c r="B4" s="2"/>
      <c r="C4" s="2"/>
      <c r="D4" s="2"/>
      <c r="E4" s="2"/>
      <c r="F4" s="2"/>
    </row>
    <row r="5" spans="1:10" ht="18" x14ac:dyDescent="0.35">
      <c r="A5" s="59" t="s">
        <v>3</v>
      </c>
      <c r="B5" s="59"/>
      <c r="C5" s="59"/>
      <c r="D5" s="59"/>
      <c r="E5" s="59"/>
      <c r="F5" s="59"/>
    </row>
    <row r="6" spans="1:10" x14ac:dyDescent="0.3">
      <c r="A6" s="3" t="s">
        <v>4</v>
      </c>
      <c r="B6" s="4" t="s">
        <v>9</v>
      </c>
      <c r="C6" s="3" t="s">
        <v>12</v>
      </c>
      <c r="D6" s="5"/>
      <c r="E6" s="5"/>
      <c r="F6" s="5"/>
    </row>
    <row r="7" spans="1:10" x14ac:dyDescent="0.3">
      <c r="A7" s="6">
        <v>1</v>
      </c>
      <c r="B7" s="7">
        <v>43475</v>
      </c>
      <c r="C7" s="6" t="s">
        <v>36</v>
      </c>
      <c r="D7" s="6"/>
      <c r="E7" s="6"/>
      <c r="F7" s="6"/>
    </row>
    <row r="8" spans="1:10" ht="4.5" customHeight="1" x14ac:dyDescent="0.3">
      <c r="A8" s="63"/>
      <c r="B8" s="63"/>
      <c r="C8" s="63"/>
      <c r="D8" s="63"/>
      <c r="E8" s="63"/>
      <c r="F8" s="63"/>
    </row>
    <row r="10" spans="1:10" ht="18" x14ac:dyDescent="0.35">
      <c r="A10" s="59" t="s">
        <v>11</v>
      </c>
      <c r="B10" s="59"/>
      <c r="C10" s="59"/>
      <c r="D10" s="59"/>
      <c r="E10" s="59"/>
      <c r="F10" s="59"/>
      <c r="G10" s="59"/>
      <c r="H10" s="59"/>
      <c r="I10" s="59"/>
      <c r="J10" s="59"/>
    </row>
    <row r="11" spans="1:10" x14ac:dyDescent="0.3">
      <c r="A11" s="4" t="s">
        <v>6</v>
      </c>
      <c r="B11" s="4" t="s">
        <v>1</v>
      </c>
      <c r="C11" s="4" t="s">
        <v>4</v>
      </c>
      <c r="D11" s="4" t="s">
        <v>0</v>
      </c>
      <c r="E11" s="4" t="s">
        <v>28</v>
      </c>
      <c r="F11" s="3" t="s">
        <v>2</v>
      </c>
      <c r="G11" s="4"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43">
        <v>3</v>
      </c>
      <c r="B14" s="11">
        <v>2</v>
      </c>
      <c r="C14" s="11">
        <v>1</v>
      </c>
      <c r="D14" s="12">
        <v>43496</v>
      </c>
      <c r="E14" s="12">
        <v>43496</v>
      </c>
      <c r="F14" s="11" t="s">
        <v>15</v>
      </c>
      <c r="G14" s="11" t="s">
        <v>16</v>
      </c>
      <c r="H14" s="13">
        <f>I14</f>
        <v>-5000</v>
      </c>
      <c r="I14" s="13">
        <f>-ROUND(SUM(I12:I13)*5%,2)</f>
        <v>-5000</v>
      </c>
      <c r="J14" s="21" t="s">
        <v>36</v>
      </c>
    </row>
    <row r="15" spans="1:10" x14ac:dyDescent="0.3">
      <c r="A15" s="43">
        <v>4</v>
      </c>
      <c r="B15" s="11">
        <v>3</v>
      </c>
      <c r="C15" s="11">
        <v>1</v>
      </c>
      <c r="D15" s="12">
        <v>43524</v>
      </c>
      <c r="E15" s="12">
        <v>43570</v>
      </c>
      <c r="F15" s="11" t="s">
        <v>15</v>
      </c>
      <c r="G15" s="11" t="s">
        <v>16</v>
      </c>
      <c r="H15" s="13">
        <f t="shared" ref="H15:H24" si="0">I15</f>
        <v>-4750</v>
      </c>
      <c r="I15" s="13">
        <f>-ROUND(SUM(I12:I14)*5%,2)</f>
        <v>-4750</v>
      </c>
      <c r="J15" s="21" t="s">
        <v>36</v>
      </c>
    </row>
    <row r="16" spans="1:10" x14ac:dyDescent="0.3">
      <c r="A16" s="43">
        <v>5</v>
      </c>
      <c r="B16" s="11">
        <v>4</v>
      </c>
      <c r="C16" s="11">
        <v>1</v>
      </c>
      <c r="D16" s="12">
        <v>43555</v>
      </c>
      <c r="E16" s="12">
        <v>43570</v>
      </c>
      <c r="F16" s="11" t="s">
        <v>15</v>
      </c>
      <c r="G16" s="11" t="s">
        <v>16</v>
      </c>
      <c r="H16" s="13">
        <f t="shared" si="0"/>
        <v>-4512.5</v>
      </c>
      <c r="I16" s="13">
        <f>-ROUND(SUM(I12:I15)*5%,2)</f>
        <v>-4512.5</v>
      </c>
      <c r="J16" s="21" t="s">
        <v>36</v>
      </c>
    </row>
    <row r="17" spans="1:10" x14ac:dyDescent="0.3">
      <c r="A17" s="43">
        <v>6</v>
      </c>
      <c r="B17" s="11">
        <v>5</v>
      </c>
      <c r="C17" s="11">
        <v>1</v>
      </c>
      <c r="D17" s="12">
        <v>43570</v>
      </c>
      <c r="E17" s="12">
        <v>43570</v>
      </c>
      <c r="F17" s="11" t="s">
        <v>18</v>
      </c>
      <c r="G17" s="11" t="s">
        <v>81</v>
      </c>
      <c r="H17" s="13">
        <f t="shared" si="0"/>
        <v>15000</v>
      </c>
      <c r="I17" s="13">
        <v>15000</v>
      </c>
      <c r="J17" s="21" t="s">
        <v>36</v>
      </c>
    </row>
    <row r="18" spans="1:10" x14ac:dyDescent="0.3">
      <c r="A18" s="11">
        <v>7</v>
      </c>
      <c r="B18" s="11">
        <v>6</v>
      </c>
      <c r="C18" s="11">
        <v>1</v>
      </c>
      <c r="D18" s="12">
        <v>43585</v>
      </c>
      <c r="E18" s="12">
        <v>43643</v>
      </c>
      <c r="F18" s="11" t="s">
        <v>15</v>
      </c>
      <c r="G18" s="11" t="s">
        <v>16</v>
      </c>
      <c r="H18" s="13">
        <f t="shared" si="0"/>
        <v>-5036.88</v>
      </c>
      <c r="I18" s="13">
        <f>-ROUND(SUM(I12:I17)*5%,2)</f>
        <v>-5036.88</v>
      </c>
      <c r="J18" s="21" t="s">
        <v>36</v>
      </c>
    </row>
    <row r="19" spans="1:10" x14ac:dyDescent="0.3">
      <c r="A19" s="11">
        <v>8</v>
      </c>
      <c r="B19" s="11">
        <v>7</v>
      </c>
      <c r="C19" s="11">
        <v>1</v>
      </c>
      <c r="D19" s="12">
        <v>43555</v>
      </c>
      <c r="E19" s="12">
        <v>43643</v>
      </c>
      <c r="F19" s="11" t="s">
        <v>15</v>
      </c>
      <c r="G19" s="11" t="s">
        <v>16</v>
      </c>
      <c r="H19" s="13">
        <f t="shared" si="0"/>
        <v>-4785.03</v>
      </c>
      <c r="I19" s="13">
        <f>-ROUND(SUM(I12:I18)*5%,2)</f>
        <v>-4785.03</v>
      </c>
      <c r="J19" s="21" t="s">
        <v>36</v>
      </c>
    </row>
    <row r="20" spans="1:10" x14ac:dyDescent="0.3">
      <c r="A20" s="11">
        <v>9</v>
      </c>
      <c r="B20" s="11">
        <v>8</v>
      </c>
      <c r="C20" s="11">
        <v>1</v>
      </c>
      <c r="D20" s="12">
        <v>43643</v>
      </c>
      <c r="E20" s="12">
        <v>43643</v>
      </c>
      <c r="F20" s="11" t="s">
        <v>21</v>
      </c>
      <c r="G20" s="11" t="s">
        <v>22</v>
      </c>
      <c r="H20" s="13">
        <f t="shared" si="0"/>
        <v>-10000</v>
      </c>
      <c r="I20" s="13">
        <v>-10000</v>
      </c>
      <c r="J20" s="21" t="s">
        <v>36</v>
      </c>
    </row>
    <row r="21" spans="1:10" x14ac:dyDescent="0.3">
      <c r="A21" s="9">
        <v>10</v>
      </c>
      <c r="B21" s="9">
        <v>9</v>
      </c>
      <c r="C21" s="9">
        <v>1</v>
      </c>
      <c r="D21" s="10">
        <v>43646</v>
      </c>
      <c r="E21" s="10">
        <v>43697</v>
      </c>
      <c r="F21" s="9" t="s">
        <v>15</v>
      </c>
      <c r="G21" s="9" t="s">
        <v>16</v>
      </c>
      <c r="H21" s="14">
        <f t="shared" si="0"/>
        <v>-4045.78</v>
      </c>
      <c r="I21" s="14">
        <f>-ROUND(SUM(I12:I20)*5%,2)</f>
        <v>-4045.78</v>
      </c>
      <c r="J21" s="15" t="s">
        <v>36</v>
      </c>
    </row>
    <row r="22" spans="1:10" x14ac:dyDescent="0.3">
      <c r="A22" s="9">
        <v>11</v>
      </c>
      <c r="B22" s="9">
        <v>10</v>
      </c>
      <c r="C22" s="9">
        <v>1</v>
      </c>
      <c r="D22" s="10">
        <v>43677</v>
      </c>
      <c r="E22" s="10">
        <v>43697</v>
      </c>
      <c r="F22" s="9" t="s">
        <v>15</v>
      </c>
      <c r="G22" s="9" t="s">
        <v>16</v>
      </c>
      <c r="H22" s="14">
        <f t="shared" si="0"/>
        <v>-3843.49</v>
      </c>
      <c r="I22" s="14">
        <f>-ROUND(SUM(I12:I21)*5%,2)</f>
        <v>-3843.49</v>
      </c>
      <c r="J22" s="15" t="s">
        <v>36</v>
      </c>
    </row>
    <row r="23" spans="1:10" x14ac:dyDescent="0.3">
      <c r="A23" s="9">
        <v>12</v>
      </c>
      <c r="B23" s="9">
        <v>11</v>
      </c>
      <c r="C23" s="9">
        <v>1</v>
      </c>
      <c r="D23" s="10">
        <v>43697</v>
      </c>
      <c r="E23" s="10">
        <v>43697</v>
      </c>
      <c r="F23" s="9" t="s">
        <v>31</v>
      </c>
      <c r="G23" s="9" t="s">
        <v>16</v>
      </c>
      <c r="H23" s="14">
        <f t="shared" si="0"/>
        <v>31973.68</v>
      </c>
      <c r="I23" s="14">
        <f>-SUMIFS(I12:I22,G12:G22,"=DEPRECIATION",I12:I22,"&lt;0")</f>
        <v>31973.68</v>
      </c>
      <c r="J23" s="15" t="s">
        <v>36</v>
      </c>
    </row>
    <row r="24" spans="1:10" x14ac:dyDescent="0.3">
      <c r="A24" s="9">
        <v>13</v>
      </c>
      <c r="B24" s="9">
        <v>11</v>
      </c>
      <c r="C24" s="9">
        <v>1</v>
      </c>
      <c r="D24" s="10">
        <v>43697</v>
      </c>
      <c r="E24" s="10">
        <v>43697</v>
      </c>
      <c r="F24" s="9" t="s">
        <v>31</v>
      </c>
      <c r="G24" s="9" t="s">
        <v>22</v>
      </c>
      <c r="H24" s="14">
        <f t="shared" si="0"/>
        <v>10000</v>
      </c>
      <c r="I24" s="14">
        <f>-SUMIFS(I12:I23,G12:G23,"=IMPAIRMENT",I12:I23,"&lt;0")</f>
        <v>10000</v>
      </c>
      <c r="J24" s="15" t="s">
        <v>36</v>
      </c>
    </row>
    <row r="25" spans="1:10" x14ac:dyDescent="0.3">
      <c r="A25" s="9">
        <v>14</v>
      </c>
      <c r="B25" s="9">
        <v>11</v>
      </c>
      <c r="C25" s="9">
        <v>1</v>
      </c>
      <c r="D25" s="10">
        <v>43697</v>
      </c>
      <c r="E25" s="10">
        <v>43697</v>
      </c>
      <c r="F25" s="9" t="s">
        <v>31</v>
      </c>
      <c r="G25" s="9" t="s">
        <v>81</v>
      </c>
      <c r="H25" s="14">
        <v>60000</v>
      </c>
      <c r="I25" s="14">
        <f>60000-SUM(I12:I24)</f>
        <v>-55000</v>
      </c>
      <c r="J25" s="15" t="s">
        <v>36</v>
      </c>
    </row>
    <row r="26" spans="1:10" ht="4.5" customHeight="1" x14ac:dyDescent="0.3">
      <c r="A26" s="63"/>
      <c r="B26" s="63"/>
      <c r="C26" s="63"/>
      <c r="D26" s="63"/>
      <c r="E26" s="63"/>
      <c r="F26" s="63"/>
      <c r="G26" s="63"/>
      <c r="H26" s="63"/>
      <c r="I26" s="63"/>
      <c r="J26" s="63"/>
    </row>
    <row r="28" spans="1:10" x14ac:dyDescent="0.3">
      <c r="B28" s="41" t="s">
        <v>88</v>
      </c>
    </row>
    <row r="29" spans="1:10" x14ac:dyDescent="0.3">
      <c r="B29" s="41" t="s">
        <v>90</v>
      </c>
    </row>
    <row r="30" spans="1:10" x14ac:dyDescent="0.3">
      <c r="I30" s="45"/>
    </row>
  </sheetData>
  <mergeCells count="6">
    <mergeCell ref="A3:F3"/>
    <mergeCell ref="A10:J10"/>
    <mergeCell ref="A26:J26"/>
    <mergeCell ref="A1:F1"/>
    <mergeCell ref="A5:F5"/>
    <mergeCell ref="A8:F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6ED4-C19A-477C-A8C3-AB9F5465CE0D}">
  <dimension ref="A1:J30"/>
  <sheetViews>
    <sheetView workbookViewId="0">
      <selection activeCell="C26" sqref="C26"/>
    </sheetView>
  </sheetViews>
  <sheetFormatPr defaultRowHeight="14.4" x14ac:dyDescent="0.3"/>
  <cols>
    <col min="1" max="1" width="9.33203125" customWidth="1"/>
    <col min="2" max="2" width="15.33203125" customWidth="1"/>
    <col min="3" max="3" width="13.88671875" customWidth="1"/>
    <col min="4" max="4" width="18.109375" customWidth="1"/>
    <col min="5" max="5" width="21.88671875" customWidth="1"/>
    <col min="6" max="6" width="19.6640625" customWidth="1"/>
    <col min="7" max="8" width="19" customWidth="1"/>
    <col min="9" max="9" width="14.44140625" customWidth="1"/>
  </cols>
  <sheetData>
    <row r="1" spans="1:10" ht="25.8" x14ac:dyDescent="0.5">
      <c r="A1" s="57" t="s">
        <v>35</v>
      </c>
      <c r="B1" s="57"/>
      <c r="C1" s="57"/>
      <c r="D1" s="57"/>
      <c r="E1" s="57"/>
      <c r="F1" s="57"/>
    </row>
    <row r="3" spans="1:10" x14ac:dyDescent="0.3">
      <c r="A3" s="65" t="s">
        <v>83</v>
      </c>
      <c r="B3" s="65"/>
      <c r="C3" s="65"/>
      <c r="D3" s="65"/>
      <c r="E3" s="65"/>
      <c r="F3" s="65"/>
    </row>
    <row r="4" spans="1:10" x14ac:dyDescent="0.3">
      <c r="A4" s="2"/>
      <c r="B4" s="2"/>
      <c r="C4" s="2"/>
      <c r="D4" s="2"/>
      <c r="E4" s="2"/>
      <c r="F4" s="2"/>
    </row>
    <row r="5" spans="1:10" ht="18" x14ac:dyDescent="0.35">
      <c r="A5" s="59" t="s">
        <v>3</v>
      </c>
      <c r="B5" s="59"/>
      <c r="C5" s="59"/>
      <c r="D5" s="59"/>
      <c r="E5" s="59"/>
      <c r="F5" s="59"/>
    </row>
    <row r="6" spans="1:10" x14ac:dyDescent="0.3">
      <c r="A6" s="3" t="s">
        <v>4</v>
      </c>
      <c r="B6" s="4" t="s">
        <v>9</v>
      </c>
      <c r="C6" s="3" t="s">
        <v>12</v>
      </c>
      <c r="D6" s="5"/>
      <c r="E6" s="5"/>
      <c r="F6" s="5"/>
    </row>
    <row r="7" spans="1:10" x14ac:dyDescent="0.3">
      <c r="A7" s="6">
        <v>1</v>
      </c>
      <c r="B7" s="7">
        <v>43475</v>
      </c>
      <c r="C7" s="6" t="s">
        <v>36</v>
      </c>
      <c r="D7" s="6"/>
      <c r="E7" s="6"/>
      <c r="F7" s="6"/>
    </row>
    <row r="8" spans="1:10" ht="4.5" customHeight="1" x14ac:dyDescent="0.3">
      <c r="A8" s="63"/>
      <c r="B8" s="63"/>
      <c r="C8" s="63"/>
      <c r="D8" s="63"/>
      <c r="E8" s="63"/>
      <c r="F8" s="63"/>
    </row>
    <row r="10" spans="1:10" ht="18" x14ac:dyDescent="0.35">
      <c r="A10" s="59" t="s">
        <v>11</v>
      </c>
      <c r="B10" s="59"/>
      <c r="C10" s="59"/>
      <c r="D10" s="59"/>
      <c r="E10" s="59"/>
      <c r="F10" s="59"/>
      <c r="G10" s="59"/>
      <c r="H10" s="59"/>
      <c r="I10" s="59"/>
      <c r="J10" s="59"/>
    </row>
    <row r="11" spans="1:10" x14ac:dyDescent="0.3">
      <c r="A11" s="4" t="s">
        <v>6</v>
      </c>
      <c r="B11" s="4" t="s">
        <v>1</v>
      </c>
      <c r="C11" s="4" t="s">
        <v>4</v>
      </c>
      <c r="D11" s="4" t="s">
        <v>0</v>
      </c>
      <c r="E11" s="4" t="s">
        <v>28</v>
      </c>
      <c r="F11" s="3" t="s">
        <v>2</v>
      </c>
      <c r="G11" s="4"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43">
        <v>3</v>
      </c>
      <c r="B14" s="11">
        <v>2</v>
      </c>
      <c r="C14" s="11">
        <v>1</v>
      </c>
      <c r="D14" s="12">
        <v>43496</v>
      </c>
      <c r="E14" s="12">
        <v>43496</v>
      </c>
      <c r="F14" s="11" t="s">
        <v>15</v>
      </c>
      <c r="G14" s="11" t="s">
        <v>16</v>
      </c>
      <c r="H14" s="13">
        <f>I14</f>
        <v>-5000</v>
      </c>
      <c r="I14" s="13">
        <f>-ROUND(SUM(I12:I13)*5%,2)</f>
        <v>-5000</v>
      </c>
      <c r="J14" s="21" t="s">
        <v>36</v>
      </c>
    </row>
    <row r="15" spans="1:10" x14ac:dyDescent="0.3">
      <c r="A15" s="43">
        <v>4</v>
      </c>
      <c r="B15" s="11">
        <v>3</v>
      </c>
      <c r="C15" s="11">
        <v>1</v>
      </c>
      <c r="D15" s="12">
        <v>43524</v>
      </c>
      <c r="E15" s="12">
        <v>43570</v>
      </c>
      <c r="F15" s="11" t="s">
        <v>15</v>
      </c>
      <c r="G15" s="11" t="s">
        <v>16</v>
      </c>
      <c r="H15" s="13">
        <f t="shared" ref="H15:H27" si="0">I15</f>
        <v>-4750</v>
      </c>
      <c r="I15" s="13">
        <f>-ROUND(SUM(I12:I14)*5%,2)</f>
        <v>-4750</v>
      </c>
      <c r="J15" s="21" t="s">
        <v>36</v>
      </c>
    </row>
    <row r="16" spans="1:10" x14ac:dyDescent="0.3">
      <c r="A16" s="43">
        <v>5</v>
      </c>
      <c r="B16" s="11">
        <v>4</v>
      </c>
      <c r="C16" s="11">
        <v>1</v>
      </c>
      <c r="D16" s="12">
        <v>43555</v>
      </c>
      <c r="E16" s="12">
        <v>43570</v>
      </c>
      <c r="F16" s="11" t="s">
        <v>15</v>
      </c>
      <c r="G16" s="11" t="s">
        <v>16</v>
      </c>
      <c r="H16" s="13">
        <f t="shared" si="0"/>
        <v>-4512.5</v>
      </c>
      <c r="I16" s="13">
        <f>-ROUND(SUM(I12:I15)*5%,2)</f>
        <v>-4512.5</v>
      </c>
      <c r="J16" s="21" t="s">
        <v>36</v>
      </c>
    </row>
    <row r="17" spans="1:10" x14ac:dyDescent="0.3">
      <c r="A17" s="43">
        <v>6</v>
      </c>
      <c r="B17" s="11">
        <v>5</v>
      </c>
      <c r="C17" s="11">
        <v>1</v>
      </c>
      <c r="D17" s="12">
        <v>43570</v>
      </c>
      <c r="E17" s="12">
        <v>43570</v>
      </c>
      <c r="F17" s="11" t="s">
        <v>18</v>
      </c>
      <c r="G17" s="11" t="s">
        <v>81</v>
      </c>
      <c r="H17" s="13">
        <f t="shared" si="0"/>
        <v>15000</v>
      </c>
      <c r="I17" s="13">
        <v>15000</v>
      </c>
      <c r="J17" s="21" t="s">
        <v>36</v>
      </c>
    </row>
    <row r="18" spans="1:10" x14ac:dyDescent="0.3">
      <c r="A18" s="11">
        <v>7</v>
      </c>
      <c r="B18" s="11">
        <v>6</v>
      </c>
      <c r="C18" s="11">
        <v>1</v>
      </c>
      <c r="D18" s="12">
        <v>43585</v>
      </c>
      <c r="E18" s="12">
        <v>43643</v>
      </c>
      <c r="F18" s="11" t="s">
        <v>15</v>
      </c>
      <c r="G18" s="11" t="s">
        <v>16</v>
      </c>
      <c r="H18" s="13">
        <f t="shared" si="0"/>
        <v>-5036.88</v>
      </c>
      <c r="I18" s="13">
        <f>-ROUND(SUM(I12:I17)*5%,2)</f>
        <v>-5036.88</v>
      </c>
      <c r="J18" s="21" t="s">
        <v>36</v>
      </c>
    </row>
    <row r="19" spans="1:10" x14ac:dyDescent="0.3">
      <c r="A19" s="11">
        <v>8</v>
      </c>
      <c r="B19" s="11">
        <v>7</v>
      </c>
      <c r="C19" s="11">
        <v>1</v>
      </c>
      <c r="D19" s="12">
        <v>43555</v>
      </c>
      <c r="E19" s="12">
        <v>43643</v>
      </c>
      <c r="F19" s="11" t="s">
        <v>15</v>
      </c>
      <c r="G19" s="11" t="s">
        <v>16</v>
      </c>
      <c r="H19" s="13">
        <f t="shared" si="0"/>
        <v>-4785.03</v>
      </c>
      <c r="I19" s="13">
        <f>-ROUND(SUM(I12:I18)*5%,2)</f>
        <v>-4785.03</v>
      </c>
      <c r="J19" s="21" t="s">
        <v>36</v>
      </c>
    </row>
    <row r="20" spans="1:10" x14ac:dyDescent="0.3">
      <c r="A20" s="11">
        <v>9</v>
      </c>
      <c r="B20" s="11">
        <v>8</v>
      </c>
      <c r="C20" s="11">
        <v>1</v>
      </c>
      <c r="D20" s="12">
        <v>43643</v>
      </c>
      <c r="E20" s="12">
        <v>43643</v>
      </c>
      <c r="F20" s="11" t="s">
        <v>21</v>
      </c>
      <c r="G20" s="11" t="s">
        <v>22</v>
      </c>
      <c r="H20" s="13">
        <f t="shared" si="0"/>
        <v>-10000</v>
      </c>
      <c r="I20" s="13">
        <v>-10000</v>
      </c>
      <c r="J20" s="21" t="s">
        <v>36</v>
      </c>
    </row>
    <row r="21" spans="1:10" x14ac:dyDescent="0.3">
      <c r="A21" s="11">
        <v>10</v>
      </c>
      <c r="B21" s="11">
        <v>9</v>
      </c>
      <c r="C21" s="11">
        <v>1</v>
      </c>
      <c r="D21" s="12">
        <v>43646</v>
      </c>
      <c r="E21" s="12">
        <v>43697</v>
      </c>
      <c r="F21" s="11" t="s">
        <v>15</v>
      </c>
      <c r="G21" s="11" t="s">
        <v>16</v>
      </c>
      <c r="H21" s="13">
        <f t="shared" si="0"/>
        <v>-4045.78</v>
      </c>
      <c r="I21" s="13">
        <f>-ROUND(SUM(I12:I20)*5%,2)</f>
        <v>-4045.78</v>
      </c>
      <c r="J21" s="21" t="s">
        <v>36</v>
      </c>
    </row>
    <row r="22" spans="1:10" x14ac:dyDescent="0.3">
      <c r="A22" s="11">
        <v>11</v>
      </c>
      <c r="B22" s="11">
        <v>10</v>
      </c>
      <c r="C22" s="11">
        <v>1</v>
      </c>
      <c r="D22" s="12">
        <v>43677</v>
      </c>
      <c r="E22" s="12">
        <v>43697</v>
      </c>
      <c r="F22" s="11" t="s">
        <v>15</v>
      </c>
      <c r="G22" s="11" t="s">
        <v>16</v>
      </c>
      <c r="H22" s="13">
        <f t="shared" si="0"/>
        <v>-3843.49</v>
      </c>
      <c r="I22" s="13">
        <f>-ROUND(SUM(I12:I21)*5%,2)</f>
        <v>-3843.49</v>
      </c>
      <c r="J22" s="21" t="s">
        <v>36</v>
      </c>
    </row>
    <row r="23" spans="1:10" x14ac:dyDescent="0.3">
      <c r="A23" s="11">
        <v>12</v>
      </c>
      <c r="B23" s="11">
        <v>11</v>
      </c>
      <c r="C23" s="11">
        <v>1</v>
      </c>
      <c r="D23" s="12">
        <v>43697</v>
      </c>
      <c r="E23" s="12">
        <v>43697</v>
      </c>
      <c r="F23" s="11" t="s">
        <v>31</v>
      </c>
      <c r="G23" s="11" t="s">
        <v>16</v>
      </c>
      <c r="H23" s="13">
        <f t="shared" si="0"/>
        <v>31973.68</v>
      </c>
      <c r="I23" s="13">
        <f>-SUMIFS(I12:I22,G12:G22,"=DEPRECIATION",I12:I22,"&lt;0")</f>
        <v>31973.68</v>
      </c>
      <c r="J23" s="21" t="s">
        <v>36</v>
      </c>
    </row>
    <row r="24" spans="1:10" x14ac:dyDescent="0.3">
      <c r="A24" s="11">
        <v>13</v>
      </c>
      <c r="B24" s="11">
        <v>11</v>
      </c>
      <c r="C24" s="11">
        <v>1</v>
      </c>
      <c r="D24" s="12">
        <v>43697</v>
      </c>
      <c r="E24" s="12">
        <v>43697</v>
      </c>
      <c r="F24" s="11" t="s">
        <v>31</v>
      </c>
      <c r="G24" s="11" t="s">
        <v>22</v>
      </c>
      <c r="H24" s="13">
        <f t="shared" si="0"/>
        <v>10000</v>
      </c>
      <c r="I24" s="13">
        <f>-SUMIFS(I12:I23,G12:G23,"=IMPAIRMENT",I12:I23,"&lt;0")</f>
        <v>10000</v>
      </c>
      <c r="J24" s="21" t="s">
        <v>36</v>
      </c>
    </row>
    <row r="25" spans="1:10" x14ac:dyDescent="0.3">
      <c r="A25" s="11">
        <v>14</v>
      </c>
      <c r="B25" s="11">
        <v>11</v>
      </c>
      <c r="C25" s="11">
        <v>1</v>
      </c>
      <c r="D25" s="12">
        <v>43697</v>
      </c>
      <c r="E25" s="12">
        <v>43697</v>
      </c>
      <c r="F25" s="11" t="s">
        <v>31</v>
      </c>
      <c r="G25" s="11" t="s">
        <v>81</v>
      </c>
      <c r="H25" s="13">
        <v>60000</v>
      </c>
      <c r="I25" s="13">
        <f>60000-SUM(I12:I24)</f>
        <v>-55000</v>
      </c>
      <c r="J25" s="21" t="s">
        <v>36</v>
      </c>
    </row>
    <row r="26" spans="1:10" x14ac:dyDescent="0.3">
      <c r="A26" s="9">
        <v>15</v>
      </c>
      <c r="B26" s="9">
        <v>12</v>
      </c>
      <c r="C26" s="9">
        <v>1</v>
      </c>
      <c r="D26" s="10">
        <v>43707</v>
      </c>
      <c r="E26" s="10">
        <v>43718</v>
      </c>
      <c r="F26" s="9" t="s">
        <v>15</v>
      </c>
      <c r="G26" s="9" t="s">
        <v>16</v>
      </c>
      <c r="H26" s="14">
        <f t="shared" si="0"/>
        <v>-3000</v>
      </c>
      <c r="I26" s="14">
        <f>-ROUND(SUM(I12:I25)*5%,2)</f>
        <v>-3000</v>
      </c>
      <c r="J26" s="15" t="s">
        <v>36</v>
      </c>
    </row>
    <row r="27" spans="1:10" x14ac:dyDescent="0.3">
      <c r="A27" s="9">
        <v>16</v>
      </c>
      <c r="B27" s="9">
        <v>13</v>
      </c>
      <c r="C27" s="9">
        <v>1</v>
      </c>
      <c r="D27" s="10">
        <v>43718</v>
      </c>
      <c r="E27" s="10">
        <v>43718</v>
      </c>
      <c r="F27" s="9" t="s">
        <v>34</v>
      </c>
      <c r="G27" s="9" t="s">
        <v>34</v>
      </c>
      <c r="H27" s="14">
        <f t="shared" si="0"/>
        <v>8000</v>
      </c>
      <c r="I27" s="14">
        <v>8000</v>
      </c>
      <c r="J27" s="15" t="s">
        <v>36</v>
      </c>
    </row>
    <row r="28" spans="1:10" ht="4.5" customHeight="1" x14ac:dyDescent="0.3">
      <c r="A28" s="63"/>
      <c r="B28" s="63"/>
      <c r="C28" s="63"/>
      <c r="D28" s="63"/>
      <c r="E28" s="63"/>
      <c r="F28" s="63"/>
      <c r="G28" s="63"/>
      <c r="H28" s="63"/>
      <c r="I28" s="63"/>
      <c r="J28" s="63"/>
    </row>
    <row r="30" spans="1:10" x14ac:dyDescent="0.3">
      <c r="B30" s="41" t="s">
        <v>91</v>
      </c>
    </row>
  </sheetData>
  <mergeCells count="6">
    <mergeCell ref="A10:J10"/>
    <mergeCell ref="A28:J28"/>
    <mergeCell ref="A1:F1"/>
    <mergeCell ref="A3:F3"/>
    <mergeCell ref="A5:F5"/>
    <mergeCell ref="A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66B7-92C5-4C3A-835A-5FB140552CCB}">
  <dimension ref="A1:K53"/>
  <sheetViews>
    <sheetView workbookViewId="0">
      <selection activeCell="H11" sqref="H11"/>
    </sheetView>
  </sheetViews>
  <sheetFormatPr defaultRowHeight="14.4" x14ac:dyDescent="0.3"/>
  <cols>
    <col min="1" max="1" width="9.33203125" customWidth="1"/>
    <col min="2" max="2" width="15.33203125" customWidth="1"/>
    <col min="3" max="3" width="13.88671875" customWidth="1"/>
    <col min="4" max="4" width="18.109375" customWidth="1"/>
    <col min="5" max="5" width="21.88671875" customWidth="1"/>
    <col min="6" max="6" width="30.109375" customWidth="1"/>
    <col min="7" max="8" width="19" customWidth="1"/>
    <col min="9" max="9" width="14.44140625" customWidth="1"/>
    <col min="10" max="10" width="18" customWidth="1"/>
  </cols>
  <sheetData>
    <row r="1" spans="1:10" ht="25.8" x14ac:dyDescent="0.5">
      <c r="A1" s="57" t="s">
        <v>37</v>
      </c>
      <c r="B1" s="57"/>
      <c r="C1" s="57"/>
      <c r="D1" s="57"/>
      <c r="E1" s="57"/>
      <c r="F1" s="57"/>
    </row>
    <row r="3" spans="1:10" x14ac:dyDescent="0.3">
      <c r="A3" s="65" t="s">
        <v>38</v>
      </c>
      <c r="B3" s="65"/>
      <c r="C3" s="65"/>
      <c r="D3" s="65"/>
      <c r="E3" s="65"/>
      <c r="F3" s="65"/>
    </row>
    <row r="4" spans="1:10" x14ac:dyDescent="0.3">
      <c r="A4" s="2"/>
      <c r="B4" s="2"/>
      <c r="C4" s="2"/>
      <c r="D4" s="2"/>
      <c r="E4" s="2"/>
      <c r="F4" s="2"/>
    </row>
    <row r="5" spans="1:10" ht="18" x14ac:dyDescent="0.35">
      <c r="A5" s="59" t="s">
        <v>3</v>
      </c>
      <c r="B5" s="59"/>
      <c r="C5" s="59"/>
      <c r="D5" s="59"/>
      <c r="E5" s="59"/>
      <c r="F5" s="59"/>
    </row>
    <row r="6" spans="1:10" x14ac:dyDescent="0.3">
      <c r="A6" s="3" t="s">
        <v>4</v>
      </c>
      <c r="B6" s="4" t="s">
        <v>9</v>
      </c>
      <c r="C6" s="3" t="s">
        <v>12</v>
      </c>
      <c r="D6" s="5"/>
      <c r="E6" s="5"/>
      <c r="F6" s="5"/>
    </row>
    <row r="7" spans="1:10" x14ac:dyDescent="0.3">
      <c r="A7" s="6">
        <v>1</v>
      </c>
      <c r="B7" s="7">
        <v>43475</v>
      </c>
      <c r="C7" s="9" t="s">
        <v>39</v>
      </c>
      <c r="D7" s="6"/>
      <c r="E7" s="6"/>
      <c r="F7" s="6"/>
    </row>
    <row r="8" spans="1:10" ht="4.5" customHeight="1" x14ac:dyDescent="0.3">
      <c r="A8" s="63"/>
      <c r="B8" s="63"/>
      <c r="C8" s="63"/>
      <c r="D8" s="63"/>
      <c r="E8" s="63"/>
      <c r="F8" s="63"/>
    </row>
    <row r="10" spans="1:10" ht="18" x14ac:dyDescent="0.35">
      <c r="A10" s="59" t="s">
        <v>11</v>
      </c>
      <c r="B10" s="59"/>
      <c r="C10" s="59"/>
      <c r="D10" s="59"/>
      <c r="E10" s="59"/>
      <c r="F10" s="59"/>
      <c r="G10" s="59"/>
      <c r="H10" s="59"/>
      <c r="I10" s="59"/>
      <c r="J10" s="59"/>
    </row>
    <row r="11" spans="1:10" x14ac:dyDescent="0.3">
      <c r="A11" s="4" t="s">
        <v>6</v>
      </c>
      <c r="B11" s="4" t="s">
        <v>1</v>
      </c>
      <c r="C11" s="4" t="s">
        <v>4</v>
      </c>
      <c r="D11" s="4" t="s">
        <v>0</v>
      </c>
      <c r="E11" s="4" t="s">
        <v>28</v>
      </c>
      <c r="F11" s="3" t="s">
        <v>2</v>
      </c>
      <c r="G11" s="4"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43">
        <v>3</v>
      </c>
      <c r="B14" s="11">
        <v>2</v>
      </c>
      <c r="C14" s="11">
        <v>1</v>
      </c>
      <c r="D14" s="12">
        <v>43496</v>
      </c>
      <c r="E14" s="12">
        <v>43496</v>
      </c>
      <c r="F14" s="11" t="s">
        <v>15</v>
      </c>
      <c r="G14" s="11" t="s">
        <v>16</v>
      </c>
      <c r="H14" s="13">
        <f>I14</f>
        <v>-5000</v>
      </c>
      <c r="I14" s="13">
        <f>-ROUND(SUM(I12:I13)*5%,2)</f>
        <v>-5000</v>
      </c>
      <c r="J14" s="21" t="s">
        <v>36</v>
      </c>
    </row>
    <row r="15" spans="1:10" x14ac:dyDescent="0.3">
      <c r="A15" s="43">
        <v>4</v>
      </c>
      <c r="B15" s="11">
        <v>3</v>
      </c>
      <c r="C15" s="11">
        <v>1</v>
      </c>
      <c r="D15" s="12">
        <v>43524</v>
      </c>
      <c r="E15" s="12">
        <v>43570</v>
      </c>
      <c r="F15" s="11" t="s">
        <v>15</v>
      </c>
      <c r="G15" s="11" t="s">
        <v>16</v>
      </c>
      <c r="H15" s="13">
        <f t="shared" ref="H15:H50" si="0">I15</f>
        <v>-4750</v>
      </c>
      <c r="I15" s="13">
        <f>-ROUND(SUM(I12:I14)*5%,2)</f>
        <v>-4750</v>
      </c>
      <c r="J15" s="21" t="s">
        <v>36</v>
      </c>
    </row>
    <row r="16" spans="1:10" x14ac:dyDescent="0.3">
      <c r="A16" s="43">
        <v>5</v>
      </c>
      <c r="B16" s="11">
        <v>4</v>
      </c>
      <c r="C16" s="11">
        <v>1</v>
      </c>
      <c r="D16" s="12">
        <v>43555</v>
      </c>
      <c r="E16" s="12">
        <v>43570</v>
      </c>
      <c r="F16" s="11" t="s">
        <v>15</v>
      </c>
      <c r="G16" s="11" t="s">
        <v>16</v>
      </c>
      <c r="H16" s="13">
        <f t="shared" si="0"/>
        <v>-4512.5</v>
      </c>
      <c r="I16" s="13">
        <f>-ROUND(SUM(I12:I15)*5%,2)</f>
        <v>-4512.5</v>
      </c>
      <c r="J16" s="21" t="s">
        <v>36</v>
      </c>
    </row>
    <row r="17" spans="1:10" x14ac:dyDescent="0.3">
      <c r="A17" s="43">
        <v>6</v>
      </c>
      <c r="B17" s="11">
        <v>5</v>
      </c>
      <c r="C17" s="11">
        <v>1</v>
      </c>
      <c r="D17" s="12">
        <v>43570</v>
      </c>
      <c r="E17" s="12">
        <v>43570</v>
      </c>
      <c r="F17" s="11" t="s">
        <v>18</v>
      </c>
      <c r="G17" s="11" t="s">
        <v>81</v>
      </c>
      <c r="H17" s="13">
        <f t="shared" si="0"/>
        <v>15000</v>
      </c>
      <c r="I17" s="13">
        <v>15000</v>
      </c>
      <c r="J17" s="21" t="s">
        <v>36</v>
      </c>
    </row>
    <row r="18" spans="1:10" x14ac:dyDescent="0.3">
      <c r="A18" s="11">
        <v>7</v>
      </c>
      <c r="B18" s="11">
        <v>6</v>
      </c>
      <c r="C18" s="11">
        <v>1</v>
      </c>
      <c r="D18" s="12">
        <v>43585</v>
      </c>
      <c r="E18" s="12">
        <v>43643</v>
      </c>
      <c r="F18" s="11" t="s">
        <v>15</v>
      </c>
      <c r="G18" s="11" t="s">
        <v>16</v>
      </c>
      <c r="H18" s="13">
        <f t="shared" si="0"/>
        <v>-5036.88</v>
      </c>
      <c r="I18" s="13">
        <f>-ROUND(SUM(I12:I17)*5%,2)</f>
        <v>-5036.88</v>
      </c>
      <c r="J18" s="21" t="s">
        <v>36</v>
      </c>
    </row>
    <row r="19" spans="1:10" x14ac:dyDescent="0.3">
      <c r="A19" s="11">
        <v>8</v>
      </c>
      <c r="B19" s="11">
        <v>7</v>
      </c>
      <c r="C19" s="11">
        <v>1</v>
      </c>
      <c r="D19" s="12">
        <v>43555</v>
      </c>
      <c r="E19" s="12">
        <v>43643</v>
      </c>
      <c r="F19" s="11" t="s">
        <v>15</v>
      </c>
      <c r="G19" s="11" t="s">
        <v>16</v>
      </c>
      <c r="H19" s="13">
        <f t="shared" si="0"/>
        <v>-4785.03</v>
      </c>
      <c r="I19" s="13">
        <f>-ROUND(SUM(I12:I18)*5%,2)</f>
        <v>-4785.03</v>
      </c>
      <c r="J19" s="21" t="s">
        <v>36</v>
      </c>
    </row>
    <row r="20" spans="1:10" x14ac:dyDescent="0.3">
      <c r="A20" s="11">
        <v>9</v>
      </c>
      <c r="B20" s="11">
        <v>8</v>
      </c>
      <c r="C20" s="11">
        <v>1</v>
      </c>
      <c r="D20" s="12">
        <v>43643</v>
      </c>
      <c r="E20" s="12">
        <v>43643</v>
      </c>
      <c r="F20" s="11" t="s">
        <v>21</v>
      </c>
      <c r="G20" s="11" t="s">
        <v>22</v>
      </c>
      <c r="H20" s="13">
        <f t="shared" si="0"/>
        <v>-10000</v>
      </c>
      <c r="I20" s="13">
        <v>-10000</v>
      </c>
      <c r="J20" s="21" t="s">
        <v>36</v>
      </c>
    </row>
    <row r="21" spans="1:10" x14ac:dyDescent="0.3">
      <c r="A21" s="11">
        <v>10</v>
      </c>
      <c r="B21" s="11">
        <v>9</v>
      </c>
      <c r="C21" s="11">
        <v>1</v>
      </c>
      <c r="D21" s="12">
        <v>43646</v>
      </c>
      <c r="E21" s="12">
        <v>43697</v>
      </c>
      <c r="F21" s="11" t="s">
        <v>15</v>
      </c>
      <c r="G21" s="11" t="s">
        <v>16</v>
      </c>
      <c r="H21" s="13">
        <f t="shared" si="0"/>
        <v>-4045.78</v>
      </c>
      <c r="I21" s="13">
        <f>-ROUND(SUM(I12:I20)*5%,2)</f>
        <v>-4045.78</v>
      </c>
      <c r="J21" s="21" t="s">
        <v>36</v>
      </c>
    </row>
    <row r="22" spans="1:10" x14ac:dyDescent="0.3">
      <c r="A22" s="11">
        <v>11</v>
      </c>
      <c r="B22" s="11">
        <v>10</v>
      </c>
      <c r="C22" s="11">
        <v>1</v>
      </c>
      <c r="D22" s="12">
        <v>43677</v>
      </c>
      <c r="E22" s="12">
        <v>43697</v>
      </c>
      <c r="F22" s="11" t="s">
        <v>15</v>
      </c>
      <c r="G22" s="11" t="s">
        <v>16</v>
      </c>
      <c r="H22" s="13">
        <f t="shared" si="0"/>
        <v>-3843.49</v>
      </c>
      <c r="I22" s="13">
        <f>-ROUND(SUM(I12:I21)*5%,2)</f>
        <v>-3843.49</v>
      </c>
      <c r="J22" s="21" t="s">
        <v>36</v>
      </c>
    </row>
    <row r="23" spans="1:10" x14ac:dyDescent="0.3">
      <c r="A23" s="11">
        <v>12</v>
      </c>
      <c r="B23" s="11">
        <v>11</v>
      </c>
      <c r="C23" s="11">
        <v>1</v>
      </c>
      <c r="D23" s="12">
        <v>43697</v>
      </c>
      <c r="E23" s="12">
        <v>43697</v>
      </c>
      <c r="F23" s="11" t="s">
        <v>31</v>
      </c>
      <c r="G23" s="11" t="s">
        <v>16</v>
      </c>
      <c r="H23" s="13">
        <f t="shared" si="0"/>
        <v>31973.68</v>
      </c>
      <c r="I23" s="13">
        <f>-SUMIFS(I12:I22,G12:G22,"=DEPRECIATION",I12:I22,"&lt;0")</f>
        <v>31973.68</v>
      </c>
      <c r="J23" s="21" t="s">
        <v>36</v>
      </c>
    </row>
    <row r="24" spans="1:10" x14ac:dyDescent="0.3">
      <c r="A24" s="11">
        <v>13</v>
      </c>
      <c r="B24" s="11">
        <v>11</v>
      </c>
      <c r="C24" s="11">
        <v>1</v>
      </c>
      <c r="D24" s="12">
        <v>43697</v>
      </c>
      <c r="E24" s="12">
        <v>43697</v>
      </c>
      <c r="F24" s="11" t="s">
        <v>31</v>
      </c>
      <c r="G24" s="11" t="s">
        <v>22</v>
      </c>
      <c r="H24" s="13">
        <f t="shared" si="0"/>
        <v>10000</v>
      </c>
      <c r="I24" s="13">
        <f>-SUMIFS(I12:I23,G12:G23,"=IMPAIRMENT",I12:I23,"&lt;0")</f>
        <v>10000</v>
      </c>
      <c r="J24" s="21" t="s">
        <v>36</v>
      </c>
    </row>
    <row r="25" spans="1:10" x14ac:dyDescent="0.3">
      <c r="A25" s="11">
        <v>14</v>
      </c>
      <c r="B25" s="11">
        <v>11</v>
      </c>
      <c r="C25" s="11">
        <v>1</v>
      </c>
      <c r="D25" s="12">
        <v>43697</v>
      </c>
      <c r="E25" s="12">
        <v>43697</v>
      </c>
      <c r="F25" s="11" t="s">
        <v>31</v>
      </c>
      <c r="G25" s="11" t="s">
        <v>81</v>
      </c>
      <c r="H25" s="13">
        <v>60000</v>
      </c>
      <c r="I25" s="13">
        <f>60000-SUM(I12:I24)</f>
        <v>-55000</v>
      </c>
      <c r="J25" s="21" t="s">
        <v>36</v>
      </c>
    </row>
    <row r="26" spans="1:10" x14ac:dyDescent="0.3">
      <c r="A26" s="11">
        <v>15</v>
      </c>
      <c r="B26" s="11">
        <v>12</v>
      </c>
      <c r="C26" s="11">
        <v>1</v>
      </c>
      <c r="D26" s="12">
        <v>43707</v>
      </c>
      <c r="E26" s="12">
        <v>43718</v>
      </c>
      <c r="F26" s="11" t="s">
        <v>15</v>
      </c>
      <c r="G26" s="11" t="s">
        <v>16</v>
      </c>
      <c r="H26" s="13">
        <f t="shared" si="0"/>
        <v>-3000</v>
      </c>
      <c r="I26" s="13">
        <f>-ROUND(SUM(I12:I25)*5%,2)</f>
        <v>-3000</v>
      </c>
      <c r="J26" s="21" t="s">
        <v>36</v>
      </c>
    </row>
    <row r="27" spans="1:10" x14ac:dyDescent="0.3">
      <c r="A27" s="11">
        <v>16</v>
      </c>
      <c r="B27" s="11">
        <v>13</v>
      </c>
      <c r="C27" s="11">
        <v>1</v>
      </c>
      <c r="D27" s="12">
        <v>43718</v>
      </c>
      <c r="E27" s="12">
        <v>43718</v>
      </c>
      <c r="F27" s="11" t="s">
        <v>34</v>
      </c>
      <c r="G27" s="11" t="s">
        <v>34</v>
      </c>
      <c r="H27" s="13">
        <f t="shared" si="0"/>
        <v>8000</v>
      </c>
      <c r="I27" s="13">
        <v>8000</v>
      </c>
      <c r="J27" s="21" t="s">
        <v>36</v>
      </c>
    </row>
    <row r="28" spans="1:10" x14ac:dyDescent="0.3">
      <c r="A28" s="9">
        <v>17</v>
      </c>
      <c r="B28" s="9">
        <v>14</v>
      </c>
      <c r="C28" s="9">
        <v>1</v>
      </c>
      <c r="D28" s="10">
        <v>43769</v>
      </c>
      <c r="E28" s="10">
        <v>43819</v>
      </c>
      <c r="F28" s="9" t="s">
        <v>15</v>
      </c>
      <c r="G28" s="9" t="s">
        <v>16</v>
      </c>
      <c r="H28" s="14">
        <f t="shared" si="0"/>
        <v>-2850</v>
      </c>
      <c r="I28" s="22">
        <f>-ROUND(SUM(I12:I26)*5%,2)</f>
        <v>-2850</v>
      </c>
      <c r="J28" s="15" t="s">
        <v>36</v>
      </c>
    </row>
    <row r="29" spans="1:10" x14ac:dyDescent="0.3">
      <c r="A29" s="9">
        <v>18</v>
      </c>
      <c r="B29" s="9">
        <v>15</v>
      </c>
      <c r="C29" s="9">
        <v>1</v>
      </c>
      <c r="D29" s="10">
        <v>43799</v>
      </c>
      <c r="E29" s="10">
        <v>43819</v>
      </c>
      <c r="F29" s="9" t="s">
        <v>15</v>
      </c>
      <c r="G29" s="9" t="s">
        <v>16</v>
      </c>
      <c r="H29" s="14">
        <f t="shared" si="0"/>
        <v>-2707.5</v>
      </c>
      <c r="I29" s="22">
        <f>-ROUND((SUM(I12:I28)-$I$27)*5%,2)</f>
        <v>-2707.5</v>
      </c>
      <c r="J29" s="15" t="s">
        <v>36</v>
      </c>
    </row>
    <row r="30" spans="1:10" x14ac:dyDescent="0.3">
      <c r="A30" s="9">
        <v>19</v>
      </c>
      <c r="B30" s="9">
        <v>14</v>
      </c>
      <c r="C30" s="9">
        <v>1</v>
      </c>
      <c r="D30" s="10">
        <v>43769</v>
      </c>
      <c r="E30" s="10">
        <v>43819</v>
      </c>
      <c r="F30" s="9" t="s">
        <v>84</v>
      </c>
      <c r="G30" s="9" t="s">
        <v>16</v>
      </c>
      <c r="H30" s="14">
        <f t="shared" si="0"/>
        <v>2850</v>
      </c>
      <c r="I30" s="22">
        <f>-I28</f>
        <v>2850</v>
      </c>
      <c r="J30" s="15" t="s">
        <v>36</v>
      </c>
    </row>
    <row r="31" spans="1:10" x14ac:dyDescent="0.3">
      <c r="A31" s="9">
        <v>20</v>
      </c>
      <c r="B31" s="9">
        <v>15</v>
      </c>
      <c r="C31" s="9">
        <v>1</v>
      </c>
      <c r="D31" s="10">
        <v>43799</v>
      </c>
      <c r="E31" s="10">
        <v>43819</v>
      </c>
      <c r="F31" s="9" t="s">
        <v>84</v>
      </c>
      <c r="G31" s="9" t="s">
        <v>16</v>
      </c>
      <c r="H31" s="14">
        <f t="shared" si="0"/>
        <v>2707.5</v>
      </c>
      <c r="I31" s="22">
        <f>-I29</f>
        <v>2707.5</v>
      </c>
      <c r="J31" s="15" t="s">
        <v>36</v>
      </c>
    </row>
    <row r="32" spans="1:10" x14ac:dyDescent="0.3">
      <c r="A32" s="9">
        <v>21</v>
      </c>
      <c r="B32" s="9">
        <v>13</v>
      </c>
      <c r="C32" s="9">
        <v>1</v>
      </c>
      <c r="D32" s="10">
        <v>43718</v>
      </c>
      <c r="E32" s="10">
        <v>43819</v>
      </c>
      <c r="F32" s="9" t="s">
        <v>85</v>
      </c>
      <c r="G32" s="9" t="s">
        <v>34</v>
      </c>
      <c r="H32" s="14">
        <f t="shared" si="0"/>
        <v>-8000</v>
      </c>
      <c r="I32" s="14">
        <v>-8000</v>
      </c>
      <c r="J32" s="15" t="s">
        <v>36</v>
      </c>
    </row>
    <row r="33" spans="1:11" x14ac:dyDescent="0.3">
      <c r="A33" s="9">
        <v>22</v>
      </c>
      <c r="B33" s="9">
        <v>12</v>
      </c>
      <c r="C33" s="9">
        <v>1</v>
      </c>
      <c r="D33" s="10">
        <v>43707</v>
      </c>
      <c r="E33" s="10">
        <v>43819</v>
      </c>
      <c r="F33" s="9" t="s">
        <v>84</v>
      </c>
      <c r="G33" s="9" t="s">
        <v>16</v>
      </c>
      <c r="H33" s="14">
        <f t="shared" si="0"/>
        <v>3000</v>
      </c>
      <c r="I33" s="14">
        <f>-I26</f>
        <v>3000</v>
      </c>
      <c r="J33" s="15" t="s">
        <v>36</v>
      </c>
    </row>
    <row r="34" spans="1:11" x14ac:dyDescent="0.3">
      <c r="A34" s="9">
        <v>23</v>
      </c>
      <c r="B34" s="9">
        <v>11</v>
      </c>
      <c r="C34" s="9">
        <v>1</v>
      </c>
      <c r="D34" s="10">
        <v>43697</v>
      </c>
      <c r="E34" s="10">
        <v>43819</v>
      </c>
      <c r="F34" s="9" t="s">
        <v>86</v>
      </c>
      <c r="G34" s="9" t="s">
        <v>81</v>
      </c>
      <c r="H34" s="14">
        <f t="shared" si="0"/>
        <v>55000</v>
      </c>
      <c r="I34" s="14">
        <f>-I25</f>
        <v>55000</v>
      </c>
      <c r="J34" s="15" t="s">
        <v>36</v>
      </c>
    </row>
    <row r="35" spans="1:11" x14ac:dyDescent="0.3">
      <c r="A35" s="9">
        <v>24</v>
      </c>
      <c r="B35" s="9">
        <v>11</v>
      </c>
      <c r="C35" s="9">
        <v>1</v>
      </c>
      <c r="D35" s="10">
        <v>43697</v>
      </c>
      <c r="E35" s="10">
        <v>43819</v>
      </c>
      <c r="F35" s="9" t="s">
        <v>86</v>
      </c>
      <c r="G35" s="9" t="s">
        <v>22</v>
      </c>
      <c r="H35" s="14">
        <f t="shared" si="0"/>
        <v>-10000</v>
      </c>
      <c r="I35" s="14">
        <f>-I24</f>
        <v>-10000</v>
      </c>
      <c r="J35" s="15" t="s">
        <v>36</v>
      </c>
    </row>
    <row r="36" spans="1:11" x14ac:dyDescent="0.3">
      <c r="A36" s="9">
        <v>25</v>
      </c>
      <c r="B36" s="9">
        <v>11</v>
      </c>
      <c r="C36" s="9">
        <v>1</v>
      </c>
      <c r="D36" s="10">
        <v>43697</v>
      </c>
      <c r="E36" s="10">
        <v>43819</v>
      </c>
      <c r="F36" s="9" t="s">
        <v>86</v>
      </c>
      <c r="G36" s="9" t="s">
        <v>16</v>
      </c>
      <c r="H36" s="14">
        <f t="shared" si="0"/>
        <v>-31973.68</v>
      </c>
      <c r="I36" s="14">
        <f>-I23</f>
        <v>-31973.68</v>
      </c>
      <c r="J36" s="15" t="s">
        <v>36</v>
      </c>
    </row>
    <row r="37" spans="1:11" x14ac:dyDescent="0.3">
      <c r="A37" s="9">
        <v>26</v>
      </c>
      <c r="B37" s="9">
        <v>10</v>
      </c>
      <c r="C37" s="9">
        <v>1</v>
      </c>
      <c r="D37" s="10">
        <v>43677</v>
      </c>
      <c r="E37" s="10">
        <v>43819</v>
      </c>
      <c r="F37" s="9" t="s">
        <v>84</v>
      </c>
      <c r="G37" s="9" t="s">
        <v>16</v>
      </c>
      <c r="H37" s="14">
        <f t="shared" si="0"/>
        <v>3843.49</v>
      </c>
      <c r="I37" s="14">
        <f>-I22</f>
        <v>3843.49</v>
      </c>
      <c r="J37" s="15" t="s">
        <v>36</v>
      </c>
    </row>
    <row r="38" spans="1:11" x14ac:dyDescent="0.3">
      <c r="A38" s="9">
        <v>27</v>
      </c>
      <c r="B38" s="9">
        <v>16</v>
      </c>
      <c r="C38" s="9">
        <v>1</v>
      </c>
      <c r="D38" s="10">
        <v>43647</v>
      </c>
      <c r="E38" s="10">
        <v>43819</v>
      </c>
      <c r="F38" s="9" t="s">
        <v>42</v>
      </c>
      <c r="G38" s="9" t="s">
        <v>22</v>
      </c>
      <c r="H38" s="14">
        <f t="shared" si="0"/>
        <v>10000</v>
      </c>
      <c r="I38" s="14">
        <f>-SUMIFS(I12:I37,G12:G37,"=IMPAIRMENT")</f>
        <v>10000</v>
      </c>
      <c r="J38" s="15" t="s">
        <v>36</v>
      </c>
    </row>
    <row r="39" spans="1:11" x14ac:dyDescent="0.3">
      <c r="A39" s="9">
        <v>28</v>
      </c>
      <c r="B39" s="9">
        <v>16</v>
      </c>
      <c r="C39" s="9">
        <v>1</v>
      </c>
      <c r="D39" s="10">
        <v>43647</v>
      </c>
      <c r="E39" s="10">
        <v>43819</v>
      </c>
      <c r="F39" s="9" t="s">
        <v>42</v>
      </c>
      <c r="G39" s="9" t="s">
        <v>16</v>
      </c>
      <c r="H39" s="14">
        <f t="shared" si="0"/>
        <v>28130.190000000002</v>
      </c>
      <c r="I39" s="14">
        <f>-SUMIFS(I12:I38,G12:G38,"=DEPRECIATION")</f>
        <v>28130.190000000002</v>
      </c>
      <c r="J39" s="15" t="s">
        <v>36</v>
      </c>
    </row>
    <row r="40" spans="1:11" x14ac:dyDescent="0.3">
      <c r="A40" s="9">
        <v>29</v>
      </c>
      <c r="B40" s="9">
        <v>16</v>
      </c>
      <c r="C40" s="9">
        <v>1</v>
      </c>
      <c r="D40" s="10">
        <v>43647</v>
      </c>
      <c r="E40" s="10">
        <v>43819</v>
      </c>
      <c r="F40" s="9" t="s">
        <v>42</v>
      </c>
      <c r="G40" s="9" t="s">
        <v>81</v>
      </c>
      <c r="H40" s="14">
        <f t="shared" si="0"/>
        <v>-115000</v>
      </c>
      <c r="I40" s="14">
        <f>-SUMIFS(I12:I39,G12:G39,"=COST")</f>
        <v>-115000</v>
      </c>
      <c r="J40" s="15" t="s">
        <v>36</v>
      </c>
    </row>
    <row r="41" spans="1:11" x14ac:dyDescent="0.3">
      <c r="A41" s="9">
        <v>30</v>
      </c>
      <c r="B41" s="9">
        <v>16</v>
      </c>
      <c r="C41" s="9">
        <v>1</v>
      </c>
      <c r="D41" s="10">
        <v>43647</v>
      </c>
      <c r="E41" s="10">
        <v>43819</v>
      </c>
      <c r="F41" s="9" t="s">
        <v>42</v>
      </c>
      <c r="G41" s="9" t="s">
        <v>81</v>
      </c>
      <c r="H41" s="14">
        <f t="shared" si="0"/>
        <v>115000</v>
      </c>
      <c r="I41" s="14">
        <f>SUMIFS(I12:I37,G12:G37,"=COST")</f>
        <v>115000</v>
      </c>
      <c r="J41" s="15" t="s">
        <v>39</v>
      </c>
      <c r="K41" t="s">
        <v>43</v>
      </c>
    </row>
    <row r="42" spans="1:11" x14ac:dyDescent="0.3">
      <c r="A42" s="9">
        <v>31</v>
      </c>
      <c r="B42" s="9">
        <v>16</v>
      </c>
      <c r="C42" s="9">
        <v>1</v>
      </c>
      <c r="D42" s="10">
        <v>43647</v>
      </c>
      <c r="E42" s="10">
        <v>43819</v>
      </c>
      <c r="F42" s="9" t="s">
        <v>42</v>
      </c>
      <c r="G42" s="9" t="s">
        <v>22</v>
      </c>
      <c r="H42" s="14">
        <f t="shared" si="0"/>
        <v>-10000</v>
      </c>
      <c r="I42" s="14">
        <f>SUMIFS(I12:I37,G12:G37,"=IMPAIRMENT")</f>
        <v>-10000</v>
      </c>
      <c r="J42" s="15" t="s">
        <v>39</v>
      </c>
    </row>
    <row r="43" spans="1:11" x14ac:dyDescent="0.3">
      <c r="A43" s="9">
        <v>32</v>
      </c>
      <c r="B43" s="9">
        <v>16</v>
      </c>
      <c r="C43" s="9">
        <v>1</v>
      </c>
      <c r="D43" s="10">
        <v>43647</v>
      </c>
      <c r="E43" s="10">
        <v>43819</v>
      </c>
      <c r="F43" s="9" t="s">
        <v>42</v>
      </c>
      <c r="G43" s="9" t="s">
        <v>16</v>
      </c>
      <c r="H43" s="14">
        <f t="shared" si="0"/>
        <v>-28130.190000000002</v>
      </c>
      <c r="I43" s="14">
        <f>SUMIFS(I12:I37,G12:G37,"=DEPRECIATION")</f>
        <v>-28130.190000000002</v>
      </c>
      <c r="J43" s="15" t="s">
        <v>39</v>
      </c>
    </row>
    <row r="44" spans="1:11" x14ac:dyDescent="0.3">
      <c r="A44" s="9">
        <v>33</v>
      </c>
      <c r="B44" s="9">
        <v>17</v>
      </c>
      <c r="C44" s="9">
        <v>1</v>
      </c>
      <c r="D44" s="10">
        <v>43677</v>
      </c>
      <c r="E44" s="10">
        <v>43819</v>
      </c>
      <c r="F44" s="9" t="s">
        <v>15</v>
      </c>
      <c r="G44" s="9" t="s">
        <v>16</v>
      </c>
      <c r="H44" s="14">
        <f t="shared" si="0"/>
        <v>-3843.49</v>
      </c>
      <c r="I44" s="14">
        <f>-ROUND(SUM(I41:I43)*5%,2)</f>
        <v>-3843.49</v>
      </c>
      <c r="J44" s="15" t="s">
        <v>39</v>
      </c>
    </row>
    <row r="45" spans="1:11" x14ac:dyDescent="0.3">
      <c r="A45" s="9">
        <v>34</v>
      </c>
      <c r="B45" s="9">
        <v>18</v>
      </c>
      <c r="C45" s="9">
        <v>1</v>
      </c>
      <c r="D45" s="10">
        <v>43697</v>
      </c>
      <c r="E45" s="10">
        <v>43819</v>
      </c>
      <c r="F45" s="9" t="s">
        <v>31</v>
      </c>
      <c r="G45" s="9" t="s">
        <v>16</v>
      </c>
      <c r="H45" s="14">
        <f t="shared" si="0"/>
        <v>31973.68</v>
      </c>
      <c r="I45" s="14">
        <f>-SUMIFS(I41:I44,G41:G44,"=DEPRECIATION",I41:I44,"&lt;0")</f>
        <v>31973.68</v>
      </c>
      <c r="J45" s="15" t="s">
        <v>39</v>
      </c>
    </row>
    <row r="46" spans="1:11" x14ac:dyDescent="0.3">
      <c r="A46" s="9">
        <v>35</v>
      </c>
      <c r="B46" s="9">
        <v>18</v>
      </c>
      <c r="C46" s="9">
        <v>1</v>
      </c>
      <c r="D46" s="10">
        <v>43697</v>
      </c>
      <c r="E46" s="10">
        <v>43819</v>
      </c>
      <c r="F46" s="9" t="s">
        <v>31</v>
      </c>
      <c r="G46" s="9" t="s">
        <v>22</v>
      </c>
      <c r="H46" s="14">
        <f t="shared" si="0"/>
        <v>10000</v>
      </c>
      <c r="I46" s="14">
        <f>-SUMIFS(I41:I44,G41:G44,"=IMPAIRMENT",I41:I44,"&lt;0")</f>
        <v>10000</v>
      </c>
      <c r="J46" s="15" t="s">
        <v>39</v>
      </c>
    </row>
    <row r="47" spans="1:11" x14ac:dyDescent="0.3">
      <c r="A47" s="9">
        <v>36</v>
      </c>
      <c r="B47" s="9">
        <v>18</v>
      </c>
      <c r="C47" s="9">
        <v>1</v>
      </c>
      <c r="D47" s="10">
        <v>43697</v>
      </c>
      <c r="E47" s="10">
        <v>43819</v>
      </c>
      <c r="F47" s="9" t="s">
        <v>31</v>
      </c>
      <c r="G47" s="9" t="s">
        <v>81</v>
      </c>
      <c r="H47" s="14">
        <v>60000</v>
      </c>
      <c r="I47" s="14">
        <f>60000-(SUM(I41:I46))</f>
        <v>-55000</v>
      </c>
      <c r="J47" s="15" t="s">
        <v>39</v>
      </c>
    </row>
    <row r="48" spans="1:11" x14ac:dyDescent="0.3">
      <c r="A48" s="9">
        <v>37</v>
      </c>
      <c r="B48" s="9">
        <v>19</v>
      </c>
      <c r="C48" s="9">
        <v>1</v>
      </c>
      <c r="D48" s="10">
        <v>43718</v>
      </c>
      <c r="E48" s="10">
        <v>43819</v>
      </c>
      <c r="F48" s="9" t="s">
        <v>34</v>
      </c>
      <c r="G48" s="9" t="s">
        <v>34</v>
      </c>
      <c r="H48" s="14">
        <f t="shared" si="0"/>
        <v>8000</v>
      </c>
      <c r="I48" s="14">
        <v>8000</v>
      </c>
      <c r="J48" s="15" t="s">
        <v>39</v>
      </c>
    </row>
    <row r="49" spans="1:11" x14ac:dyDescent="0.3">
      <c r="A49" s="9">
        <v>38</v>
      </c>
      <c r="B49" s="9">
        <v>20</v>
      </c>
      <c r="C49" s="9">
        <v>1</v>
      </c>
      <c r="D49" s="10">
        <v>43769</v>
      </c>
      <c r="E49" s="10">
        <v>43819</v>
      </c>
      <c r="F49" s="9" t="s">
        <v>15</v>
      </c>
      <c r="G49" s="9" t="s">
        <v>16</v>
      </c>
      <c r="H49" s="14">
        <f t="shared" si="0"/>
        <v>-3000</v>
      </c>
      <c r="I49" s="14">
        <f>-ROUND((SUM(I41:I48)-$I$48)*5%,2)</f>
        <v>-3000</v>
      </c>
      <c r="J49" s="15" t="s">
        <v>39</v>
      </c>
      <c r="K49" t="s">
        <v>47</v>
      </c>
    </row>
    <row r="50" spans="1:11" x14ac:dyDescent="0.3">
      <c r="A50" s="9">
        <v>39</v>
      </c>
      <c r="B50" s="9">
        <v>21</v>
      </c>
      <c r="C50" s="9">
        <v>1</v>
      </c>
      <c r="D50" s="10">
        <v>43799</v>
      </c>
      <c r="E50" s="10">
        <v>43819</v>
      </c>
      <c r="F50" s="9" t="s">
        <v>15</v>
      </c>
      <c r="G50" s="9" t="s">
        <v>16</v>
      </c>
      <c r="H50" s="14">
        <f t="shared" si="0"/>
        <v>-2850</v>
      </c>
      <c r="I50" s="14">
        <f>-ROUND((SUM(I41:I49)-$I$48)*5%,2)</f>
        <v>-2850</v>
      </c>
      <c r="J50" s="15" t="s">
        <v>39</v>
      </c>
    </row>
    <row r="51" spans="1:11" ht="4.5" customHeight="1" x14ac:dyDescent="0.3">
      <c r="A51" s="63"/>
      <c r="B51" s="63"/>
      <c r="C51" s="63"/>
      <c r="D51" s="63"/>
      <c r="E51" s="63"/>
      <c r="F51" s="63"/>
      <c r="G51" s="63"/>
      <c r="H51" s="63"/>
      <c r="I51" s="63"/>
      <c r="J51" s="63"/>
    </row>
    <row r="53" spans="1:11" x14ac:dyDescent="0.3">
      <c r="B53" s="41" t="s">
        <v>89</v>
      </c>
    </row>
  </sheetData>
  <mergeCells count="6">
    <mergeCell ref="A51:J51"/>
    <mergeCell ref="A1:F1"/>
    <mergeCell ref="A3:F3"/>
    <mergeCell ref="A5:F5"/>
    <mergeCell ref="A8:F8"/>
    <mergeCell ref="A10:J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4474-F03D-4016-9796-98A571A30A68}">
  <dimension ref="A1:K53"/>
  <sheetViews>
    <sheetView topLeftCell="A6" workbookViewId="0">
      <selection activeCell="D23" sqref="D23:F25"/>
    </sheetView>
  </sheetViews>
  <sheetFormatPr defaultRowHeight="14.4" x14ac:dyDescent="0.3"/>
  <cols>
    <col min="1" max="1" width="9.33203125" customWidth="1"/>
    <col min="2" max="2" width="15.33203125" customWidth="1"/>
    <col min="3" max="3" width="13.88671875" customWidth="1"/>
    <col min="4" max="4" width="18.109375" customWidth="1"/>
    <col min="5" max="5" width="21.88671875" customWidth="1"/>
    <col min="6" max="6" width="30.44140625" style="8" customWidth="1"/>
    <col min="7" max="7" width="19" style="8" customWidth="1"/>
    <col min="8" max="8" width="19" style="37" customWidth="1"/>
    <col min="9" max="9" width="14.44140625" customWidth="1"/>
    <col min="10" max="10" width="18" style="27" customWidth="1"/>
  </cols>
  <sheetData>
    <row r="1" spans="1:10" ht="25.8" x14ac:dyDescent="0.5">
      <c r="A1" s="57" t="s">
        <v>44</v>
      </c>
      <c r="B1" s="57"/>
      <c r="C1" s="57"/>
      <c r="D1" s="57"/>
      <c r="E1" s="57"/>
      <c r="F1" s="57"/>
    </row>
    <row r="3" spans="1:10" x14ac:dyDescent="0.3">
      <c r="A3" s="65" t="s">
        <v>45</v>
      </c>
      <c r="B3" s="65"/>
      <c r="C3" s="65"/>
      <c r="D3" s="65"/>
      <c r="E3" s="65"/>
      <c r="F3" s="65"/>
    </row>
    <row r="4" spans="1:10" x14ac:dyDescent="0.3">
      <c r="A4" s="8"/>
      <c r="B4" s="8"/>
      <c r="C4" s="8"/>
      <c r="D4" s="8"/>
      <c r="E4" s="8"/>
    </row>
    <row r="5" spans="1:10" ht="18" x14ac:dyDescent="0.35">
      <c r="A5" s="59" t="s">
        <v>3</v>
      </c>
      <c r="B5" s="59"/>
      <c r="C5" s="59"/>
      <c r="D5" s="59"/>
      <c r="E5" s="59"/>
      <c r="F5" s="59"/>
    </row>
    <row r="6" spans="1:10" x14ac:dyDescent="0.3">
      <c r="A6" s="3" t="s">
        <v>4</v>
      </c>
      <c r="B6" s="4" t="s">
        <v>9</v>
      </c>
      <c r="C6" s="3" t="s">
        <v>12</v>
      </c>
      <c r="D6" s="5"/>
      <c r="E6" s="5"/>
      <c r="F6" s="26"/>
    </row>
    <row r="7" spans="1:10" x14ac:dyDescent="0.3">
      <c r="A7" s="6">
        <v>1</v>
      </c>
      <c r="B7" s="7">
        <v>43475</v>
      </c>
      <c r="C7" s="6" t="s">
        <v>39</v>
      </c>
      <c r="D7" s="6"/>
      <c r="E7" s="6"/>
      <c r="F7" s="24"/>
    </row>
    <row r="8" spans="1:10" ht="4.5" customHeight="1" x14ac:dyDescent="0.3">
      <c r="A8" s="63"/>
      <c r="B8" s="63"/>
      <c r="C8" s="63"/>
      <c r="D8" s="63"/>
      <c r="E8" s="63"/>
      <c r="F8" s="63"/>
    </row>
    <row r="10" spans="1:10" ht="18" x14ac:dyDescent="0.35">
      <c r="A10" s="59" t="s">
        <v>11</v>
      </c>
      <c r="B10" s="59"/>
      <c r="C10" s="59"/>
      <c r="D10" s="59"/>
      <c r="E10" s="59"/>
      <c r="F10" s="59"/>
      <c r="G10" s="59"/>
      <c r="H10" s="59"/>
      <c r="I10" s="59"/>
      <c r="J10" s="59"/>
    </row>
    <row r="11" spans="1:10" x14ac:dyDescent="0.3">
      <c r="A11" s="4" t="s">
        <v>6</v>
      </c>
      <c r="B11" s="4" t="s">
        <v>1</v>
      </c>
      <c r="C11" s="4" t="s">
        <v>4</v>
      </c>
      <c r="D11" s="4" t="s">
        <v>0</v>
      </c>
      <c r="E11" s="4" t="s">
        <v>28</v>
      </c>
      <c r="F11" s="23" t="s">
        <v>2</v>
      </c>
      <c r="G11" s="23" t="s">
        <v>7</v>
      </c>
      <c r="H11" s="4" t="s">
        <v>87</v>
      </c>
      <c r="I11" s="4" t="s">
        <v>5</v>
      </c>
      <c r="J11" s="4" t="s">
        <v>12</v>
      </c>
    </row>
    <row r="12" spans="1:10" x14ac:dyDescent="0.3">
      <c r="A12" s="43">
        <v>1</v>
      </c>
      <c r="B12" s="43">
        <v>1</v>
      </c>
      <c r="C12" s="43">
        <v>1</v>
      </c>
      <c r="D12" s="12">
        <v>43475</v>
      </c>
      <c r="E12" s="12">
        <v>43475</v>
      </c>
      <c r="F12" s="11" t="s">
        <v>8</v>
      </c>
      <c r="G12" s="11" t="s">
        <v>81</v>
      </c>
      <c r="H12" s="21">
        <v>30000</v>
      </c>
      <c r="I12" s="21">
        <v>30000</v>
      </c>
      <c r="J12" s="21" t="s">
        <v>36</v>
      </c>
    </row>
    <row r="13" spans="1:10" x14ac:dyDescent="0.3">
      <c r="A13" s="43">
        <v>2</v>
      </c>
      <c r="B13" s="43">
        <v>1</v>
      </c>
      <c r="C13" s="43">
        <v>1</v>
      </c>
      <c r="D13" s="12">
        <v>43475</v>
      </c>
      <c r="E13" s="12">
        <v>43475</v>
      </c>
      <c r="F13" s="11" t="s">
        <v>77</v>
      </c>
      <c r="G13" s="11" t="s">
        <v>81</v>
      </c>
      <c r="H13" s="21">
        <v>70000</v>
      </c>
      <c r="I13" s="21">
        <v>70000</v>
      </c>
      <c r="J13" s="21" t="s">
        <v>36</v>
      </c>
    </row>
    <row r="14" spans="1:10" x14ac:dyDescent="0.3">
      <c r="A14" s="43">
        <v>3</v>
      </c>
      <c r="B14" s="11">
        <v>2</v>
      </c>
      <c r="C14" s="11">
        <v>1</v>
      </c>
      <c r="D14" s="12">
        <v>43496</v>
      </c>
      <c r="E14" s="12">
        <v>43496</v>
      </c>
      <c r="F14" s="11" t="s">
        <v>15</v>
      </c>
      <c r="G14" s="11" t="s">
        <v>16</v>
      </c>
      <c r="H14" s="13">
        <f>I14</f>
        <v>-5000</v>
      </c>
      <c r="I14" s="13">
        <f>-ROUND(SUM(I12:I13)*5%,2)</f>
        <v>-5000</v>
      </c>
      <c r="J14" s="21" t="s">
        <v>36</v>
      </c>
    </row>
    <row r="15" spans="1:10" x14ac:dyDescent="0.3">
      <c r="A15" s="43">
        <v>4</v>
      </c>
      <c r="B15" s="11">
        <v>3</v>
      </c>
      <c r="C15" s="11">
        <v>1</v>
      </c>
      <c r="D15" s="12">
        <v>43524</v>
      </c>
      <c r="E15" s="12">
        <v>43570</v>
      </c>
      <c r="F15" s="11" t="s">
        <v>15</v>
      </c>
      <c r="G15" s="11" t="s">
        <v>16</v>
      </c>
      <c r="H15" s="13">
        <f t="shared" ref="H15:H52" si="0">I15</f>
        <v>-4750</v>
      </c>
      <c r="I15" s="13">
        <f>-ROUND(SUM(I12:I14)*5%,2)</f>
        <v>-4750</v>
      </c>
      <c r="J15" s="21" t="s">
        <v>36</v>
      </c>
    </row>
    <row r="16" spans="1:10" x14ac:dyDescent="0.3">
      <c r="A16" s="43">
        <v>5</v>
      </c>
      <c r="B16" s="11">
        <v>4</v>
      </c>
      <c r="C16" s="11">
        <v>1</v>
      </c>
      <c r="D16" s="12">
        <v>43555</v>
      </c>
      <c r="E16" s="12">
        <v>43570</v>
      </c>
      <c r="F16" s="11" t="s">
        <v>15</v>
      </c>
      <c r="G16" s="11" t="s">
        <v>16</v>
      </c>
      <c r="H16" s="13">
        <f t="shared" si="0"/>
        <v>-4512.5</v>
      </c>
      <c r="I16" s="13">
        <f>-ROUND(SUM(I12:I15)*5%,2)</f>
        <v>-4512.5</v>
      </c>
      <c r="J16" s="21" t="s">
        <v>36</v>
      </c>
    </row>
    <row r="17" spans="1:10" x14ac:dyDescent="0.3">
      <c r="A17" s="43">
        <v>6</v>
      </c>
      <c r="B17" s="11">
        <v>5</v>
      </c>
      <c r="C17" s="11">
        <v>1</v>
      </c>
      <c r="D17" s="12">
        <v>43570</v>
      </c>
      <c r="E17" s="12">
        <v>43570</v>
      </c>
      <c r="F17" s="11" t="s">
        <v>18</v>
      </c>
      <c r="G17" s="11" t="s">
        <v>81</v>
      </c>
      <c r="H17" s="13">
        <f t="shared" si="0"/>
        <v>15000</v>
      </c>
      <c r="I17" s="13">
        <v>15000</v>
      </c>
      <c r="J17" s="21" t="s">
        <v>36</v>
      </c>
    </row>
    <row r="18" spans="1:10" x14ac:dyDescent="0.3">
      <c r="A18" s="11">
        <v>7</v>
      </c>
      <c r="B18" s="11">
        <v>6</v>
      </c>
      <c r="C18" s="11">
        <v>1</v>
      </c>
      <c r="D18" s="12">
        <v>43585</v>
      </c>
      <c r="E18" s="12">
        <v>43643</v>
      </c>
      <c r="F18" s="11" t="s">
        <v>15</v>
      </c>
      <c r="G18" s="11" t="s">
        <v>16</v>
      </c>
      <c r="H18" s="13">
        <f t="shared" si="0"/>
        <v>-5036.88</v>
      </c>
      <c r="I18" s="13">
        <f>-ROUND(SUM(I12:I17)*5%,2)</f>
        <v>-5036.88</v>
      </c>
      <c r="J18" s="21" t="s">
        <v>36</v>
      </c>
    </row>
    <row r="19" spans="1:10" x14ac:dyDescent="0.3">
      <c r="A19" s="11">
        <v>8</v>
      </c>
      <c r="B19" s="11">
        <v>7</v>
      </c>
      <c r="C19" s="11">
        <v>1</v>
      </c>
      <c r="D19" s="12">
        <v>43555</v>
      </c>
      <c r="E19" s="12">
        <v>43643</v>
      </c>
      <c r="F19" s="11" t="s">
        <v>15</v>
      </c>
      <c r="G19" s="11" t="s">
        <v>16</v>
      </c>
      <c r="H19" s="13">
        <f t="shared" si="0"/>
        <v>-4785.03</v>
      </c>
      <c r="I19" s="13">
        <f>-ROUND(SUM(I12:I18)*5%,2)</f>
        <v>-4785.03</v>
      </c>
      <c r="J19" s="21" t="s">
        <v>36</v>
      </c>
    </row>
    <row r="20" spans="1:10" x14ac:dyDescent="0.3">
      <c r="A20" s="11">
        <v>9</v>
      </c>
      <c r="B20" s="11">
        <v>8</v>
      </c>
      <c r="C20" s="11">
        <v>1</v>
      </c>
      <c r="D20" s="12">
        <v>43643</v>
      </c>
      <c r="E20" s="12">
        <v>43643</v>
      </c>
      <c r="F20" s="11" t="s">
        <v>21</v>
      </c>
      <c r="G20" s="11" t="s">
        <v>22</v>
      </c>
      <c r="H20" s="13">
        <f t="shared" si="0"/>
        <v>-10000</v>
      </c>
      <c r="I20" s="13">
        <v>-10000</v>
      </c>
      <c r="J20" s="21" t="s">
        <v>36</v>
      </c>
    </row>
    <row r="21" spans="1:10" x14ac:dyDescent="0.3">
      <c r="A21" s="11">
        <v>10</v>
      </c>
      <c r="B21" s="11">
        <v>9</v>
      </c>
      <c r="C21" s="11">
        <v>1</v>
      </c>
      <c r="D21" s="12">
        <v>43646</v>
      </c>
      <c r="E21" s="12">
        <v>43697</v>
      </c>
      <c r="F21" s="11" t="s">
        <v>15</v>
      </c>
      <c r="G21" s="11" t="s">
        <v>16</v>
      </c>
      <c r="H21" s="13">
        <f t="shared" si="0"/>
        <v>-4045.78</v>
      </c>
      <c r="I21" s="13">
        <f>-ROUND(SUM(I12:I20)*5%,2)</f>
        <v>-4045.78</v>
      </c>
      <c r="J21" s="21" t="s">
        <v>36</v>
      </c>
    </row>
    <row r="22" spans="1:10" x14ac:dyDescent="0.3">
      <c r="A22" s="11">
        <v>11</v>
      </c>
      <c r="B22" s="11">
        <v>10</v>
      </c>
      <c r="C22" s="11">
        <v>1</v>
      </c>
      <c r="D22" s="12">
        <v>43677</v>
      </c>
      <c r="E22" s="12">
        <v>43697</v>
      </c>
      <c r="F22" s="11" t="s">
        <v>15</v>
      </c>
      <c r="G22" s="11" t="s">
        <v>16</v>
      </c>
      <c r="H22" s="13">
        <f t="shared" si="0"/>
        <v>-3843.49</v>
      </c>
      <c r="I22" s="13">
        <f>-ROUND(SUM(I12:I21)*5%,2)</f>
        <v>-3843.49</v>
      </c>
      <c r="J22" s="21" t="s">
        <v>36</v>
      </c>
    </row>
    <row r="23" spans="1:10" x14ac:dyDescent="0.3">
      <c r="A23" s="11">
        <v>12</v>
      </c>
      <c r="B23" s="11">
        <v>11</v>
      </c>
      <c r="C23" s="11">
        <v>1</v>
      </c>
      <c r="D23" s="12">
        <v>43697</v>
      </c>
      <c r="E23" s="12">
        <v>43697</v>
      </c>
      <c r="F23" s="11" t="s">
        <v>31</v>
      </c>
      <c r="G23" s="11" t="s">
        <v>16</v>
      </c>
      <c r="H23" s="13">
        <f t="shared" si="0"/>
        <v>31973.68</v>
      </c>
      <c r="I23" s="13">
        <f>-SUMIFS(I12:I22,G12:G22,"=DEPRECIATION",I12:I22,"&lt;0")</f>
        <v>31973.68</v>
      </c>
      <c r="J23" s="21" t="s">
        <v>36</v>
      </c>
    </row>
    <row r="24" spans="1:10" x14ac:dyDescent="0.3">
      <c r="A24" s="11">
        <v>13</v>
      </c>
      <c r="B24" s="11">
        <v>11</v>
      </c>
      <c r="C24" s="11">
        <v>1</v>
      </c>
      <c r="D24" s="12">
        <v>43697</v>
      </c>
      <c r="E24" s="12">
        <v>43697</v>
      </c>
      <c r="F24" s="11" t="s">
        <v>31</v>
      </c>
      <c r="G24" s="11" t="s">
        <v>22</v>
      </c>
      <c r="H24" s="13">
        <f t="shared" si="0"/>
        <v>10000</v>
      </c>
      <c r="I24" s="13">
        <f>-SUMIFS(I12:I23,G12:G23,"=IMPAIRMENT",I12:I23,"&lt;0")</f>
        <v>10000</v>
      </c>
      <c r="J24" s="21" t="s">
        <v>36</v>
      </c>
    </row>
    <row r="25" spans="1:10" x14ac:dyDescent="0.3">
      <c r="A25" s="11">
        <v>14</v>
      </c>
      <c r="B25" s="11">
        <v>11</v>
      </c>
      <c r="C25" s="11">
        <v>1</v>
      </c>
      <c r="D25" s="12">
        <v>43697</v>
      </c>
      <c r="E25" s="12">
        <v>43697</v>
      </c>
      <c r="F25" s="11" t="s">
        <v>31</v>
      </c>
      <c r="G25" s="11" t="s">
        <v>81</v>
      </c>
      <c r="H25" s="13">
        <v>60000</v>
      </c>
      <c r="I25" s="13">
        <f>60000-SUM(I12:I24)</f>
        <v>-55000</v>
      </c>
      <c r="J25" s="21" t="s">
        <v>36</v>
      </c>
    </row>
    <row r="26" spans="1:10" x14ac:dyDescent="0.3">
      <c r="A26" s="11">
        <v>15</v>
      </c>
      <c r="B26" s="11">
        <v>12</v>
      </c>
      <c r="C26" s="11">
        <v>1</v>
      </c>
      <c r="D26" s="12">
        <v>43707</v>
      </c>
      <c r="E26" s="12">
        <v>43718</v>
      </c>
      <c r="F26" s="11" t="s">
        <v>15</v>
      </c>
      <c r="G26" s="11" t="s">
        <v>16</v>
      </c>
      <c r="H26" s="13">
        <f t="shared" si="0"/>
        <v>-3000</v>
      </c>
      <c r="I26" s="13">
        <f>-ROUND(SUM(I12:I25)*5%,2)</f>
        <v>-3000</v>
      </c>
      <c r="J26" s="21" t="s">
        <v>36</v>
      </c>
    </row>
    <row r="27" spans="1:10" x14ac:dyDescent="0.3">
      <c r="A27" s="11">
        <v>16</v>
      </c>
      <c r="B27" s="11">
        <v>13</v>
      </c>
      <c r="C27" s="11">
        <v>1</v>
      </c>
      <c r="D27" s="12">
        <v>43718</v>
      </c>
      <c r="E27" s="12">
        <v>43718</v>
      </c>
      <c r="F27" s="11" t="s">
        <v>34</v>
      </c>
      <c r="G27" s="11" t="s">
        <v>34</v>
      </c>
      <c r="H27" s="13">
        <f t="shared" si="0"/>
        <v>8000</v>
      </c>
      <c r="I27" s="13">
        <v>8000</v>
      </c>
      <c r="J27" s="21" t="s">
        <v>36</v>
      </c>
    </row>
    <row r="28" spans="1:10" x14ac:dyDescent="0.3">
      <c r="A28" s="11">
        <v>17</v>
      </c>
      <c r="B28" s="11">
        <v>14</v>
      </c>
      <c r="C28" s="11">
        <v>1</v>
      </c>
      <c r="D28" s="12">
        <v>43769</v>
      </c>
      <c r="E28" s="12">
        <v>43819</v>
      </c>
      <c r="F28" s="11" t="s">
        <v>15</v>
      </c>
      <c r="G28" s="11" t="s">
        <v>16</v>
      </c>
      <c r="H28" s="13">
        <f t="shared" si="0"/>
        <v>-2850</v>
      </c>
      <c r="I28" s="13">
        <f>-ROUND(SUM(I12:I26)*5%,2)</f>
        <v>-2850</v>
      </c>
      <c r="J28" s="21" t="s">
        <v>36</v>
      </c>
    </row>
    <row r="29" spans="1:10" x14ac:dyDescent="0.3">
      <c r="A29" s="11">
        <v>18</v>
      </c>
      <c r="B29" s="11">
        <v>15</v>
      </c>
      <c r="C29" s="11">
        <v>1</v>
      </c>
      <c r="D29" s="12">
        <v>43799</v>
      </c>
      <c r="E29" s="12">
        <v>43819</v>
      </c>
      <c r="F29" s="11" t="s">
        <v>15</v>
      </c>
      <c r="G29" s="11" t="s">
        <v>16</v>
      </c>
      <c r="H29" s="13">
        <f t="shared" si="0"/>
        <v>-2707.5</v>
      </c>
      <c r="I29" s="13">
        <f>-ROUND((SUM(I12:I28)-$I$27)*5%,2)</f>
        <v>-2707.5</v>
      </c>
      <c r="J29" s="21" t="s">
        <v>36</v>
      </c>
    </row>
    <row r="30" spans="1:10" x14ac:dyDescent="0.3">
      <c r="A30" s="11">
        <v>19</v>
      </c>
      <c r="B30" s="11">
        <v>14</v>
      </c>
      <c r="C30" s="11">
        <v>1</v>
      </c>
      <c r="D30" s="12">
        <v>43769</v>
      </c>
      <c r="E30" s="12">
        <v>43819</v>
      </c>
      <c r="F30" s="11" t="s">
        <v>84</v>
      </c>
      <c r="G30" s="11" t="s">
        <v>16</v>
      </c>
      <c r="H30" s="13">
        <f t="shared" si="0"/>
        <v>2850</v>
      </c>
      <c r="I30" s="13">
        <f>-I28</f>
        <v>2850</v>
      </c>
      <c r="J30" s="21" t="s">
        <v>36</v>
      </c>
    </row>
    <row r="31" spans="1:10" x14ac:dyDescent="0.3">
      <c r="A31" s="11">
        <v>20</v>
      </c>
      <c r="B31" s="11">
        <v>15</v>
      </c>
      <c r="C31" s="11">
        <v>1</v>
      </c>
      <c r="D31" s="12">
        <v>43799</v>
      </c>
      <c r="E31" s="12">
        <v>43819</v>
      </c>
      <c r="F31" s="11" t="s">
        <v>84</v>
      </c>
      <c r="G31" s="11" t="s">
        <v>16</v>
      </c>
      <c r="H31" s="13">
        <f t="shared" si="0"/>
        <v>2707.5</v>
      </c>
      <c r="I31" s="13">
        <f>-I29</f>
        <v>2707.5</v>
      </c>
      <c r="J31" s="21" t="s">
        <v>36</v>
      </c>
    </row>
    <row r="32" spans="1:10" x14ac:dyDescent="0.3">
      <c r="A32" s="11">
        <v>21</v>
      </c>
      <c r="B32" s="11">
        <v>13</v>
      </c>
      <c r="C32" s="11">
        <v>1</v>
      </c>
      <c r="D32" s="12">
        <v>43718</v>
      </c>
      <c r="E32" s="12">
        <v>43819</v>
      </c>
      <c r="F32" s="11" t="s">
        <v>85</v>
      </c>
      <c r="G32" s="11" t="s">
        <v>34</v>
      </c>
      <c r="H32" s="13">
        <f t="shared" si="0"/>
        <v>-8000</v>
      </c>
      <c r="I32" s="13">
        <v>-8000</v>
      </c>
      <c r="J32" s="21" t="s">
        <v>36</v>
      </c>
    </row>
    <row r="33" spans="1:11" x14ac:dyDescent="0.3">
      <c r="A33" s="11">
        <v>22</v>
      </c>
      <c r="B33" s="11">
        <v>12</v>
      </c>
      <c r="C33" s="11">
        <v>1</v>
      </c>
      <c r="D33" s="12">
        <v>43707</v>
      </c>
      <c r="E33" s="12">
        <v>43819</v>
      </c>
      <c r="F33" s="11" t="s">
        <v>84</v>
      </c>
      <c r="G33" s="11" t="s">
        <v>16</v>
      </c>
      <c r="H33" s="13">
        <f t="shared" si="0"/>
        <v>3000</v>
      </c>
      <c r="I33" s="13">
        <f>-I26</f>
        <v>3000</v>
      </c>
      <c r="J33" s="21" t="s">
        <v>36</v>
      </c>
    </row>
    <row r="34" spans="1:11" x14ac:dyDescent="0.3">
      <c r="A34" s="11">
        <v>23</v>
      </c>
      <c r="B34" s="11">
        <v>11</v>
      </c>
      <c r="C34" s="11">
        <v>1</v>
      </c>
      <c r="D34" s="12">
        <v>43697</v>
      </c>
      <c r="E34" s="12">
        <v>43819</v>
      </c>
      <c r="F34" s="11" t="s">
        <v>86</v>
      </c>
      <c r="G34" s="11" t="s">
        <v>81</v>
      </c>
      <c r="H34" s="13">
        <f t="shared" si="0"/>
        <v>55000</v>
      </c>
      <c r="I34" s="13">
        <f>-I25</f>
        <v>55000</v>
      </c>
      <c r="J34" s="21" t="s">
        <v>36</v>
      </c>
    </row>
    <row r="35" spans="1:11" x14ac:dyDescent="0.3">
      <c r="A35" s="11">
        <v>24</v>
      </c>
      <c r="B35" s="11">
        <v>11</v>
      </c>
      <c r="C35" s="11">
        <v>1</v>
      </c>
      <c r="D35" s="12">
        <v>43697</v>
      </c>
      <c r="E35" s="12">
        <v>43819</v>
      </c>
      <c r="F35" s="11" t="s">
        <v>86</v>
      </c>
      <c r="G35" s="11" t="s">
        <v>22</v>
      </c>
      <c r="H35" s="13">
        <f t="shared" si="0"/>
        <v>-10000</v>
      </c>
      <c r="I35" s="13">
        <f>-I24</f>
        <v>-10000</v>
      </c>
      <c r="J35" s="21" t="s">
        <v>36</v>
      </c>
    </row>
    <row r="36" spans="1:11" x14ac:dyDescent="0.3">
      <c r="A36" s="11">
        <v>25</v>
      </c>
      <c r="B36" s="11">
        <v>11</v>
      </c>
      <c r="C36" s="11">
        <v>1</v>
      </c>
      <c r="D36" s="12">
        <v>43697</v>
      </c>
      <c r="E36" s="12">
        <v>43819</v>
      </c>
      <c r="F36" s="11" t="s">
        <v>86</v>
      </c>
      <c r="G36" s="11" t="s">
        <v>16</v>
      </c>
      <c r="H36" s="13">
        <f t="shared" si="0"/>
        <v>-31973.68</v>
      </c>
      <c r="I36" s="13">
        <f>-I23</f>
        <v>-31973.68</v>
      </c>
      <c r="J36" s="21" t="s">
        <v>36</v>
      </c>
    </row>
    <row r="37" spans="1:11" x14ac:dyDescent="0.3">
      <c r="A37" s="11">
        <v>26</v>
      </c>
      <c r="B37" s="11">
        <v>10</v>
      </c>
      <c r="C37" s="11">
        <v>1</v>
      </c>
      <c r="D37" s="12">
        <v>43677</v>
      </c>
      <c r="E37" s="12">
        <v>43819</v>
      </c>
      <c r="F37" s="11" t="s">
        <v>84</v>
      </c>
      <c r="G37" s="11" t="s">
        <v>16</v>
      </c>
      <c r="H37" s="13">
        <f t="shared" si="0"/>
        <v>3843.49</v>
      </c>
      <c r="I37" s="13">
        <f>-I22</f>
        <v>3843.49</v>
      </c>
      <c r="J37" s="21" t="s">
        <v>36</v>
      </c>
    </row>
    <row r="38" spans="1:11" x14ac:dyDescent="0.3">
      <c r="A38" s="11">
        <v>27</v>
      </c>
      <c r="B38" s="11">
        <v>16</v>
      </c>
      <c r="C38" s="11">
        <v>1</v>
      </c>
      <c r="D38" s="12">
        <v>43647</v>
      </c>
      <c r="E38" s="12">
        <v>43819</v>
      </c>
      <c r="F38" s="11" t="s">
        <v>42</v>
      </c>
      <c r="G38" s="11" t="s">
        <v>22</v>
      </c>
      <c r="H38" s="13">
        <f t="shared" si="0"/>
        <v>10000</v>
      </c>
      <c r="I38" s="13">
        <f>-SUMIFS(I12:I37,G12:G37,"=IMPAIRMENT")</f>
        <v>10000</v>
      </c>
      <c r="J38" s="21" t="s">
        <v>36</v>
      </c>
    </row>
    <row r="39" spans="1:11" x14ac:dyDescent="0.3">
      <c r="A39" s="11">
        <v>28</v>
      </c>
      <c r="B39" s="11">
        <v>16</v>
      </c>
      <c r="C39" s="11">
        <v>1</v>
      </c>
      <c r="D39" s="12">
        <v>43647</v>
      </c>
      <c r="E39" s="12">
        <v>43819</v>
      </c>
      <c r="F39" s="11" t="s">
        <v>42</v>
      </c>
      <c r="G39" s="11" t="s">
        <v>16</v>
      </c>
      <c r="H39" s="13">
        <f t="shared" si="0"/>
        <v>28130.190000000002</v>
      </c>
      <c r="I39" s="13">
        <f>-SUMIFS(I12:I38,G12:G38,"=DEPRECIATION")</f>
        <v>28130.190000000002</v>
      </c>
      <c r="J39" s="21" t="s">
        <v>36</v>
      </c>
    </row>
    <row r="40" spans="1:11" x14ac:dyDescent="0.3">
      <c r="A40" s="11">
        <v>29</v>
      </c>
      <c r="B40" s="11">
        <v>16</v>
      </c>
      <c r="C40" s="11">
        <v>1</v>
      </c>
      <c r="D40" s="12">
        <v>43647</v>
      </c>
      <c r="E40" s="12">
        <v>43819</v>
      </c>
      <c r="F40" s="11" t="s">
        <v>42</v>
      </c>
      <c r="G40" s="11" t="s">
        <v>81</v>
      </c>
      <c r="H40" s="13">
        <f t="shared" si="0"/>
        <v>-115000</v>
      </c>
      <c r="I40" s="13">
        <f>-SUMIFS(I12:I39,G12:G39,"=COST")</f>
        <v>-115000</v>
      </c>
      <c r="J40" s="21" t="s">
        <v>36</v>
      </c>
    </row>
    <row r="41" spans="1:11" x14ac:dyDescent="0.3">
      <c r="A41" s="11">
        <v>30</v>
      </c>
      <c r="B41" s="11">
        <v>16</v>
      </c>
      <c r="C41" s="11">
        <v>1</v>
      </c>
      <c r="D41" s="12">
        <v>43647</v>
      </c>
      <c r="E41" s="12">
        <v>43819</v>
      </c>
      <c r="F41" s="11" t="s">
        <v>42</v>
      </c>
      <c r="G41" s="11" t="s">
        <v>81</v>
      </c>
      <c r="H41" s="13">
        <f t="shared" si="0"/>
        <v>115000</v>
      </c>
      <c r="I41" s="13">
        <f>SUMIFS(I12:I37,G12:G37,"=COST")</f>
        <v>115000</v>
      </c>
      <c r="J41" s="21" t="s">
        <v>39</v>
      </c>
    </row>
    <row r="42" spans="1:11" x14ac:dyDescent="0.3">
      <c r="A42" s="11">
        <v>31</v>
      </c>
      <c r="B42" s="11">
        <v>16</v>
      </c>
      <c r="C42" s="11">
        <v>1</v>
      </c>
      <c r="D42" s="12">
        <v>43647</v>
      </c>
      <c r="E42" s="12">
        <v>43819</v>
      </c>
      <c r="F42" s="11" t="s">
        <v>42</v>
      </c>
      <c r="G42" s="11" t="s">
        <v>22</v>
      </c>
      <c r="H42" s="13">
        <f t="shared" si="0"/>
        <v>-10000</v>
      </c>
      <c r="I42" s="13">
        <f>SUMIFS(I12:I37,G12:G37,"=IMPAIRMENT")</f>
        <v>-10000</v>
      </c>
      <c r="J42" s="21" t="s">
        <v>39</v>
      </c>
    </row>
    <row r="43" spans="1:11" x14ac:dyDescent="0.3">
      <c r="A43" s="11">
        <v>32</v>
      </c>
      <c r="B43" s="11">
        <v>16</v>
      </c>
      <c r="C43" s="11">
        <v>1</v>
      </c>
      <c r="D43" s="12">
        <v>43647</v>
      </c>
      <c r="E43" s="12">
        <v>43819</v>
      </c>
      <c r="F43" s="11" t="s">
        <v>42</v>
      </c>
      <c r="G43" s="11" t="s">
        <v>16</v>
      </c>
      <c r="H43" s="13">
        <f t="shared" si="0"/>
        <v>-28130.190000000002</v>
      </c>
      <c r="I43" s="13">
        <f>SUMIFS(I12:I37,G12:G37,"=DEPRECIATION")</f>
        <v>-28130.190000000002</v>
      </c>
      <c r="J43" s="21" t="s">
        <v>39</v>
      </c>
      <c r="K43" t="s">
        <v>43</v>
      </c>
    </row>
    <row r="44" spans="1:11" x14ac:dyDescent="0.3">
      <c r="A44" s="11">
        <v>33</v>
      </c>
      <c r="B44" s="11">
        <v>17</v>
      </c>
      <c r="C44" s="11">
        <v>1</v>
      </c>
      <c r="D44" s="12">
        <v>43677</v>
      </c>
      <c r="E44" s="12">
        <v>43819</v>
      </c>
      <c r="F44" s="11" t="s">
        <v>15</v>
      </c>
      <c r="G44" s="11" t="s">
        <v>16</v>
      </c>
      <c r="H44" s="13">
        <f t="shared" si="0"/>
        <v>-3843.49</v>
      </c>
      <c r="I44" s="13">
        <f>-ROUND(SUM(I41:I43)*5%,2)</f>
        <v>-3843.49</v>
      </c>
      <c r="J44" s="21" t="s">
        <v>39</v>
      </c>
    </row>
    <row r="45" spans="1:11" x14ac:dyDescent="0.3">
      <c r="A45" s="11">
        <v>34</v>
      </c>
      <c r="B45" s="11">
        <v>18</v>
      </c>
      <c r="C45" s="11">
        <v>1</v>
      </c>
      <c r="D45" s="12">
        <v>43697</v>
      </c>
      <c r="E45" s="12">
        <v>43819</v>
      </c>
      <c r="F45" s="11" t="s">
        <v>31</v>
      </c>
      <c r="G45" s="11" t="s">
        <v>16</v>
      </c>
      <c r="H45" s="13">
        <f t="shared" si="0"/>
        <v>31973.68</v>
      </c>
      <c r="I45" s="13">
        <f>-SUMIFS(I41:I44,G41:G44,"=DEPRECIATION",I41:I44,"&lt;0")</f>
        <v>31973.68</v>
      </c>
      <c r="J45" s="21" t="s">
        <v>39</v>
      </c>
    </row>
    <row r="46" spans="1:11" x14ac:dyDescent="0.3">
      <c r="A46" s="11">
        <v>35</v>
      </c>
      <c r="B46" s="11">
        <v>18</v>
      </c>
      <c r="C46" s="11">
        <v>1</v>
      </c>
      <c r="D46" s="12">
        <v>43697</v>
      </c>
      <c r="E46" s="12">
        <v>43819</v>
      </c>
      <c r="F46" s="11" t="s">
        <v>31</v>
      </c>
      <c r="G46" s="11" t="s">
        <v>22</v>
      </c>
      <c r="H46" s="13">
        <f t="shared" si="0"/>
        <v>10000</v>
      </c>
      <c r="I46" s="13">
        <f>-SUMIFS(I41:I44,G41:G44,"=IMPAIRMENT",I41:I44,"&lt;0")</f>
        <v>10000</v>
      </c>
      <c r="J46" s="21" t="s">
        <v>39</v>
      </c>
    </row>
    <row r="47" spans="1:11" x14ac:dyDescent="0.3">
      <c r="A47" s="11">
        <v>36</v>
      </c>
      <c r="B47" s="11">
        <v>18</v>
      </c>
      <c r="C47" s="11">
        <v>1</v>
      </c>
      <c r="D47" s="12">
        <v>43697</v>
      </c>
      <c r="E47" s="12">
        <v>43819</v>
      </c>
      <c r="F47" s="11" t="s">
        <v>31</v>
      </c>
      <c r="G47" s="11" t="s">
        <v>81</v>
      </c>
      <c r="H47" s="13">
        <v>60000</v>
      </c>
      <c r="I47" s="13">
        <f>60000-(SUM(I41:I46))</f>
        <v>-55000</v>
      </c>
      <c r="J47" s="21" t="s">
        <v>39</v>
      </c>
    </row>
    <row r="48" spans="1:11" x14ac:dyDescent="0.3">
      <c r="A48" s="11">
        <v>37</v>
      </c>
      <c r="B48" s="11">
        <v>19</v>
      </c>
      <c r="C48" s="11">
        <v>1</v>
      </c>
      <c r="D48" s="12">
        <v>43718</v>
      </c>
      <c r="E48" s="12">
        <v>43819</v>
      </c>
      <c r="F48" s="11" t="s">
        <v>34</v>
      </c>
      <c r="G48" s="11" t="s">
        <v>34</v>
      </c>
      <c r="H48" s="13">
        <f t="shared" si="0"/>
        <v>8000</v>
      </c>
      <c r="I48" s="13">
        <v>8000</v>
      </c>
      <c r="J48" s="21" t="s">
        <v>39</v>
      </c>
    </row>
    <row r="49" spans="1:11" x14ac:dyDescent="0.3">
      <c r="A49" s="11">
        <v>38</v>
      </c>
      <c r="B49" s="11">
        <v>20</v>
      </c>
      <c r="C49" s="11">
        <v>1</v>
      </c>
      <c r="D49" s="12">
        <v>43769</v>
      </c>
      <c r="E49" s="12">
        <v>43819</v>
      </c>
      <c r="F49" s="11" t="s">
        <v>15</v>
      </c>
      <c r="G49" s="11" t="s">
        <v>16</v>
      </c>
      <c r="H49" s="13">
        <f t="shared" si="0"/>
        <v>-3000</v>
      </c>
      <c r="I49" s="13">
        <f>-ROUND((SUM(I41:I48)-$I$48)*5%,2)</f>
        <v>-3000</v>
      </c>
      <c r="J49" s="21" t="s">
        <v>39</v>
      </c>
      <c r="K49" t="s">
        <v>47</v>
      </c>
    </row>
    <row r="50" spans="1:11" x14ac:dyDescent="0.3">
      <c r="A50" s="11">
        <v>39</v>
      </c>
      <c r="B50" s="11">
        <v>21</v>
      </c>
      <c r="C50" s="11">
        <v>1</v>
      </c>
      <c r="D50" s="12">
        <v>43799</v>
      </c>
      <c r="E50" s="12">
        <v>43819</v>
      </c>
      <c r="F50" s="11" t="s">
        <v>15</v>
      </c>
      <c r="G50" s="11" t="s">
        <v>16</v>
      </c>
      <c r="H50" s="13">
        <f t="shared" si="0"/>
        <v>-2850</v>
      </c>
      <c r="I50" s="13">
        <f>-ROUND((SUM(I41:I49)-$I$48)*5%,2)</f>
        <v>-2850</v>
      </c>
      <c r="J50" s="21" t="s">
        <v>39</v>
      </c>
    </row>
    <row r="51" spans="1:11" x14ac:dyDescent="0.3">
      <c r="A51" s="9">
        <v>27</v>
      </c>
      <c r="B51" s="9">
        <v>21</v>
      </c>
      <c r="C51" s="9">
        <v>1</v>
      </c>
      <c r="D51" s="10">
        <v>43835</v>
      </c>
      <c r="E51" s="10">
        <v>43835</v>
      </c>
      <c r="F51" s="25" t="s">
        <v>46</v>
      </c>
      <c r="G51" s="25" t="s">
        <v>81</v>
      </c>
      <c r="H51" s="14">
        <f t="shared" si="0"/>
        <v>-60000</v>
      </c>
      <c r="I51" s="14">
        <f>-SUMIFS(I41:I50,G41:G50,"=COST")</f>
        <v>-60000</v>
      </c>
      <c r="J51" s="15" t="s">
        <v>39</v>
      </c>
    </row>
    <row r="52" spans="1:11" x14ac:dyDescent="0.3">
      <c r="A52" s="9">
        <v>28</v>
      </c>
      <c r="B52" s="9">
        <v>21</v>
      </c>
      <c r="C52" s="9">
        <v>1</v>
      </c>
      <c r="D52" s="10">
        <v>43835</v>
      </c>
      <c r="E52" s="10">
        <v>43835</v>
      </c>
      <c r="F52" s="25" t="s">
        <v>46</v>
      </c>
      <c r="G52" s="25" t="s">
        <v>16</v>
      </c>
      <c r="H52" s="14">
        <f t="shared" si="0"/>
        <v>5850</v>
      </c>
      <c r="I52" s="14">
        <f>-SUMIFS(I41:I51,$G$41:$G$51,"=DEPRECIATION")</f>
        <v>5850</v>
      </c>
      <c r="J52" s="15" t="s">
        <v>39</v>
      </c>
    </row>
    <row r="53" spans="1:11" ht="4.5" customHeight="1" x14ac:dyDescent="0.3">
      <c r="A53" s="63"/>
      <c r="B53" s="63"/>
      <c r="C53" s="63"/>
      <c r="D53" s="63"/>
      <c r="E53" s="63"/>
      <c r="F53" s="63"/>
      <c r="G53" s="63"/>
      <c r="H53" s="63"/>
      <c r="I53" s="63"/>
      <c r="J53" s="63"/>
    </row>
  </sheetData>
  <mergeCells count="6">
    <mergeCell ref="A53:J53"/>
    <mergeCell ref="A1:F1"/>
    <mergeCell ref="A3:F3"/>
    <mergeCell ref="A5:F5"/>
    <mergeCell ref="A8:F8"/>
    <mergeCell ref="A10: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10.01.2019 - Addition</vt:lpstr>
      <vt:lpstr>31.01.2019 - Depreciate</vt:lpstr>
      <vt:lpstr>15.04.2019 - Upgrade</vt:lpstr>
      <vt:lpstr>27.06.2019 - Impair</vt:lpstr>
      <vt:lpstr>20.08.2019 - Revaluation</vt:lpstr>
      <vt:lpstr>10.09.2019 - Maintenance</vt:lpstr>
      <vt:lpstr>20.12.2019 - Reclassification</vt:lpstr>
      <vt:lpstr>05.01.2020 - Derecognition</vt:lpstr>
      <vt:lpstr>AFS 18_19</vt:lpstr>
      <vt:lpstr>AFS 19_20</vt:lpstr>
      <vt:lpstr>FinSummaries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 Louw</dc:creator>
  <cp:lastModifiedBy>Rudi Louw</cp:lastModifiedBy>
  <cp:lastPrinted>2019-01-28T12:10:36Z</cp:lastPrinted>
  <dcterms:created xsi:type="dcterms:W3CDTF">2019-01-28T12:02:20Z</dcterms:created>
  <dcterms:modified xsi:type="dcterms:W3CDTF">2019-07-30T11:31:16Z</dcterms:modified>
</cp:coreProperties>
</file>