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sers\john\Documents\GitHub\KSP-kOS-Scripts\"/>
    </mc:Choice>
  </mc:AlternateContent>
  <xr:revisionPtr revIDLastSave="0" documentId="8_{50365CA2-4C18-47A3-B863-62EB44450F73}" xr6:coauthVersionLast="45" xr6:coauthVersionMax="45" xr10:uidLastSave="{00000000-0000-0000-0000-000000000000}"/>
  <bookViews>
    <workbookView xWindow="4905" yWindow="1665" windowWidth="21600" windowHeight="12735" activeTab="1" xr2:uid="{197DCF4E-5A32-46B3-B7A1-5A1E7B720D62}"/>
  </bookViews>
  <sheets>
    <sheet name="Sheet1" sheetId="1" r:id="rId1"/>
    <sheet name="Curtis" sheetId="3" r:id="rId2"/>
    <sheet name="delta-v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2" l="1"/>
  <c r="B4" i="2"/>
  <c r="B5" i="2" s="1"/>
  <c r="B3" i="2"/>
  <c r="B11" i="2" s="1"/>
  <c r="B12" i="2" s="1"/>
  <c r="B14" i="2" s="1"/>
  <c r="B15" i="2" s="1"/>
  <c r="B13" i="2" l="1"/>
  <c r="B16" i="2"/>
  <c r="B13" i="1"/>
  <c r="C13" i="1" s="1"/>
  <c r="B3" i="1"/>
  <c r="C12" i="1"/>
  <c r="C30" i="1"/>
  <c r="B30" i="1"/>
  <c r="B6" i="1"/>
  <c r="B5" i="1"/>
  <c r="B10" i="1"/>
  <c r="B17" i="2" l="1"/>
  <c r="B19" i="2" s="1"/>
  <c r="B18" i="2"/>
  <c r="B20" i="2" s="1"/>
  <c r="B17" i="1"/>
  <c r="B20" i="1" s="1"/>
  <c r="C20" i="1" s="1"/>
  <c r="E15" i="1"/>
  <c r="D8" i="1"/>
  <c r="B4" i="1"/>
  <c r="E11" i="1" s="1"/>
  <c r="E8" i="1"/>
  <c r="D11" i="1"/>
  <c r="B21" i="2" l="1"/>
  <c r="C11" i="1"/>
  <c r="B8" i="1"/>
  <c r="B11" i="1"/>
  <c r="B25" i="1"/>
  <c r="D15" i="1" l="1"/>
  <c r="B15" i="1" s="1"/>
  <c r="B16" i="1"/>
  <c r="B22" i="1" s="1"/>
  <c r="B23" i="1" l="1"/>
  <c r="E29" i="1" s="1"/>
  <c r="B18" i="1"/>
  <c r="E25" i="1"/>
  <c r="E26" i="1"/>
  <c r="B24" i="1" l="1"/>
  <c r="F27" i="1" s="1"/>
  <c r="B19" i="1"/>
  <c r="C19" i="1" s="1"/>
  <c r="G35" i="1" s="1"/>
  <c r="F25" i="1" l="1"/>
  <c r="F26" i="1"/>
  <c r="C26" i="1" s="1"/>
  <c r="E28" i="1" s="1"/>
  <c r="E27" i="1"/>
  <c r="C27" i="1" s="1"/>
  <c r="B34" i="1"/>
  <c r="G29" i="1" l="1"/>
  <c r="B27" i="1"/>
  <c r="F28" i="1"/>
  <c r="C28" i="1" s="1"/>
  <c r="B28" i="1" s="1"/>
  <c r="B26" i="1"/>
  <c r="B36" i="1"/>
  <c r="E35" i="1"/>
  <c r="F35" i="1"/>
  <c r="F29" i="1" l="1"/>
  <c r="B29" i="1" s="1"/>
  <c r="C31" i="1" s="1"/>
  <c r="B31" i="1" s="1"/>
  <c r="C35" i="1"/>
  <c r="B35" i="1" l="1"/>
  <c r="B37" i="1"/>
  <c r="B38" i="1" l="1"/>
  <c r="B39" i="1"/>
  <c r="B40" i="1" l="1"/>
  <c r="B41" i="1" l="1"/>
  <c r="B42" i="1"/>
</calcChain>
</file>

<file path=xl/sharedStrings.xml><?xml version="1.0" encoding="utf-8"?>
<sst xmlns="http://schemas.openxmlformats.org/spreadsheetml/2006/main" count="57" uniqueCount="45">
  <si>
    <t>r0</t>
  </si>
  <si>
    <t>v0</t>
  </si>
  <si>
    <t>phi0</t>
  </si>
  <si>
    <t>altitude(r0)</t>
  </si>
  <si>
    <t>rm</t>
  </si>
  <si>
    <t>a</t>
  </si>
  <si>
    <t>E</t>
  </si>
  <si>
    <t>GM</t>
  </si>
  <si>
    <t>h</t>
  </si>
  <si>
    <t>RS</t>
  </si>
  <si>
    <t>r1</t>
  </si>
  <si>
    <t>v1</t>
  </si>
  <si>
    <t>phi1</t>
  </si>
  <si>
    <t>gamma1</t>
  </si>
  <si>
    <t>vm</t>
  </si>
  <si>
    <t>v2</t>
  </si>
  <si>
    <t>epsilon2</t>
  </si>
  <si>
    <t>lambda1</t>
  </si>
  <si>
    <t>p</t>
  </si>
  <si>
    <t>e</t>
  </si>
  <si>
    <t>rp</t>
  </si>
  <si>
    <t>vp</t>
  </si>
  <si>
    <t>nu0</t>
  </si>
  <si>
    <t>nu1</t>
  </si>
  <si>
    <t>EcA0</t>
  </si>
  <si>
    <t>EcA1</t>
  </si>
  <si>
    <t>t1-t0</t>
  </si>
  <si>
    <t>wm</t>
  </si>
  <si>
    <t>gamma0</t>
  </si>
  <si>
    <t>delta-r</t>
  </si>
  <si>
    <t>delta-phi</t>
  </si>
  <si>
    <t>hp</t>
  </si>
  <si>
    <t>altitude(rc)</t>
  </si>
  <si>
    <t>rc</t>
  </si>
  <si>
    <t>Kerbin Circular Orbit</t>
  </si>
  <si>
    <t>vc</t>
  </si>
  <si>
    <t>Hohman Transfer</t>
  </si>
  <si>
    <t>ra</t>
  </si>
  <si>
    <t>T(s)</t>
  </si>
  <si>
    <t>tF</t>
  </si>
  <si>
    <t>h(m^2/s)</t>
  </si>
  <si>
    <t>va</t>
  </si>
  <si>
    <t>dvp</t>
  </si>
  <si>
    <t>dva</t>
  </si>
  <si>
    <t>dvtotal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</si>
</sst>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3CF8-9162-4E24-964C-94AB8E8046DD}">
  <dimension ref="A2:G42"/>
  <sheetViews>
    <sheetView zoomScaleNormal="100" workbookViewId="0">
      <selection activeCell="B3" sqref="B3"/>
    </sheetView>
  </sheetViews>
  <sheetFormatPr defaultRowHeight="15" x14ac:dyDescent="0.25"/>
  <cols>
    <col min="1" max="1" width="11.85546875" customWidth="1"/>
    <col min="2" max="2" width="16.42578125" bestFit="1" customWidth="1"/>
    <col min="3" max="6" width="11.85546875" bestFit="1" customWidth="1"/>
    <col min="7" max="7" width="10.85546875" bestFit="1" customWidth="1"/>
  </cols>
  <sheetData>
    <row r="2" spans="1:5" x14ac:dyDescent="0.25">
      <c r="A2" t="s">
        <v>3</v>
      </c>
      <c r="B2">
        <v>200000</v>
      </c>
    </row>
    <row r="3" spans="1:5" x14ac:dyDescent="0.25">
      <c r="A3" t="s">
        <v>4</v>
      </c>
      <c r="B3">
        <f>12000000+E40</f>
        <v>12000000</v>
      </c>
      <c r="C3">
        <v>1200000</v>
      </c>
    </row>
    <row r="4" spans="1:5" x14ac:dyDescent="0.25">
      <c r="A4" t="s">
        <v>5</v>
      </c>
      <c r="B4">
        <f>(B3+B10)/2</f>
        <v>6400000</v>
      </c>
    </row>
    <row r="5" spans="1:5" x14ac:dyDescent="0.25">
      <c r="A5" t="s">
        <v>7</v>
      </c>
      <c r="B5" s="2">
        <f>3.5316*10^12</f>
        <v>3531600000000</v>
      </c>
    </row>
    <row r="6" spans="1:5" x14ac:dyDescent="0.25">
      <c r="A6" t="s">
        <v>9</v>
      </c>
      <c r="B6" s="1">
        <f>2429559.1</f>
        <v>2429559.1</v>
      </c>
    </row>
    <row r="7" spans="1:5" x14ac:dyDescent="0.25">
      <c r="A7" t="s">
        <v>14</v>
      </c>
      <c r="B7">
        <v>543</v>
      </c>
    </row>
    <row r="8" spans="1:5" x14ac:dyDescent="0.25">
      <c r="A8" t="s">
        <v>19</v>
      </c>
      <c r="B8">
        <f>D8/E8</f>
        <v>0.875</v>
      </c>
      <c r="D8">
        <f>B3-B10</f>
        <v>11200000</v>
      </c>
      <c r="E8">
        <f>B3+B10</f>
        <v>12800000</v>
      </c>
    </row>
    <row r="10" spans="1:5" x14ac:dyDescent="0.25">
      <c r="A10" t="s">
        <v>0</v>
      </c>
      <c r="B10">
        <f>600000+B2</f>
        <v>800000</v>
      </c>
    </row>
    <row r="11" spans="1:5" x14ac:dyDescent="0.25">
      <c r="A11" t="s">
        <v>1</v>
      </c>
      <c r="B11">
        <f>SQRT(B5*(2/B10-1/B4))</f>
        <v>2877.0101668224952</v>
      </c>
      <c r="C11">
        <f>SQRT(B5*(D11-E11))</f>
        <v>2877.0101668224952</v>
      </c>
      <c r="D11">
        <f>2/B10</f>
        <v>2.5000000000000002E-6</v>
      </c>
      <c r="E11">
        <f>1/B4</f>
        <v>1.5625000000000001E-7</v>
      </c>
    </row>
    <row r="12" spans="1:5" x14ac:dyDescent="0.25">
      <c r="A12" t="s">
        <v>2</v>
      </c>
      <c r="B12">
        <v>0</v>
      </c>
      <c r="C12">
        <f>RADIANS(B12)</f>
        <v>0</v>
      </c>
    </row>
    <row r="13" spans="1:5" x14ac:dyDescent="0.25">
      <c r="A13" t="s">
        <v>17</v>
      </c>
      <c r="B13">
        <f>0+F40+G40*0.01</f>
        <v>33</v>
      </c>
      <c r="C13">
        <f>RADIANS(B13)</f>
        <v>0.57595865315812877</v>
      </c>
    </row>
    <row r="15" spans="1:5" x14ac:dyDescent="0.25">
      <c r="A15" t="s">
        <v>6</v>
      </c>
      <c r="B15" s="2">
        <f>D15-E15</f>
        <v>-275906.24999999907</v>
      </c>
      <c r="D15">
        <f>B11^2/2</f>
        <v>4138593.7500000009</v>
      </c>
      <c r="E15" s="2">
        <f>B5/B10</f>
        <v>4414500</v>
      </c>
    </row>
    <row r="16" spans="1:5" x14ac:dyDescent="0.25">
      <c r="A16" t="s">
        <v>8</v>
      </c>
      <c r="B16">
        <f>B10*B11*COS(C12)</f>
        <v>2301608133.4579964</v>
      </c>
    </row>
    <row r="17" spans="1:7" x14ac:dyDescent="0.25">
      <c r="A17" t="s">
        <v>10</v>
      </c>
      <c r="B17">
        <f>SQRT(B3^2+B6^2-2*B3*B6*COS(C13))</f>
        <v>10049893.749403397</v>
      </c>
    </row>
    <row r="18" spans="1:7" x14ac:dyDescent="0.25">
      <c r="A18" t="s">
        <v>11</v>
      </c>
      <c r="B18">
        <f>SQRT(2*(B15+B5/B17))</f>
        <v>388.5883431501141</v>
      </c>
    </row>
    <row r="19" spans="1:7" x14ac:dyDescent="0.25">
      <c r="A19" t="s">
        <v>12</v>
      </c>
      <c r="B19">
        <f>DEGREES(ACOS(B16/(B17*B18)))</f>
        <v>53.888444278408862</v>
      </c>
      <c r="C19">
        <f>RADIANS(B19)</f>
        <v>0.94053078143573443</v>
      </c>
    </row>
    <row r="20" spans="1:7" x14ac:dyDescent="0.25">
      <c r="A20" t="s">
        <v>13</v>
      </c>
      <c r="B20">
        <f>DEGREES(ASIN(B6/B17*SIN(RADIANS(B13))))</f>
        <v>7.5658943304634159</v>
      </c>
      <c r="C20">
        <f>RADIANS(B20)</f>
        <v>0.13204976692455853</v>
      </c>
    </row>
    <row r="22" spans="1:7" x14ac:dyDescent="0.25">
      <c r="A22" t="s">
        <v>18</v>
      </c>
      <c r="B22" s="2">
        <f>B16^2/B5</f>
        <v>1500000.0000000005</v>
      </c>
    </row>
    <row r="23" spans="1:7" x14ac:dyDescent="0.25">
      <c r="A23" t="s">
        <v>5</v>
      </c>
      <c r="B23" s="2">
        <f>(-B5)/(2*B15)</f>
        <v>6400000.0000000214</v>
      </c>
    </row>
    <row r="24" spans="1:7" x14ac:dyDescent="0.25">
      <c r="A24" t="s">
        <v>19</v>
      </c>
      <c r="B24" s="3">
        <f>SQRT(1-B22/B23)</f>
        <v>0.87500000000000033</v>
      </c>
    </row>
    <row r="25" spans="1:7" x14ac:dyDescent="0.25">
      <c r="A25" t="s">
        <v>22</v>
      </c>
      <c r="B25">
        <f>DEGREES(C25)</f>
        <v>0</v>
      </c>
      <c r="C25">
        <v>0</v>
      </c>
      <c r="D25" s="2"/>
      <c r="E25" s="2">
        <f>B22-B10</f>
        <v>700000.00000000047</v>
      </c>
      <c r="F25">
        <f>B10*B24</f>
        <v>700000.00000000023</v>
      </c>
    </row>
    <row r="26" spans="1:7" x14ac:dyDescent="0.25">
      <c r="A26" t="s">
        <v>23</v>
      </c>
      <c r="B26">
        <f>DEGREES(C26)</f>
        <v>166.47786139909167</v>
      </c>
      <c r="C26">
        <f>ACOS(E26/F26)</f>
        <v>2.9055868130929232</v>
      </c>
      <c r="E26" s="2">
        <f>B22-B17</f>
        <v>-8549893.7494033966</v>
      </c>
      <c r="F26">
        <f>B17*B24</f>
        <v>8793657.0307279751</v>
      </c>
    </row>
    <row r="27" spans="1:7" x14ac:dyDescent="0.25">
      <c r="A27" t="s">
        <v>24</v>
      </c>
      <c r="B27" s="3">
        <f>DEGREES(C27)</f>
        <v>0</v>
      </c>
      <c r="C27">
        <f>ACOS(E27/F27)</f>
        <v>0</v>
      </c>
      <c r="E27">
        <f>B24+COS(C25)</f>
        <v>1.8750000000000004</v>
      </c>
      <c r="F27">
        <f>1+B24*COS(C25)</f>
        <v>1.8750000000000004</v>
      </c>
    </row>
    <row r="28" spans="1:7" x14ac:dyDescent="0.25">
      <c r="A28" t="s">
        <v>25</v>
      </c>
      <c r="B28" s="3">
        <f>DEGREES(C28)</f>
        <v>130.67493938976017</v>
      </c>
      <c r="C28">
        <f>ACOS(E28/F28)</f>
        <v>2.2807079421953445</v>
      </c>
      <c r="E28">
        <f>B24+COS(C26)</f>
        <v>-9.7279646514210172E-2</v>
      </c>
      <c r="F28">
        <f>1+B24*COS(C26)</f>
        <v>0.14925530930006548</v>
      </c>
    </row>
    <row r="29" spans="1:7" x14ac:dyDescent="0.25">
      <c r="A29" t="s">
        <v>26</v>
      </c>
      <c r="B29">
        <f>E29*(F29-G29)</f>
        <v>13932.165927750561</v>
      </c>
      <c r="E29">
        <f>SQRT(B23^3/B5)</f>
        <v>8615.573800041042</v>
      </c>
      <c r="F29">
        <f>C28-B24*SIN(C28)</f>
        <v>1.6170908927370795</v>
      </c>
      <c r="G29">
        <f>C27-B24*SIN(C27)</f>
        <v>0</v>
      </c>
    </row>
    <row r="30" spans="1:7" x14ac:dyDescent="0.25">
      <c r="A30" t="s">
        <v>27</v>
      </c>
      <c r="B30">
        <f>360/138984</f>
        <v>2.5902262130892764E-3</v>
      </c>
      <c r="C30">
        <f>RADIANS(B30)</f>
        <v>4.5207975789872118E-5</v>
      </c>
    </row>
    <row r="31" spans="1:7" x14ac:dyDescent="0.25">
      <c r="A31" t="s">
        <v>28</v>
      </c>
      <c r="B31">
        <f>DEGREES(C31)</f>
        <v>122.82450567745948</v>
      </c>
      <c r="C31">
        <f>C26-C25-C20-C30*B29</f>
        <v>2.1436920262061365</v>
      </c>
    </row>
    <row r="34" spans="1:7" x14ac:dyDescent="0.25">
      <c r="A34" t="s">
        <v>15</v>
      </c>
      <c r="B34">
        <f>SQRT(B18^2+B7^2-2*B18*B7*COS(C19-C20))</f>
        <v>392.95397656353782</v>
      </c>
    </row>
    <row r="35" spans="1:7" x14ac:dyDescent="0.25">
      <c r="A35" t="s">
        <v>16</v>
      </c>
      <c r="B35">
        <f>DEGREES(C35)</f>
        <v>11.340082041390456</v>
      </c>
      <c r="C35">
        <f>ASIN(E35-F35*G35)</f>
        <v>0.19792176906854334</v>
      </c>
      <c r="E35">
        <f>B7/B34*COS(C13)</f>
        <v>1.1589095557116234</v>
      </c>
      <c r="F35">
        <f>B18/B34</f>
        <v>0.98889021698774482</v>
      </c>
      <c r="G35">
        <f>COS(C13+C20-C19)</f>
        <v>0.97308825653989295</v>
      </c>
    </row>
    <row r="36" spans="1:7" x14ac:dyDescent="0.25">
      <c r="A36" t="s">
        <v>6</v>
      </c>
      <c r="B36">
        <f>B34^2/2-65138398000/B6</f>
        <v>50395.624187165304</v>
      </c>
    </row>
    <row r="37" spans="1:7" x14ac:dyDescent="0.25">
      <c r="A37" t="s">
        <v>8</v>
      </c>
      <c r="B37">
        <f>B6*B34*SIN(C35)</f>
        <v>187725629.88222003</v>
      </c>
    </row>
    <row r="38" spans="1:7" x14ac:dyDescent="0.25">
      <c r="A38" t="s">
        <v>18</v>
      </c>
      <c r="B38">
        <f>B37^2/65138398000</f>
        <v>541015.94753184228</v>
      </c>
    </row>
    <row r="39" spans="1:7" x14ac:dyDescent="0.25">
      <c r="A39" t="s">
        <v>19</v>
      </c>
      <c r="B39">
        <f>SQRT(1+((2*B36*B37^2)/65138398000^2))</f>
        <v>1.3554097583534386</v>
      </c>
      <c r="E39" t="s">
        <v>29</v>
      </c>
      <c r="F39" t="s">
        <v>30</v>
      </c>
    </row>
    <row r="40" spans="1:7" x14ac:dyDescent="0.25">
      <c r="A40" t="s">
        <v>20</v>
      </c>
      <c r="B40">
        <f>B38/(1+B39)</f>
        <v>229690.79822019686</v>
      </c>
      <c r="F40">
        <v>33</v>
      </c>
      <c r="G40">
        <v>0</v>
      </c>
    </row>
    <row r="41" spans="1:7" x14ac:dyDescent="0.25">
      <c r="A41" t="s">
        <v>21</v>
      </c>
      <c r="B41">
        <f>SQRT(2*(B36+(65138398000/B40)))</f>
        <v>817.29712873501251</v>
      </c>
    </row>
    <row r="42" spans="1:7" x14ac:dyDescent="0.25">
      <c r="A42" t="s">
        <v>31</v>
      </c>
      <c r="B42">
        <f>B40-200000</f>
        <v>29690.798220196855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6341-4E62-4C84-A20E-56127F01F3EF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524C-6CD3-4AD0-9120-4B8AC1D26F66}">
  <dimension ref="A1:C21"/>
  <sheetViews>
    <sheetView workbookViewId="0">
      <selection activeCell="B9" sqref="B9"/>
    </sheetView>
  </sheetViews>
  <sheetFormatPr defaultRowHeight="15" x14ac:dyDescent="0.25"/>
  <sheetData>
    <row r="1" spans="1:3" x14ac:dyDescent="0.25">
      <c r="A1" t="s">
        <v>34</v>
      </c>
    </row>
    <row r="2" spans="1:3" x14ac:dyDescent="0.25">
      <c r="A2" t="s">
        <v>32</v>
      </c>
      <c r="B2">
        <v>100000</v>
      </c>
    </row>
    <row r="3" spans="1:3" x14ac:dyDescent="0.25">
      <c r="A3" t="s">
        <v>33</v>
      </c>
      <c r="B3">
        <f>600000+B2</f>
        <v>700000</v>
      </c>
    </row>
    <row r="4" spans="1:3" x14ac:dyDescent="0.25">
      <c r="A4" t="s">
        <v>7</v>
      </c>
      <c r="B4" s="2">
        <f>3.5316*10^12</f>
        <v>3531600000000</v>
      </c>
    </row>
    <row r="5" spans="1:3" x14ac:dyDescent="0.25">
      <c r="A5" t="s">
        <v>35</v>
      </c>
      <c r="B5">
        <f>SQRT(B4/B3)</f>
        <v>2246.1395453405958</v>
      </c>
    </row>
    <row r="6" spans="1:3" x14ac:dyDescent="0.25">
      <c r="A6" t="s">
        <v>14</v>
      </c>
      <c r="B6">
        <v>543</v>
      </c>
    </row>
    <row r="9" spans="1:3" x14ac:dyDescent="0.25">
      <c r="B9" t="s">
        <v>36</v>
      </c>
    </row>
    <row r="10" spans="1:3" x14ac:dyDescent="0.25">
      <c r="A10" t="s">
        <v>37</v>
      </c>
      <c r="B10">
        <f>12000000+E48</f>
        <v>12000000</v>
      </c>
    </row>
    <row r="11" spans="1:3" x14ac:dyDescent="0.25">
      <c r="A11" t="s">
        <v>20</v>
      </c>
      <c r="B11">
        <f>B3</f>
        <v>700000</v>
      </c>
    </row>
    <row r="12" spans="1:3" x14ac:dyDescent="0.25">
      <c r="A12" t="s">
        <v>5</v>
      </c>
      <c r="B12">
        <f>(B11+B10)/2</f>
        <v>6350000</v>
      </c>
    </row>
    <row r="13" spans="1:3" x14ac:dyDescent="0.25">
      <c r="A13" t="s">
        <v>19</v>
      </c>
      <c r="B13">
        <f>(B10-B11)/(B10+B11)</f>
        <v>0.88976377952755903</v>
      </c>
    </row>
    <row r="14" spans="1:3" x14ac:dyDescent="0.25">
      <c r="A14" t="s">
        <v>38</v>
      </c>
      <c r="B14" s="2">
        <f>2*PI()*SQRT(B12^3)/SQRT(B4)</f>
        <v>53500.113358147821</v>
      </c>
    </row>
    <row r="15" spans="1:3" x14ac:dyDescent="0.25">
      <c r="A15" t="s">
        <v>39</v>
      </c>
      <c r="B15" s="2">
        <f>B14/2</f>
        <v>26750.05667907391</v>
      </c>
    </row>
    <row r="16" spans="1:3" x14ac:dyDescent="0.25">
      <c r="A16" t="s">
        <v>40</v>
      </c>
      <c r="B16" s="2">
        <f>SQRT(2*B4)*SQRT((B10*B11)/(B10+B11))</f>
        <v>2161416858.1385841</v>
      </c>
      <c r="C16" s="2"/>
    </row>
    <row r="17" spans="1:2" x14ac:dyDescent="0.25">
      <c r="A17" t="s">
        <v>21</v>
      </c>
      <c r="B17" s="1">
        <f>B16/B11</f>
        <v>3087.738368769406</v>
      </c>
    </row>
    <row r="18" spans="1:2" x14ac:dyDescent="0.25">
      <c r="A18" t="s">
        <v>41</v>
      </c>
      <c r="B18" s="1">
        <f>B16/B10</f>
        <v>180.11807151154869</v>
      </c>
    </row>
    <row r="19" spans="1:2" x14ac:dyDescent="0.25">
      <c r="A19" t="s">
        <v>42</v>
      </c>
      <c r="B19" s="1">
        <f>B17-B5</f>
        <v>841.59882342881019</v>
      </c>
    </row>
    <row r="20" spans="1:2" x14ac:dyDescent="0.25">
      <c r="A20" t="s">
        <v>43</v>
      </c>
      <c r="B20" s="1">
        <f>B6-B18</f>
        <v>362.88192848845131</v>
      </c>
    </row>
    <row r="21" spans="1:2" x14ac:dyDescent="0.25">
      <c r="A21" t="s">
        <v>44</v>
      </c>
      <c r="B21" s="1">
        <f>B19+B20</f>
        <v>1204.4807519172614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Curtis</vt:lpstr>
      <vt:lpstr>delta-v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2020-09-22T16:35:00Z</dcterms:created>
  <dcterms:modified xsi:type="dcterms:W3CDTF">2020-09-23T15:05:06Z</dcterms:modified>
</cp:coreProperties>
</file>