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I:\Users\john\Dropbox\Games\ksp\data\kerbol-1.9.1\"/>
    </mc:Choice>
  </mc:AlternateContent>
  <xr:revisionPtr revIDLastSave="0" documentId="13_ncr:1_{196DAF14-21AF-4085-9E0C-E06D01654A02}" xr6:coauthVersionLast="45" xr6:coauthVersionMax="45" xr10:uidLastSave="{00000000-0000-0000-0000-000000000000}"/>
  <bookViews>
    <workbookView xWindow="2730" yWindow="2055" windowWidth="28800" windowHeight="15435" activeTab="2" xr2:uid="{00000000-000D-0000-FFFF-FFFF00000000}"/>
  </bookViews>
  <sheets>
    <sheet name="delta v" sheetId="4" r:id="rId1"/>
    <sheet name="Unmanned" sheetId="11" r:id="rId2"/>
    <sheet name="Kerbin" sheetId="9" r:id="rId3"/>
    <sheet name="Engines" sheetId="3" r:id="rId4"/>
    <sheet name="Mun" sheetId="6" r:id="rId5"/>
    <sheet name="Batteries" sheetId="7" r:id="rId6"/>
    <sheet name="Minmus" sheetId="8" r:id="rId7"/>
    <sheet name="Moho" sheetId="13" r:id="rId8"/>
    <sheet name="Duna" sheetId="12" r:id="rId9"/>
    <sheet name="Atmosphere" sheetId="16" r:id="rId10"/>
    <sheet name="Darkness" sheetId="17" r:id="rId11"/>
    <sheet name="Planner" sheetId="18" r:id="rId1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18" l="1"/>
  <c r="E13" i="18"/>
  <c r="F13" i="18"/>
  <c r="G13" i="18"/>
  <c r="K13" i="18"/>
  <c r="I13" i="18"/>
  <c r="M13" i="18"/>
  <c r="J13" i="18"/>
  <c r="L13" i="18"/>
  <c r="N13" i="18"/>
  <c r="O13" i="18"/>
  <c r="E7" i="18"/>
  <c r="F7" i="18"/>
  <c r="G7" i="18"/>
  <c r="I7" i="18"/>
  <c r="E8" i="18"/>
  <c r="F8" i="18"/>
  <c r="G8" i="18"/>
  <c r="I8" i="18"/>
  <c r="R14" i="18"/>
  <c r="E9" i="18"/>
  <c r="F9" i="18"/>
  <c r="G9" i="18"/>
  <c r="I9" i="18"/>
  <c r="R12" i="18"/>
  <c r="AA4" i="18"/>
  <c r="Z4" i="18"/>
  <c r="E27" i="9"/>
  <c r="F27" i="9"/>
  <c r="G27" i="9"/>
  <c r="E29" i="9"/>
  <c r="F29" i="9"/>
  <c r="G29" i="9"/>
  <c r="I27" i="9"/>
  <c r="I28" i="9"/>
  <c r="I29" i="9"/>
  <c r="I30" i="9"/>
  <c r="I31" i="9"/>
  <c r="E39" i="6"/>
  <c r="F14" i="7"/>
  <c r="F26" i="7"/>
  <c r="F25" i="7"/>
  <c r="F24" i="7"/>
  <c r="F23" i="7"/>
  <c r="F22" i="7"/>
  <c r="F20" i="7"/>
  <c r="F21" i="7"/>
  <c r="I19" i="7"/>
  <c r="H19" i="7"/>
  <c r="G19" i="7"/>
  <c r="C12" i="7"/>
  <c r="D6" i="11"/>
  <c r="D5" i="11"/>
  <c r="E6" i="11"/>
  <c r="N59" i="9"/>
  <c r="N60" i="9"/>
  <c r="N61" i="9"/>
  <c r="G6" i="11"/>
  <c r="G7" i="11"/>
  <c r="N7" i="11"/>
  <c r="Y7" i="11"/>
  <c r="T7" i="11"/>
  <c r="S7" i="11"/>
  <c r="Y6" i="11"/>
  <c r="U6" i="11"/>
  <c r="S6" i="11"/>
  <c r="AB6" i="11"/>
  <c r="J6" i="11"/>
  <c r="J4" i="11"/>
  <c r="J7" i="11"/>
  <c r="AB5" i="11"/>
  <c r="AA5" i="11"/>
  <c r="Z5" i="11"/>
  <c r="X5" i="11"/>
  <c r="S4" i="11"/>
  <c r="AB4" i="11"/>
  <c r="AA4" i="11"/>
  <c r="Z4" i="11"/>
  <c r="Y4" i="11"/>
  <c r="X4" i="11"/>
  <c r="U4" i="11"/>
  <c r="D4" i="11"/>
  <c r="H4" i="11"/>
  <c r="D13" i="11"/>
  <c r="E13" i="11"/>
  <c r="H13" i="11"/>
  <c r="T62" i="6"/>
  <c r="J13" i="11"/>
  <c r="S13" i="11"/>
  <c r="X13" i="11"/>
  <c r="Z13" i="11"/>
  <c r="Y13" i="11"/>
  <c r="AB13" i="11"/>
  <c r="E2" i="6"/>
  <c r="E26" i="6"/>
  <c r="G26" i="6"/>
  <c r="G27" i="6"/>
  <c r="G28" i="6"/>
  <c r="S14" i="11"/>
  <c r="X14" i="11"/>
  <c r="U14" i="11"/>
  <c r="D15" i="11"/>
  <c r="E15" i="11"/>
  <c r="D16" i="11"/>
  <c r="E16" i="11"/>
  <c r="C26" i="6"/>
  <c r="C27" i="6"/>
  <c r="J15" i="11"/>
  <c r="S15" i="11"/>
  <c r="Z15" i="11"/>
  <c r="U15" i="11"/>
  <c r="Y15" i="11"/>
  <c r="X16" i="11"/>
  <c r="Z16" i="11"/>
  <c r="AA16" i="11"/>
  <c r="AB16" i="11"/>
  <c r="D17" i="11"/>
  <c r="H36" i="9"/>
  <c r="H59" i="9"/>
  <c r="H60" i="9"/>
  <c r="H61" i="9"/>
  <c r="J17" i="11"/>
  <c r="S17" i="11"/>
  <c r="X17" i="11"/>
  <c r="AB17" i="11"/>
  <c r="U17" i="11"/>
  <c r="Y17" i="11"/>
  <c r="J18" i="11"/>
  <c r="N18" i="11"/>
  <c r="S18" i="11"/>
  <c r="T18" i="11"/>
  <c r="Y18" i="11"/>
  <c r="Y2" i="6"/>
  <c r="Y27" i="6"/>
  <c r="Y26" i="6"/>
  <c r="Y28" i="6"/>
  <c r="AF37" i="6"/>
  <c r="Y61" i="6"/>
  <c r="Z61" i="6"/>
  <c r="AA61" i="6"/>
  <c r="AA62" i="6"/>
  <c r="AA63" i="6"/>
  <c r="AB61" i="6"/>
  <c r="AC61" i="6"/>
  <c r="AD61" i="6"/>
  <c r="AD62" i="6"/>
  <c r="AD63" i="6"/>
  <c r="Y62" i="6"/>
  <c r="Y63" i="6"/>
  <c r="Z62" i="6"/>
  <c r="AB62" i="6"/>
  <c r="AB63" i="6"/>
  <c r="AC62" i="6"/>
  <c r="AC63" i="6"/>
  <c r="X62" i="6"/>
  <c r="X61" i="6"/>
  <c r="AE37" i="6"/>
  <c r="AE62" i="6"/>
  <c r="W37" i="6"/>
  <c r="Q37" i="6"/>
  <c r="AB15" i="11"/>
  <c r="E4" i="11"/>
  <c r="E5" i="11"/>
  <c r="AA15" i="11"/>
  <c r="AA17" i="11"/>
  <c r="E17" i="11"/>
  <c r="Z17" i="11"/>
  <c r="X15" i="11"/>
  <c r="Z6" i="11"/>
  <c r="AA7" i="11"/>
  <c r="Z7" i="11"/>
  <c r="X7" i="11"/>
  <c r="AB7" i="11"/>
  <c r="U7" i="11"/>
  <c r="X6" i="11"/>
  <c r="AA6" i="11"/>
  <c r="U13" i="11"/>
  <c r="AA13" i="11"/>
  <c r="Z63" i="6"/>
  <c r="AE61" i="6"/>
  <c r="AE63" i="6"/>
  <c r="X63" i="6"/>
  <c r="S26" i="6"/>
  <c r="S27" i="6"/>
  <c r="S28" i="6"/>
  <c r="R26" i="6"/>
  <c r="R27" i="6"/>
  <c r="R28" i="6"/>
  <c r="P26" i="6"/>
  <c r="P27" i="6"/>
  <c r="Q27" i="6"/>
  <c r="Q26" i="6"/>
  <c r="O5" i="6"/>
  <c r="O27" i="6"/>
  <c r="M5" i="6"/>
  <c r="Q28" i="6"/>
  <c r="P28" i="6"/>
  <c r="H26" i="6"/>
  <c r="H27" i="6"/>
  <c r="H28" i="6"/>
  <c r="E38" i="6"/>
  <c r="D27" i="6"/>
  <c r="F27" i="6"/>
  <c r="B26" i="6"/>
  <c r="D26" i="6"/>
  <c r="D28" i="6"/>
  <c r="F26" i="6"/>
  <c r="K26" i="6"/>
  <c r="M26" i="6"/>
  <c r="J26" i="6"/>
  <c r="M59" i="9"/>
  <c r="L59" i="9"/>
  <c r="K59" i="9"/>
  <c r="N58" i="9"/>
  <c r="D3" i="4"/>
  <c r="L61" i="6"/>
  <c r="K37" i="6"/>
  <c r="K61" i="6"/>
  <c r="E37" i="6"/>
  <c r="E61" i="6"/>
  <c r="E62" i="6"/>
  <c r="E63" i="6"/>
  <c r="E27" i="6"/>
  <c r="G5" i="17"/>
  <c r="H5" i="17"/>
  <c r="I5" i="17"/>
  <c r="M5" i="17"/>
  <c r="I14" i="8"/>
  <c r="E33" i="8"/>
  <c r="L5" i="17"/>
  <c r="N5" i="17"/>
  <c r="J5" i="17"/>
  <c r="G4" i="17"/>
  <c r="H4" i="17"/>
  <c r="I4" i="17"/>
  <c r="M4" i="17"/>
  <c r="G3" i="17"/>
  <c r="H3" i="17"/>
  <c r="I3" i="17"/>
  <c r="M3" i="17"/>
  <c r="K4" i="17"/>
  <c r="J4" i="17"/>
  <c r="P3" i="17"/>
  <c r="E4" i="18"/>
  <c r="F4" i="18"/>
  <c r="G4" i="18"/>
  <c r="I4" i="18"/>
  <c r="E3" i="18"/>
  <c r="F3" i="18"/>
  <c r="G3" i="18"/>
  <c r="I3" i="18"/>
  <c r="E5" i="18"/>
  <c r="F5" i="18"/>
  <c r="G5" i="18"/>
  <c r="I5" i="18"/>
  <c r="E6" i="18"/>
  <c r="F6" i="18"/>
  <c r="G6" i="18"/>
  <c r="I6" i="18"/>
  <c r="H28" i="9"/>
  <c r="H29" i="9"/>
  <c r="T5" i="18"/>
  <c r="E10" i="18"/>
  <c r="F10" i="18"/>
  <c r="E11" i="18"/>
  <c r="F11" i="18"/>
  <c r="G11" i="18"/>
  <c r="E12" i="18"/>
  <c r="F12" i="18"/>
  <c r="E14" i="18"/>
  <c r="F14" i="18"/>
  <c r="E15" i="18"/>
  <c r="F15" i="18"/>
  <c r="G15" i="18"/>
  <c r="I15" i="18"/>
  <c r="E16" i="18"/>
  <c r="F16" i="18"/>
  <c r="E17" i="18"/>
  <c r="F17" i="18"/>
  <c r="G17" i="18"/>
  <c r="I17" i="18"/>
  <c r="E18" i="18"/>
  <c r="F18" i="18"/>
  <c r="E19" i="18"/>
  <c r="F19" i="18"/>
  <c r="G19" i="18"/>
  <c r="I19" i="18"/>
  <c r="E20" i="18"/>
  <c r="F20" i="18"/>
  <c r="E21" i="18"/>
  <c r="F21" i="18"/>
  <c r="G21" i="18"/>
  <c r="I21" i="18"/>
  <c r="E22" i="18"/>
  <c r="F22" i="18"/>
  <c r="E23" i="18"/>
  <c r="F23" i="18"/>
  <c r="G23" i="18"/>
  <c r="I23" i="18"/>
  <c r="E24" i="18"/>
  <c r="F24" i="18"/>
  <c r="E25" i="18"/>
  <c r="F25" i="18"/>
  <c r="G25" i="18"/>
  <c r="I25" i="18"/>
  <c r="E26" i="18"/>
  <c r="F26" i="18"/>
  <c r="E27" i="18"/>
  <c r="F27" i="18"/>
  <c r="G27" i="18"/>
  <c r="I27" i="18"/>
  <c r="E28" i="18"/>
  <c r="F28" i="18"/>
  <c r="E29" i="18"/>
  <c r="F29" i="18"/>
  <c r="G29" i="18"/>
  <c r="I29" i="18"/>
  <c r="T3" i="18"/>
  <c r="G59" i="9"/>
  <c r="F59" i="9"/>
  <c r="E59" i="9"/>
  <c r="H58" i="9"/>
  <c r="AD29" i="9"/>
  <c r="AC29" i="9"/>
  <c r="AC28" i="9"/>
  <c r="AC30" i="9"/>
  <c r="AD28" i="9"/>
  <c r="AD30" i="9"/>
  <c r="AB28" i="9"/>
  <c r="AA28" i="9"/>
  <c r="AD27" i="9"/>
  <c r="AC27" i="9"/>
  <c r="X27" i="9"/>
  <c r="AB27" i="9"/>
  <c r="D26" i="4"/>
  <c r="D27" i="4"/>
  <c r="L28" i="9"/>
  <c r="M28" i="9"/>
  <c r="E28" i="9"/>
  <c r="E30" i="9"/>
  <c r="E31" i="9"/>
  <c r="F28" i="9"/>
  <c r="F30" i="9"/>
  <c r="F31" i="9"/>
  <c r="G28" i="9"/>
  <c r="G30" i="9"/>
  <c r="G31" i="9"/>
  <c r="D7" i="4"/>
  <c r="X29" i="9"/>
  <c r="X28" i="9"/>
  <c r="X30" i="9"/>
  <c r="X31" i="9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" i="16"/>
  <c r="D17" i="16"/>
  <c r="D15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2" i="16"/>
  <c r="D3" i="16"/>
  <c r="D4" i="16"/>
  <c r="D5" i="16"/>
  <c r="D6" i="16"/>
  <c r="D7" i="16"/>
  <c r="D8" i="16"/>
  <c r="D9" i="16"/>
  <c r="D11" i="16"/>
  <c r="D13" i="16"/>
  <c r="D44" i="16"/>
  <c r="D45" i="16"/>
  <c r="D46" i="16"/>
  <c r="D47" i="16"/>
  <c r="D48" i="16"/>
  <c r="D49" i="16"/>
  <c r="D50" i="16"/>
  <c r="D51" i="16"/>
  <c r="D52" i="16"/>
  <c r="D53" i="16"/>
  <c r="D10" i="16"/>
  <c r="D12" i="16"/>
  <c r="D14" i="16"/>
  <c r="D16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43" i="16"/>
  <c r="G28" i="11"/>
  <c r="D31" i="7"/>
  <c r="E31" i="7"/>
  <c r="E32" i="7"/>
  <c r="E33" i="7"/>
  <c r="E34" i="7"/>
  <c r="E30" i="7"/>
  <c r="C7" i="7"/>
  <c r="D7" i="7"/>
  <c r="E7" i="7"/>
  <c r="C6" i="7"/>
  <c r="D6" i="7"/>
  <c r="E6" i="7"/>
  <c r="P29" i="4"/>
  <c r="P25" i="4"/>
  <c r="P24" i="4"/>
  <c r="U26" i="6"/>
  <c r="U27" i="6"/>
  <c r="U28" i="6"/>
  <c r="V26" i="6"/>
  <c r="V27" i="6"/>
  <c r="P24" i="11"/>
  <c r="N24" i="11"/>
  <c r="Q24" i="11"/>
  <c r="D27" i="11"/>
  <c r="D26" i="11"/>
  <c r="D28" i="11"/>
  <c r="H28" i="11"/>
  <c r="O24" i="11"/>
  <c r="R25" i="11"/>
  <c r="R29" i="11"/>
  <c r="Q26" i="11"/>
  <c r="W26" i="11"/>
  <c r="Q28" i="11"/>
  <c r="V28" i="11"/>
  <c r="K36" i="8"/>
  <c r="L36" i="8"/>
  <c r="L58" i="8"/>
  <c r="M29" i="11"/>
  <c r="L29" i="11"/>
  <c r="J28" i="11"/>
  <c r="D25" i="11"/>
  <c r="E25" i="11"/>
  <c r="D23" i="11"/>
  <c r="E23" i="11"/>
  <c r="W36" i="11"/>
  <c r="O34" i="11"/>
  <c r="Q34" i="11"/>
  <c r="U34" i="11"/>
  <c r="O33" i="11"/>
  <c r="Q33" i="11"/>
  <c r="S33" i="11"/>
  <c r="N33" i="11"/>
  <c r="V33" i="11"/>
  <c r="L59" i="13"/>
  <c r="L60" i="13"/>
  <c r="K59" i="13"/>
  <c r="K60" i="13"/>
  <c r="J59" i="13"/>
  <c r="J60" i="13"/>
  <c r="L58" i="13"/>
  <c r="K58" i="13"/>
  <c r="J58" i="13"/>
  <c r="I57" i="13"/>
  <c r="E57" i="13"/>
  <c r="C57" i="13"/>
  <c r="I56" i="13"/>
  <c r="E56" i="13"/>
  <c r="C56" i="13"/>
  <c r="I55" i="13"/>
  <c r="E55" i="13"/>
  <c r="C55" i="13"/>
  <c r="I54" i="13"/>
  <c r="E54" i="13"/>
  <c r="C54" i="13"/>
  <c r="I53" i="13"/>
  <c r="E53" i="13"/>
  <c r="C53" i="13"/>
  <c r="I52" i="13"/>
  <c r="E52" i="13"/>
  <c r="C52" i="13"/>
  <c r="I51" i="13"/>
  <c r="E51" i="13"/>
  <c r="C51" i="13"/>
  <c r="I50" i="13"/>
  <c r="E50" i="13"/>
  <c r="C50" i="13"/>
  <c r="I49" i="13"/>
  <c r="E49" i="13"/>
  <c r="C49" i="13"/>
  <c r="I48" i="13"/>
  <c r="E48" i="13"/>
  <c r="C48" i="13"/>
  <c r="I47" i="13"/>
  <c r="E47" i="13"/>
  <c r="C47" i="13"/>
  <c r="I46" i="13"/>
  <c r="E46" i="13"/>
  <c r="C46" i="13"/>
  <c r="I45" i="13"/>
  <c r="E45" i="13"/>
  <c r="C45" i="13"/>
  <c r="I44" i="13"/>
  <c r="E44" i="13"/>
  <c r="C44" i="13"/>
  <c r="I43" i="13"/>
  <c r="E43" i="13"/>
  <c r="C43" i="13"/>
  <c r="I42" i="13"/>
  <c r="E42" i="13"/>
  <c r="C42" i="13"/>
  <c r="C34" i="13"/>
  <c r="C35" i="13"/>
  <c r="C36" i="13"/>
  <c r="C37" i="13"/>
  <c r="C38" i="13"/>
  <c r="C39" i="13"/>
  <c r="C40" i="13"/>
  <c r="C41" i="13"/>
  <c r="C59" i="13"/>
  <c r="C60" i="13"/>
  <c r="C61" i="13"/>
  <c r="I41" i="13"/>
  <c r="E41" i="13"/>
  <c r="I40" i="13"/>
  <c r="E40" i="13"/>
  <c r="I39" i="13"/>
  <c r="E39" i="13"/>
  <c r="I38" i="13"/>
  <c r="E38" i="13"/>
  <c r="I37" i="13"/>
  <c r="I36" i="13"/>
  <c r="E36" i="13"/>
  <c r="I35" i="13"/>
  <c r="E35" i="13"/>
  <c r="I34" i="13"/>
  <c r="I58" i="13"/>
  <c r="E34" i="13"/>
  <c r="F34" i="13"/>
  <c r="F58" i="13"/>
  <c r="T28" i="13"/>
  <c r="S28" i="13"/>
  <c r="R28" i="13"/>
  <c r="Q28" i="13"/>
  <c r="P28" i="13"/>
  <c r="M28" i="13"/>
  <c r="L28" i="13"/>
  <c r="L27" i="13"/>
  <c r="L29" i="13"/>
  <c r="K28" i="13"/>
  <c r="J28" i="13"/>
  <c r="I28" i="13"/>
  <c r="H28" i="13"/>
  <c r="H27" i="13"/>
  <c r="H29" i="13"/>
  <c r="F28" i="13"/>
  <c r="F27" i="13"/>
  <c r="F29" i="13"/>
  <c r="E28" i="13"/>
  <c r="D28" i="13"/>
  <c r="C28" i="13"/>
  <c r="B28" i="13"/>
  <c r="T27" i="13"/>
  <c r="S27" i="13"/>
  <c r="R27" i="13"/>
  <c r="Q27" i="13"/>
  <c r="P27" i="13"/>
  <c r="M27" i="13"/>
  <c r="M29" i="13"/>
  <c r="K27" i="13"/>
  <c r="K29" i="13"/>
  <c r="J27" i="13"/>
  <c r="J29" i="13"/>
  <c r="I27" i="13"/>
  <c r="I29" i="13"/>
  <c r="E27" i="13"/>
  <c r="E29" i="13"/>
  <c r="D27" i="13"/>
  <c r="D29" i="13"/>
  <c r="C27" i="13"/>
  <c r="B27" i="13"/>
  <c r="B29" i="13"/>
  <c r="T26" i="13"/>
  <c r="S26" i="13"/>
  <c r="R26" i="13"/>
  <c r="Q26" i="13"/>
  <c r="P26" i="13"/>
  <c r="M26" i="13"/>
  <c r="L26" i="13"/>
  <c r="K26" i="13"/>
  <c r="J26" i="13"/>
  <c r="I26" i="13"/>
  <c r="H26" i="13"/>
  <c r="H30" i="13"/>
  <c r="F26" i="13"/>
  <c r="E26" i="13"/>
  <c r="D26" i="13"/>
  <c r="C26" i="13"/>
  <c r="B26" i="13"/>
  <c r="F30" i="13"/>
  <c r="G35" i="11"/>
  <c r="M38" i="11"/>
  <c r="L38" i="11"/>
  <c r="J37" i="11"/>
  <c r="O37" i="11"/>
  <c r="Q37" i="11"/>
  <c r="D37" i="11"/>
  <c r="D36" i="11"/>
  <c r="E37" i="11"/>
  <c r="Y36" i="11"/>
  <c r="R35" i="11"/>
  <c r="D35" i="11"/>
  <c r="E35" i="11"/>
  <c r="E36" i="11"/>
  <c r="N34" i="11"/>
  <c r="D33" i="11"/>
  <c r="E33" i="11"/>
  <c r="N34" i="4"/>
  <c r="P34" i="4"/>
  <c r="N36" i="4"/>
  <c r="N33" i="4"/>
  <c r="Y33" i="4"/>
  <c r="P33" i="4"/>
  <c r="Z33" i="4"/>
  <c r="M38" i="4"/>
  <c r="L38" i="4"/>
  <c r="J37" i="4"/>
  <c r="N37" i="4"/>
  <c r="Y37" i="4"/>
  <c r="D37" i="4"/>
  <c r="D36" i="4"/>
  <c r="E37" i="4"/>
  <c r="AB36" i="4"/>
  <c r="AA36" i="4"/>
  <c r="Z36" i="4"/>
  <c r="X36" i="4"/>
  <c r="Q35" i="4"/>
  <c r="Q38" i="4"/>
  <c r="J35" i="4"/>
  <c r="D35" i="4"/>
  <c r="E35" i="4"/>
  <c r="E36" i="4"/>
  <c r="D33" i="4"/>
  <c r="E33" i="4"/>
  <c r="C10" i="7"/>
  <c r="D10" i="7"/>
  <c r="E10" i="7"/>
  <c r="X26" i="11"/>
  <c r="E28" i="11"/>
  <c r="E27" i="11"/>
  <c r="E26" i="11"/>
  <c r="V26" i="11"/>
  <c r="T26" i="11"/>
  <c r="U28" i="11"/>
  <c r="X36" i="11"/>
  <c r="U36" i="11"/>
  <c r="G33" i="11"/>
  <c r="C29" i="13"/>
  <c r="F60" i="13"/>
  <c r="R33" i="4"/>
  <c r="T28" i="11"/>
  <c r="E9" i="7"/>
  <c r="E8" i="7"/>
  <c r="E4" i="7"/>
  <c r="E5" i="7"/>
  <c r="E11" i="7"/>
  <c r="N59" i="12"/>
  <c r="N61" i="12"/>
  <c r="K59" i="12"/>
  <c r="K61" i="12"/>
  <c r="J59" i="12"/>
  <c r="J61" i="12"/>
  <c r="G59" i="12"/>
  <c r="G61" i="12"/>
  <c r="N58" i="12"/>
  <c r="K58" i="12"/>
  <c r="J58" i="12"/>
  <c r="G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H37" i="12"/>
  <c r="H58" i="12"/>
  <c r="H59" i="12"/>
  <c r="H61" i="12"/>
  <c r="E37" i="12"/>
  <c r="F37" i="12"/>
  <c r="C37" i="12"/>
  <c r="E36" i="12"/>
  <c r="C36" i="12"/>
  <c r="E35" i="12"/>
  <c r="C35" i="12"/>
  <c r="C34" i="12"/>
  <c r="C58" i="12"/>
  <c r="E34" i="12"/>
  <c r="C59" i="12"/>
  <c r="V28" i="12"/>
  <c r="U28" i="12"/>
  <c r="T28" i="12"/>
  <c r="S28" i="12"/>
  <c r="R28" i="12"/>
  <c r="O28" i="12"/>
  <c r="N28" i="12"/>
  <c r="I28" i="12"/>
  <c r="H28" i="12"/>
  <c r="G28" i="12"/>
  <c r="F28" i="12"/>
  <c r="E28" i="12"/>
  <c r="D28" i="12"/>
  <c r="C28" i="12"/>
  <c r="C27" i="12"/>
  <c r="C29" i="12"/>
  <c r="B28" i="12"/>
  <c r="V27" i="12"/>
  <c r="U27" i="12"/>
  <c r="T27" i="12"/>
  <c r="S27" i="12"/>
  <c r="R27" i="12"/>
  <c r="O27" i="12"/>
  <c r="O29" i="12"/>
  <c r="N27" i="12"/>
  <c r="N29" i="12"/>
  <c r="I27" i="12"/>
  <c r="I29" i="12"/>
  <c r="H27" i="12"/>
  <c r="H29" i="12"/>
  <c r="G27" i="12"/>
  <c r="F27" i="12"/>
  <c r="F29" i="12"/>
  <c r="E27" i="12"/>
  <c r="D27" i="12"/>
  <c r="D29" i="12"/>
  <c r="B27" i="12"/>
  <c r="V26" i="12"/>
  <c r="U26" i="12"/>
  <c r="T26" i="12"/>
  <c r="S26" i="12"/>
  <c r="R26" i="12"/>
  <c r="O26" i="12"/>
  <c r="N26" i="12"/>
  <c r="K26" i="12"/>
  <c r="I26" i="12"/>
  <c r="H26" i="12"/>
  <c r="G26" i="12"/>
  <c r="F26" i="12"/>
  <c r="E26" i="12"/>
  <c r="D26" i="12"/>
  <c r="C26" i="12"/>
  <c r="B26" i="12"/>
  <c r="K28" i="12"/>
  <c r="E34" i="8"/>
  <c r="E35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G29" i="12"/>
  <c r="E29" i="12"/>
  <c r="B29" i="12"/>
  <c r="F30" i="12"/>
  <c r="K27" i="12"/>
  <c r="K29" i="12"/>
  <c r="P29" i="12"/>
  <c r="P30" i="12"/>
  <c r="I37" i="12"/>
  <c r="I58" i="12"/>
  <c r="I58" i="8"/>
  <c r="I57" i="8"/>
  <c r="R15" i="4"/>
  <c r="R18" i="4"/>
  <c r="D16" i="4"/>
  <c r="D17" i="4"/>
  <c r="E17" i="4"/>
  <c r="X16" i="4"/>
  <c r="Q14" i="4"/>
  <c r="X14" i="4"/>
  <c r="M4" i="4"/>
  <c r="AB16" i="4"/>
  <c r="AA16" i="4"/>
  <c r="Z16" i="4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4" i="8"/>
  <c r="C35" i="8"/>
  <c r="C36" i="8"/>
  <c r="C37" i="8"/>
  <c r="C38" i="8"/>
  <c r="C58" i="8"/>
  <c r="C57" i="8"/>
  <c r="C59" i="8"/>
  <c r="D8" i="7"/>
  <c r="D4" i="7"/>
  <c r="D5" i="7"/>
  <c r="D11" i="7"/>
  <c r="D9" i="7"/>
  <c r="X6" i="4"/>
  <c r="M28" i="4"/>
  <c r="M18" i="4"/>
  <c r="M8" i="4"/>
  <c r="AB6" i="4"/>
  <c r="AA6" i="4"/>
  <c r="Z6" i="4"/>
  <c r="L8" i="4"/>
  <c r="C11" i="7"/>
  <c r="N6" i="4"/>
  <c r="N3" i="4"/>
  <c r="P3" i="4"/>
  <c r="I59" i="8"/>
  <c r="S14" i="4"/>
  <c r="F58" i="8"/>
  <c r="F57" i="8"/>
  <c r="F59" i="8"/>
  <c r="J25" i="4"/>
  <c r="N25" i="4"/>
  <c r="N11" i="3"/>
  <c r="J5" i="4"/>
  <c r="N5" i="4"/>
  <c r="P5" i="4"/>
  <c r="V23" i="4"/>
  <c r="R23" i="4"/>
  <c r="L28" i="4"/>
  <c r="J27" i="4"/>
  <c r="N27" i="4"/>
  <c r="N26" i="4"/>
  <c r="AC26" i="4"/>
  <c r="E25" i="4"/>
  <c r="E26" i="4"/>
  <c r="E27" i="4"/>
  <c r="N16" i="4"/>
  <c r="AC27" i="4"/>
  <c r="B26" i="8"/>
  <c r="C26" i="8"/>
  <c r="C27" i="8"/>
  <c r="C28" i="8"/>
  <c r="F26" i="8"/>
  <c r="L18" i="4"/>
  <c r="D33" i="7"/>
  <c r="H27" i="9"/>
  <c r="L27" i="9"/>
  <c r="R29" i="9"/>
  <c r="Q29" i="9"/>
  <c r="Q28" i="9"/>
  <c r="Q30" i="9"/>
  <c r="R28" i="9"/>
  <c r="R30" i="9"/>
  <c r="R27" i="9"/>
  <c r="Q27" i="9"/>
  <c r="P28" i="9"/>
  <c r="O29" i="9"/>
  <c r="N27" i="9"/>
  <c r="D15" i="4"/>
  <c r="E15" i="4"/>
  <c r="E16" i="4"/>
  <c r="D13" i="4"/>
  <c r="E13" i="4"/>
  <c r="L57" i="8"/>
  <c r="L59" i="8"/>
  <c r="J23" i="11"/>
  <c r="P29" i="9"/>
  <c r="P30" i="9"/>
  <c r="T30" i="9"/>
  <c r="T31" i="9"/>
  <c r="J13" i="4"/>
  <c r="M27" i="9"/>
  <c r="N29" i="9"/>
  <c r="J7" i="4"/>
  <c r="N7" i="4"/>
  <c r="P7" i="4"/>
  <c r="O27" i="9"/>
  <c r="P27" i="9"/>
  <c r="N28" i="9"/>
  <c r="N30" i="9"/>
  <c r="M29" i="9"/>
  <c r="O28" i="9"/>
  <c r="O30" i="9"/>
  <c r="D32" i="7"/>
  <c r="N17" i="4"/>
  <c r="M30" i="9"/>
  <c r="D6" i="4"/>
  <c r="D5" i="4"/>
  <c r="E3" i="4"/>
  <c r="T27" i="8"/>
  <c r="S27" i="8"/>
  <c r="R27" i="8"/>
  <c r="Q27" i="8"/>
  <c r="P27" i="8"/>
  <c r="M27" i="8"/>
  <c r="L27" i="8"/>
  <c r="F27" i="8"/>
  <c r="F28" i="8"/>
  <c r="E27" i="8"/>
  <c r="D27" i="8"/>
  <c r="B27" i="8"/>
  <c r="T26" i="8"/>
  <c r="S26" i="8"/>
  <c r="R26" i="8"/>
  <c r="Q26" i="8"/>
  <c r="P26" i="8"/>
  <c r="M26" i="8"/>
  <c r="L26" i="8"/>
  <c r="L28" i="8"/>
  <c r="E26" i="8"/>
  <c r="E28" i="8"/>
  <c r="D26" i="8"/>
  <c r="H26" i="8"/>
  <c r="J27" i="8"/>
  <c r="M18" i="7"/>
  <c r="M9" i="7"/>
  <c r="C8" i="7"/>
  <c r="C4" i="7"/>
  <c r="C5" i="7"/>
  <c r="C9" i="7"/>
  <c r="D2" i="7"/>
  <c r="C2" i="7"/>
  <c r="Q17" i="4"/>
  <c r="X17" i="4"/>
  <c r="Y17" i="4"/>
  <c r="S17" i="4"/>
  <c r="D28" i="8"/>
  <c r="M28" i="8"/>
  <c r="I26" i="8"/>
  <c r="H27" i="8"/>
  <c r="H28" i="8"/>
  <c r="I27" i="8"/>
  <c r="I28" i="8"/>
  <c r="J26" i="8"/>
  <c r="J28" i="8"/>
  <c r="B27" i="6"/>
  <c r="B28" i="6"/>
  <c r="C28" i="6"/>
  <c r="F28" i="6"/>
  <c r="F25" i="4"/>
  <c r="G25" i="4"/>
  <c r="H25" i="4"/>
  <c r="AE27" i="6"/>
  <c r="AD27" i="6"/>
  <c r="AC27" i="6"/>
  <c r="AB27" i="6"/>
  <c r="AA27" i="6"/>
  <c r="X27" i="6"/>
  <c r="W27" i="6"/>
  <c r="J27" i="6"/>
  <c r="J28" i="6"/>
  <c r="K27" i="6"/>
  <c r="K28" i="6"/>
  <c r="M27" i="6"/>
  <c r="M28" i="6"/>
  <c r="F24" i="4"/>
  <c r="G24" i="4"/>
  <c r="H24" i="4"/>
  <c r="AE26" i="6"/>
  <c r="AD26" i="6"/>
  <c r="AC26" i="6"/>
  <c r="AB26" i="6"/>
  <c r="AA26" i="6"/>
  <c r="X26" i="6"/>
  <c r="X28" i="6"/>
  <c r="W26" i="6"/>
  <c r="T3" i="6"/>
  <c r="T2" i="6"/>
  <c r="T26" i="6"/>
  <c r="M29" i="8"/>
  <c r="G13" i="4"/>
  <c r="H13" i="4"/>
  <c r="G33" i="4"/>
  <c r="AA17" i="4"/>
  <c r="Z17" i="4"/>
  <c r="T27" i="6"/>
  <c r="H33" i="4"/>
  <c r="H38" i="4"/>
  <c r="G38" i="4"/>
  <c r="O23" i="11"/>
  <c r="S34" i="11"/>
  <c r="H33" i="11"/>
  <c r="W33" i="11"/>
  <c r="X33" i="11"/>
  <c r="K62" i="6"/>
  <c r="W28" i="6"/>
  <c r="V28" i="6"/>
  <c r="K63" i="6"/>
  <c r="T61" i="6"/>
  <c r="T63" i="6"/>
  <c r="L62" i="6"/>
  <c r="L63" i="6"/>
  <c r="T28" i="6"/>
  <c r="F23" i="4"/>
  <c r="G23" i="4"/>
  <c r="E28" i="6"/>
  <c r="E7" i="4"/>
  <c r="Y5" i="4"/>
  <c r="S25" i="4"/>
  <c r="AC25" i="4"/>
  <c r="AA25" i="4"/>
  <c r="Q25" i="4"/>
  <c r="Y25" i="4"/>
  <c r="Z25" i="4"/>
  <c r="AB25" i="4"/>
  <c r="J23" i="4"/>
  <c r="P23" i="4"/>
  <c r="AA5" i="4"/>
  <c r="AB5" i="4"/>
  <c r="U23" i="4"/>
  <c r="W23" i="4"/>
  <c r="X23" i="4"/>
  <c r="N23" i="4"/>
  <c r="AA23" i="4"/>
  <c r="J28" i="4"/>
  <c r="AB23" i="4"/>
  <c r="R37" i="4"/>
  <c r="P37" i="4"/>
  <c r="Z37" i="4"/>
  <c r="J38" i="4"/>
  <c r="N38" i="4"/>
  <c r="Y38" i="4"/>
  <c r="H30" i="9"/>
  <c r="G37" i="11"/>
  <c r="H37" i="11"/>
  <c r="P38" i="4"/>
  <c r="Z38" i="4"/>
  <c r="J8" i="4"/>
  <c r="AA37" i="4"/>
  <c r="N37" i="11"/>
  <c r="V37" i="11"/>
  <c r="G28" i="4"/>
  <c r="H23" i="4"/>
  <c r="H28" i="4"/>
  <c r="Z3" i="4"/>
  <c r="AA3" i="4"/>
  <c r="AB3" i="4"/>
  <c r="X3" i="4"/>
  <c r="K5" i="17"/>
  <c r="O5" i="17"/>
  <c r="P5" i="17"/>
  <c r="Q5" i="17"/>
  <c r="H62" i="9"/>
  <c r="G17" i="11"/>
  <c r="F29" i="8"/>
  <c r="AB18" i="11"/>
  <c r="Z18" i="11"/>
  <c r="X18" i="11"/>
  <c r="AA18" i="11"/>
  <c r="U18" i="11"/>
  <c r="P4" i="17"/>
  <c r="J15" i="4"/>
  <c r="N15" i="4"/>
  <c r="J25" i="11"/>
  <c r="B28" i="8"/>
  <c r="C29" i="8"/>
  <c r="G25" i="11"/>
  <c r="H25" i="11"/>
  <c r="AA27" i="4"/>
  <c r="Q27" i="4"/>
  <c r="Y27" i="4"/>
  <c r="S27" i="4"/>
  <c r="Z27" i="4"/>
  <c r="G24" i="18"/>
  <c r="I24" i="18"/>
  <c r="L4" i="17"/>
  <c r="N4" i="17"/>
  <c r="O4" i="17"/>
  <c r="Q4" i="17"/>
  <c r="S37" i="11"/>
  <c r="U37" i="11"/>
  <c r="X37" i="11"/>
  <c r="W37" i="11"/>
  <c r="Y37" i="11"/>
  <c r="S12" i="18"/>
  <c r="R13" i="18"/>
  <c r="R15" i="18"/>
  <c r="Y7" i="4"/>
  <c r="N13" i="4"/>
  <c r="J18" i="4"/>
  <c r="N18" i="4"/>
  <c r="Y18" i="4"/>
  <c r="H35" i="11"/>
  <c r="S24" i="11"/>
  <c r="T24" i="11"/>
  <c r="H17" i="11"/>
  <c r="B61" i="13"/>
  <c r="J35" i="11"/>
  <c r="AB7" i="4"/>
  <c r="X7" i="4"/>
  <c r="AA7" i="4"/>
  <c r="Z7" i="4"/>
  <c r="C60" i="12"/>
  <c r="C61" i="12"/>
  <c r="U5" i="18"/>
  <c r="X38" i="4"/>
  <c r="AA38" i="4"/>
  <c r="AB38" i="4"/>
  <c r="AB28" i="4"/>
  <c r="N28" i="4"/>
  <c r="J29" i="8"/>
  <c r="X34" i="4"/>
  <c r="R34" i="4"/>
  <c r="G3" i="4"/>
  <c r="J29" i="11"/>
  <c r="N23" i="11"/>
  <c r="R38" i="4"/>
  <c r="G22" i="18"/>
  <c r="I22" i="18"/>
  <c r="G18" i="18"/>
  <c r="I18" i="18"/>
  <c r="G14" i="11"/>
  <c r="Q18" i="4"/>
  <c r="X5" i="4"/>
  <c r="Z5" i="4"/>
  <c r="E59" i="8"/>
  <c r="S14" i="18"/>
  <c r="Q3" i="18"/>
  <c r="U3" i="18"/>
  <c r="G28" i="18"/>
  <c r="I28" i="18"/>
  <c r="G26" i="18"/>
  <c r="I26" i="18"/>
  <c r="G20" i="18"/>
  <c r="I20" i="18"/>
  <c r="G16" i="18"/>
  <c r="I16" i="18"/>
  <c r="G14" i="18"/>
  <c r="I14" i="18"/>
  <c r="G12" i="18"/>
  <c r="G10" i="18"/>
  <c r="I10" i="18"/>
  <c r="J3" i="17"/>
  <c r="X37" i="4"/>
  <c r="C58" i="13"/>
  <c r="H6" i="11"/>
  <c r="H7" i="11"/>
  <c r="U33" i="11"/>
  <c r="AB17" i="4"/>
  <c r="AB27" i="4"/>
  <c r="Y3" i="4"/>
  <c r="AB37" i="4"/>
  <c r="W28" i="11"/>
  <c r="F59" i="13"/>
  <c r="F61" i="13"/>
  <c r="R38" i="11"/>
  <c r="O26" i="6"/>
  <c r="O28" i="6"/>
  <c r="X28" i="11"/>
  <c r="AA33" i="4"/>
  <c r="I60" i="13"/>
  <c r="K3" i="17"/>
  <c r="AC23" i="4"/>
  <c r="X33" i="4"/>
  <c r="I59" i="13"/>
  <c r="I61" i="13"/>
  <c r="N35" i="4"/>
  <c r="I59" i="12"/>
  <c r="I61" i="12"/>
  <c r="AB33" i="4"/>
  <c r="Z23" i="4"/>
  <c r="Q23" i="4"/>
  <c r="Y33" i="11"/>
  <c r="L3" i="17"/>
  <c r="N3" i="17"/>
  <c r="O3" i="17"/>
  <c r="Q3" i="17"/>
  <c r="G37" i="4"/>
  <c r="H37" i="4"/>
  <c r="G7" i="4"/>
  <c r="H7" i="4"/>
  <c r="E5" i="4"/>
  <c r="H31" i="9"/>
  <c r="F27" i="4"/>
  <c r="G27" i="4"/>
  <c r="H27" i="4"/>
  <c r="G17" i="4"/>
  <c r="H17" i="4"/>
  <c r="O8" i="4"/>
  <c r="N8" i="4"/>
  <c r="G38" i="11"/>
  <c r="H38" i="11"/>
  <c r="AB4" i="18"/>
  <c r="S13" i="18"/>
  <c r="S15" i="18"/>
  <c r="S16" i="18"/>
  <c r="AC5" i="18"/>
  <c r="Y23" i="4"/>
  <c r="S23" i="4"/>
  <c r="T23" i="4"/>
  <c r="H3" i="4"/>
  <c r="Q29" i="6"/>
  <c r="O29" i="11"/>
  <c r="Q29" i="11"/>
  <c r="N29" i="11"/>
  <c r="U29" i="11"/>
  <c r="X18" i="4"/>
  <c r="AB18" i="4"/>
  <c r="Z18" i="4"/>
  <c r="AA18" i="4"/>
  <c r="N25" i="11"/>
  <c r="U25" i="11"/>
  <c r="O25" i="11"/>
  <c r="Q25" i="11"/>
  <c r="S18" i="4"/>
  <c r="G14" i="4"/>
  <c r="G23" i="11"/>
  <c r="N35" i="11"/>
  <c r="J38" i="11"/>
  <c r="O35" i="11"/>
  <c r="Q35" i="11"/>
  <c r="Y13" i="4"/>
  <c r="Q13" i="4"/>
  <c r="S15" i="4"/>
  <c r="Q15" i="4"/>
  <c r="Y15" i="4"/>
  <c r="G15" i="4"/>
  <c r="H15" i="4"/>
  <c r="G35" i="4"/>
  <c r="H35" i="4"/>
  <c r="R35" i="4"/>
  <c r="P35" i="4"/>
  <c r="Y35" i="4"/>
  <c r="Q23" i="11"/>
  <c r="U23" i="11"/>
  <c r="Y28" i="4"/>
  <c r="Q28" i="4"/>
  <c r="Z28" i="4"/>
  <c r="AA28" i="4"/>
  <c r="S28" i="4"/>
  <c r="AC28" i="4"/>
  <c r="H18" i="4"/>
  <c r="G18" i="4"/>
  <c r="Y8" i="4"/>
  <c r="P8" i="4"/>
  <c r="T23" i="11"/>
  <c r="S23" i="11"/>
  <c r="V23" i="11"/>
  <c r="W23" i="11"/>
  <c r="X23" i="11"/>
  <c r="X13" i="4"/>
  <c r="AA13" i="4"/>
  <c r="Z13" i="4"/>
  <c r="S13" i="4"/>
  <c r="AB13" i="4"/>
  <c r="S29" i="11"/>
  <c r="T29" i="11"/>
  <c r="V29" i="11"/>
  <c r="W29" i="11"/>
  <c r="X29" i="11"/>
  <c r="V35" i="11"/>
  <c r="U35" i="11"/>
  <c r="W35" i="11"/>
  <c r="Y35" i="11"/>
  <c r="X35" i="11"/>
  <c r="S35" i="11"/>
  <c r="AB35" i="4"/>
  <c r="X35" i="4"/>
  <c r="Z35" i="4"/>
  <c r="AA35" i="4"/>
  <c r="O38" i="11"/>
  <c r="Q38" i="11"/>
  <c r="N38" i="11"/>
  <c r="V38" i="11"/>
  <c r="X25" i="11"/>
  <c r="W25" i="11"/>
  <c r="V25" i="11"/>
  <c r="T25" i="11"/>
  <c r="S25" i="11"/>
  <c r="Z15" i="4"/>
  <c r="X15" i="4"/>
  <c r="AB15" i="4"/>
  <c r="AA15" i="4"/>
  <c r="G29" i="11"/>
  <c r="H23" i="11"/>
  <c r="H29" i="11"/>
  <c r="Z8" i="4"/>
  <c r="AB8" i="4"/>
  <c r="AA8" i="4"/>
  <c r="X8" i="4"/>
  <c r="Y38" i="11"/>
  <c r="U38" i="11"/>
  <c r="X38" i="11"/>
  <c r="W38" i="11"/>
  <c r="S38" i="11"/>
  <c r="AC4" i="18"/>
  <c r="G15" i="11"/>
  <c r="G5" i="4"/>
  <c r="H5" i="4"/>
  <c r="H8" i="4"/>
  <c r="G8" i="4"/>
  <c r="G18" i="11"/>
  <c r="H15" i="11"/>
  <c r="H14" i="11"/>
  <c r="H18" i="11"/>
</calcChain>
</file>

<file path=xl/sharedStrings.xml><?xml version="1.0" encoding="utf-8"?>
<sst xmlns="http://schemas.openxmlformats.org/spreadsheetml/2006/main" count="646" uniqueCount="273">
  <si>
    <t>LV-T30</t>
  </si>
  <si>
    <t>mass</t>
  </si>
  <si>
    <t>Isp</t>
  </si>
  <si>
    <t>LV-T45</t>
  </si>
  <si>
    <t>delta-v</t>
  </si>
  <si>
    <t>Vatm</t>
  </si>
  <si>
    <t>Vvac</t>
  </si>
  <si>
    <t>total</t>
  </si>
  <si>
    <t>Adjust periapsis</t>
  </si>
  <si>
    <t>Kerbal return</t>
  </si>
  <si>
    <t>Circularize Kerbal Orbit (100 km)</t>
  </si>
  <si>
    <t>Kerbal deorbit burn</t>
  </si>
  <si>
    <t>Duna</t>
  </si>
  <si>
    <t>Needed</t>
  </si>
  <si>
    <t>Kerbin escape (500 km orbit)</t>
  </si>
  <si>
    <t>match planes</t>
  </si>
  <si>
    <t>Corse correction</t>
  </si>
  <si>
    <t>Circularize orbit</t>
  </si>
  <si>
    <t>Kerbin Orbit (500 km)</t>
  </si>
  <si>
    <t>Mun Ascent</t>
  </si>
  <si>
    <t>Lander Rendezvous</t>
  </si>
  <si>
    <t>Surplus</t>
  </si>
  <si>
    <t>Minimum</t>
  </si>
  <si>
    <t>Mid course coorrection</t>
  </si>
  <si>
    <t>Seismic</t>
  </si>
  <si>
    <t>Grav</t>
  </si>
  <si>
    <t>Temp</t>
  </si>
  <si>
    <t>Pressure</t>
  </si>
  <si>
    <t>mits/packet</t>
  </si>
  <si>
    <t>EC/packet</t>
  </si>
  <si>
    <t>mits</t>
  </si>
  <si>
    <t>EC</t>
  </si>
  <si>
    <t>EC/transmission</t>
  </si>
  <si>
    <t>Communotron 16</t>
  </si>
  <si>
    <t>Comms DTS-M1</t>
  </si>
  <si>
    <t>Batteries</t>
  </si>
  <si>
    <t>Type</t>
  </si>
  <si>
    <t>Mass</t>
  </si>
  <si>
    <t>POT-1</t>
  </si>
  <si>
    <t>POT-2-XL</t>
  </si>
  <si>
    <t>EC needed</t>
  </si>
  <si>
    <t>Cube @ 8h</t>
  </si>
  <si>
    <t>Max</t>
  </si>
  <si>
    <t>Mean</t>
  </si>
  <si>
    <t>Std</t>
  </si>
  <si>
    <t>Mean+std</t>
  </si>
  <si>
    <t>Stage</t>
  </si>
  <si>
    <t>EC Need</t>
  </si>
  <si>
    <t>QBE</t>
  </si>
  <si>
    <t>EC/m</t>
  </si>
  <si>
    <t>Stayputnik</t>
  </si>
  <si>
    <t>Mass Eq</t>
  </si>
  <si>
    <t>Time (m)</t>
  </si>
  <si>
    <t>Science</t>
  </si>
  <si>
    <t>Subtotal</t>
  </si>
  <si>
    <t>Kerbal Return</t>
  </si>
  <si>
    <t>Trans Kerbal Injection (TKI)</t>
  </si>
  <si>
    <t>EC on board</t>
  </si>
  <si>
    <t>POT-2</t>
  </si>
  <si>
    <t>4 - CM/Probe Return</t>
  </si>
  <si>
    <t>3 - Injection</t>
  </si>
  <si>
    <t>2 - Launch</t>
  </si>
  <si>
    <t>1 - Launch</t>
  </si>
  <si>
    <t>HECS</t>
  </si>
  <si>
    <t>Splashdown</t>
  </si>
  <si>
    <t>POT-360</t>
  </si>
  <si>
    <t>Time</t>
  </si>
  <si>
    <t>Minutes</t>
  </si>
  <si>
    <t>Minmus</t>
  </si>
  <si>
    <t>Match Orbital Plane</t>
  </si>
  <si>
    <t>Mid course correction</t>
  </si>
  <si>
    <t>Landing</t>
  </si>
  <si>
    <t>Ascent</t>
  </si>
  <si>
    <t>Orbital Injection Burn</t>
  </si>
  <si>
    <t>Orbital Insertion</t>
  </si>
  <si>
    <t>POT-360E</t>
  </si>
  <si>
    <t>Core (HECS)</t>
  </si>
  <si>
    <t>POT-360C</t>
  </si>
  <si>
    <t>Control</t>
  </si>
  <si>
    <t>Total</t>
  </si>
  <si>
    <t>Small Wheel</t>
  </si>
  <si>
    <t>MK1-2 Pod</t>
  </si>
  <si>
    <t>Drag</t>
  </si>
  <si>
    <t>Crash Tolerance</t>
  </si>
  <si>
    <t>Max Temp</t>
  </si>
  <si>
    <t>Crew Capacity</t>
  </si>
  <si>
    <t>EC/min</t>
  </si>
  <si>
    <t>Life Support</t>
  </si>
  <si>
    <t>Reaction Wheel</t>
  </si>
  <si>
    <t>Torque</t>
  </si>
  <si>
    <t>LS</t>
  </si>
  <si>
    <t>mono</t>
  </si>
  <si>
    <t>3(1)</t>
  </si>
  <si>
    <t>LS/K/hour</t>
  </si>
  <si>
    <t>Mun Manned</t>
  </si>
  <si>
    <t>With Reserve</t>
  </si>
  <si>
    <t>Delta v needed</t>
  </si>
  <si>
    <t>CM</t>
  </si>
  <si>
    <t>minutes</t>
  </si>
  <si>
    <t>Std Dev</t>
  </si>
  <si>
    <t>apoapsis correction</t>
  </si>
  <si>
    <t>landing zone correction</t>
  </si>
  <si>
    <t>2 man Lander</t>
  </si>
  <si>
    <t>Total EC/LS total</t>
  </si>
  <si>
    <t>soi trans</t>
  </si>
  <si>
    <t>Imaging Sensor</t>
  </si>
  <si>
    <t>Imaging Snesor</t>
  </si>
  <si>
    <t>Circularize Mun Orbit (Time)</t>
  </si>
  <si>
    <t>Circularize Mun Orbit (mins)</t>
  </si>
  <si>
    <t>Circularize Mun Orbit (MET)</t>
  </si>
  <si>
    <t>Landing (MET)</t>
  </si>
  <si>
    <t>Landing (Time)</t>
  </si>
  <si>
    <t>Landing (mins)</t>
  </si>
  <si>
    <t>3 - Injection/Insertion</t>
  </si>
  <si>
    <t>3a - Mission</t>
  </si>
  <si>
    <t>Mun</t>
  </si>
  <si>
    <t>Communotron 88-88</t>
  </si>
  <si>
    <t>Atmo Sensor</t>
  </si>
  <si>
    <t>Moho</t>
  </si>
  <si>
    <t>OKTO</t>
  </si>
  <si>
    <t>w/ Solar Panels</t>
  </si>
  <si>
    <t>Solar Panels</t>
  </si>
  <si>
    <t>EC/h</t>
  </si>
  <si>
    <t>Protoype</t>
  </si>
  <si>
    <t>Splasdown (MET)</t>
  </si>
  <si>
    <t>Trans Kerbal Injection (Time)</t>
  </si>
  <si>
    <t>Trans Kerbal Injection (mins)</t>
  </si>
  <si>
    <t>Trans Kerbal Injection (MET)</t>
  </si>
  <si>
    <t>Adjust Periapsis (45 km)</t>
  </si>
  <si>
    <t>w/ panels</t>
  </si>
  <si>
    <t>1a - Booster Sep</t>
  </si>
  <si>
    <t>Lander</t>
  </si>
  <si>
    <t>dVvac</t>
  </si>
  <si>
    <t>dv</t>
  </si>
  <si>
    <t>Splasdwon</t>
  </si>
  <si>
    <t>Spalsdown</t>
  </si>
  <si>
    <t>Magnetometer</t>
  </si>
  <si>
    <t>SOlar Particle</t>
  </si>
  <si>
    <t>Orbit</t>
  </si>
  <si>
    <t>Injection</t>
  </si>
  <si>
    <t>Insertion</t>
  </si>
  <si>
    <t>Return</t>
  </si>
  <si>
    <t>Efficieny</t>
  </si>
  <si>
    <t>.25/s</t>
  </si>
  <si>
    <t>Altitude (km)</t>
  </si>
  <si>
    <t>Atmo</t>
  </si>
  <si>
    <t>Vac</t>
  </si>
  <si>
    <t>delta</t>
  </si>
  <si>
    <t>proportion</t>
  </si>
  <si>
    <t>TWR</t>
  </si>
  <si>
    <t>240x100 km</t>
  </si>
  <si>
    <t>250x250</t>
  </si>
  <si>
    <t>orbit</t>
  </si>
  <si>
    <t>drag</t>
  </si>
  <si>
    <t>gravity</t>
  </si>
  <si>
    <t>steering</t>
  </si>
  <si>
    <t>delta v</t>
  </si>
  <si>
    <t>318x249</t>
  </si>
  <si>
    <t>Titan</t>
  </si>
  <si>
    <t>300x250</t>
  </si>
  <si>
    <t>Agena</t>
  </si>
  <si>
    <t>Gemini/Titan I</t>
  </si>
  <si>
    <t>100x100</t>
  </si>
  <si>
    <t>lack of data</t>
  </si>
  <si>
    <t>Atlas</t>
  </si>
  <si>
    <t>Orbit Apsoapsis</t>
  </si>
  <si>
    <t>Periapsis</t>
  </si>
  <si>
    <t>Radius of Body</t>
  </si>
  <si>
    <t>Mass of Body</t>
  </si>
  <si>
    <t>ra</t>
  </si>
  <si>
    <t>a</t>
  </si>
  <si>
    <t>b</t>
  </si>
  <si>
    <t>e</t>
  </si>
  <si>
    <t>rp</t>
  </si>
  <si>
    <t>l</t>
  </si>
  <si>
    <t>u</t>
  </si>
  <si>
    <t>h</t>
  </si>
  <si>
    <t>Td</t>
  </si>
  <si>
    <t>E dot (EC/s)</t>
  </si>
  <si>
    <t>GM</t>
  </si>
  <si>
    <t>Combined</t>
  </si>
  <si>
    <t>Inclination</t>
  </si>
  <si>
    <t>V1</t>
  </si>
  <si>
    <t>V2</t>
  </si>
  <si>
    <t>i1</t>
  </si>
  <si>
    <t>i2</t>
  </si>
  <si>
    <t>theta</t>
  </si>
  <si>
    <t>v</t>
  </si>
  <si>
    <t>dv1</t>
  </si>
  <si>
    <t>dv2</t>
  </si>
  <si>
    <t>dv3</t>
  </si>
  <si>
    <t>pitch</t>
  </si>
  <si>
    <t>EC Need (EC/s)</t>
  </si>
  <si>
    <t>RA-2</t>
  </si>
  <si>
    <t>HG-5</t>
  </si>
  <si>
    <t>C-16</t>
  </si>
  <si>
    <t>Body</t>
  </si>
  <si>
    <t>Kerbin</t>
  </si>
  <si>
    <t>Time of Flight</t>
  </si>
  <si>
    <t>Hours</t>
  </si>
  <si>
    <t>Seconds</t>
  </si>
  <si>
    <t>Total Seconds</t>
  </si>
  <si>
    <t>Adjust Inclinarion (90 deg)</t>
  </si>
  <si>
    <t>Atlas II</t>
  </si>
  <si>
    <t>250x251</t>
  </si>
  <si>
    <t>Pitch</t>
  </si>
  <si>
    <t>Time to SOI Change</t>
  </si>
  <si>
    <t>Time to Orbit Insertion</t>
  </si>
  <si>
    <t>Alas II</t>
  </si>
  <si>
    <t>Saturn</t>
  </si>
  <si>
    <t>150x150</t>
  </si>
  <si>
    <t>Inclination Change</t>
  </si>
  <si>
    <t>PDI</t>
  </si>
  <si>
    <t>DOI</t>
  </si>
  <si>
    <t>Apollo 2</t>
  </si>
  <si>
    <t>Circularize</t>
  </si>
  <si>
    <t>Kerbin Orbit</t>
  </si>
  <si>
    <t>Kerbin Altitude</t>
  </si>
  <si>
    <t>Burn Altitude</t>
  </si>
  <si>
    <t>Rendezvous</t>
  </si>
  <si>
    <t>20x20</t>
  </si>
  <si>
    <t>Inclination change</t>
  </si>
  <si>
    <t>Closing</t>
  </si>
  <si>
    <t>Total RCS</t>
  </si>
  <si>
    <t>periapsis correction</t>
  </si>
  <si>
    <t>Randevous</t>
  </si>
  <si>
    <t>Trans-Kerbin Injection</t>
  </si>
  <si>
    <t>Kerbin SOI</t>
  </si>
  <si>
    <t>Kerbin Apoapsis</t>
  </si>
  <si>
    <t>CM seperation</t>
  </si>
  <si>
    <t>Re entry</t>
  </si>
  <si>
    <t>Mains</t>
  </si>
  <si>
    <t>Total return</t>
  </si>
  <si>
    <t>MET</t>
  </si>
  <si>
    <t>Ablator Used</t>
  </si>
  <si>
    <t>3 - Payload</t>
  </si>
  <si>
    <t>Multi-Spectral Imaging Platform</t>
  </si>
  <si>
    <t>Orbital Telescope</t>
  </si>
  <si>
    <t>Packets (mits)</t>
  </si>
  <si>
    <t>Bandwidth (Mits/sec)</t>
  </si>
  <si>
    <t>Power (EC/sec)</t>
  </si>
  <si>
    <t>Rating (m)</t>
  </si>
  <si>
    <t>L1</t>
  </si>
  <si>
    <t>HG-55</t>
  </si>
  <si>
    <t>RA-100</t>
  </si>
  <si>
    <t>RA-15</t>
  </si>
  <si>
    <t>SCAN RADAR Altimetry Sensor</t>
  </si>
  <si>
    <t>Atlas I</t>
  </si>
  <si>
    <t>Apollo 3</t>
  </si>
  <si>
    <t>Juno III</t>
  </si>
  <si>
    <t>delta stage 1</t>
  </si>
  <si>
    <t>delta stage 2</t>
  </si>
  <si>
    <t>dv expended</t>
  </si>
  <si>
    <t>dv to orbit</t>
  </si>
  <si>
    <t>delta stage 3</t>
  </si>
  <si>
    <t>alt @ meco</t>
  </si>
  <si>
    <t>Alt a</t>
  </si>
  <si>
    <t>Alt b</t>
  </si>
  <si>
    <t>rA</t>
  </si>
  <si>
    <t>rB</t>
  </si>
  <si>
    <t>atx</t>
  </si>
  <si>
    <t>Geosyncronuz</t>
  </si>
  <si>
    <t>Body Radius</t>
  </si>
  <si>
    <t>Final Velocity at B</t>
  </si>
  <si>
    <t>Initial Velocity at A</t>
  </si>
  <si>
    <t>VtxB</t>
  </si>
  <si>
    <t>VtxA</t>
  </si>
  <si>
    <t>dvA</t>
  </si>
  <si>
    <t>dvB</t>
  </si>
  <si>
    <t>dvT</t>
  </si>
  <si>
    <t>dv atm</t>
  </si>
  <si>
    <t>dv vac</t>
  </si>
  <si>
    <t>dv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</si>
</sst>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h:mm:ss;@"/>
    <numFmt numFmtId="166" formatCode="[h]:mm:ss;@"/>
    <numFmt numFmtId="167" formatCode="0.000"/>
    <numFmt numFmtId="168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wrapText="1"/>
    </xf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 applyAlignment="1">
      <alignment horizontal="right"/>
    </xf>
    <xf numFmtId="1" fontId="0" fillId="0" borderId="0" xfId="0" applyNumberFormat="1" applyBorder="1"/>
    <xf numFmtId="164" fontId="0" fillId="0" borderId="0" xfId="0" applyNumberFormat="1"/>
    <xf numFmtId="2" fontId="0" fillId="0" borderId="0" xfId="0" applyNumberFormat="1"/>
    <xf numFmtId="164" fontId="0" fillId="0" borderId="0" xfId="0" applyNumberFormat="1" applyBorder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1" fontId="0" fillId="0" borderId="1" xfId="0" applyNumberFormat="1" applyBorder="1"/>
    <xf numFmtId="0" fontId="0" fillId="0" borderId="1" xfId="0" applyBorder="1" applyAlignment="1">
      <alignment horizontal="center" wrapText="1"/>
    </xf>
    <xf numFmtId="0" fontId="0" fillId="0" borderId="0" xfId="0" applyFill="1" applyBorder="1"/>
    <xf numFmtId="0" fontId="0" fillId="0" borderId="0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0" xfId="0" applyNumberFormat="1" applyBorder="1"/>
    <xf numFmtId="165" fontId="0" fillId="0" borderId="2" xfId="0" applyNumberFormat="1" applyBorder="1"/>
    <xf numFmtId="165" fontId="0" fillId="0" borderId="0" xfId="0" applyNumberFormat="1" applyFill="1" applyBorder="1"/>
    <xf numFmtId="166" fontId="0" fillId="0" borderId="0" xfId="0" applyNumberFormat="1"/>
    <xf numFmtId="21" fontId="0" fillId="0" borderId="2" xfId="0" applyNumberFormat="1" applyBorder="1"/>
    <xf numFmtId="0" fontId="0" fillId="0" borderId="0" xfId="0" applyFill="1" applyBorder="1" applyAlignment="1">
      <alignment horizontal="center" wrapText="1"/>
    </xf>
    <xf numFmtId="2" fontId="0" fillId="0" borderId="0" xfId="0" applyNumberFormat="1" applyBorder="1"/>
    <xf numFmtId="21" fontId="0" fillId="0" borderId="0" xfId="0" applyNumberFormat="1"/>
    <xf numFmtId="0" fontId="0" fillId="0" borderId="1" xfId="0" applyBorder="1" applyAlignment="1">
      <alignment horizontal="center"/>
    </xf>
    <xf numFmtId="164" fontId="0" fillId="0" borderId="0" xfId="0" applyNumberFormat="1" applyFill="1" applyBorder="1"/>
    <xf numFmtId="21" fontId="0" fillId="0" borderId="1" xfId="0" applyNumberFormat="1" applyBorder="1"/>
    <xf numFmtId="21" fontId="0" fillId="0" borderId="0" xfId="0" applyNumberFormat="1" applyBorder="1"/>
    <xf numFmtId="2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2" fontId="0" fillId="0" borderId="2" xfId="0" applyNumberFormat="1" applyBorder="1"/>
    <xf numFmtId="167" fontId="0" fillId="0" borderId="0" xfId="0" applyNumberFormat="1"/>
    <xf numFmtId="166" fontId="0" fillId="0" borderId="2" xfId="0" applyNumberFormat="1" applyBorder="1"/>
    <xf numFmtId="166" fontId="0" fillId="0" borderId="1" xfId="0" applyNumberFormat="1" applyBorder="1"/>
    <xf numFmtId="166" fontId="0" fillId="0" borderId="0" xfId="0" applyNumberFormat="1" applyBorder="1"/>
    <xf numFmtId="0" fontId="0" fillId="0" borderId="0" xfId="0" applyAlignment="1">
      <alignment horizontal="center"/>
    </xf>
    <xf numFmtId="168" fontId="0" fillId="0" borderId="0" xfId="0" applyNumberFormat="1"/>
    <xf numFmtId="0" fontId="0" fillId="0" borderId="0" xfId="0" applyBorder="1" applyAlignment="1">
      <alignment wrapText="1"/>
    </xf>
    <xf numFmtId="11" fontId="0" fillId="0" borderId="0" xfId="0" applyNumberFormat="1"/>
    <xf numFmtId="2" fontId="0" fillId="0" borderId="0" xfId="0" applyNumberFormat="1" applyFill="1" applyBorder="1"/>
    <xf numFmtId="1" fontId="0" fillId="0" borderId="2" xfId="0" applyNumberFormat="1" applyBorder="1"/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" fontId="0" fillId="0" borderId="6" xfId="0" applyNumberFormat="1" applyBorder="1"/>
    <xf numFmtId="1" fontId="0" fillId="0" borderId="7" xfId="0" applyNumberFormat="1" applyBorder="1"/>
    <xf numFmtId="2" fontId="0" fillId="0" borderId="8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4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8"/>
  <sheetViews>
    <sheetView workbookViewId="0">
      <selection activeCell="F23" sqref="F23"/>
    </sheetView>
  </sheetViews>
  <sheetFormatPr defaultRowHeight="15" x14ac:dyDescent="0.2"/>
  <cols>
    <col min="1" max="1" width="20.58203125" bestFit="1" customWidth="1"/>
    <col min="8" max="8" width="10.625" bestFit="1" customWidth="1"/>
    <col min="9" max="9" width="10.625" customWidth="1"/>
    <col min="14" max="14" width="11.43359375" bestFit="1" customWidth="1"/>
    <col min="15" max="24" width="11.43359375" customWidth="1"/>
    <col min="25" max="25" width="9.4140625" bestFit="1" customWidth="1"/>
  </cols>
  <sheetData>
    <row r="1" spans="1:32" x14ac:dyDescent="0.2">
      <c r="B1" t="s">
        <v>5</v>
      </c>
      <c r="C1" t="s">
        <v>6</v>
      </c>
      <c r="D1" t="s">
        <v>4</v>
      </c>
      <c r="E1" t="s">
        <v>7</v>
      </c>
      <c r="G1" t="s">
        <v>13</v>
      </c>
      <c r="H1" t="s">
        <v>21</v>
      </c>
      <c r="L1" t="s">
        <v>47</v>
      </c>
      <c r="AA1" t="s">
        <v>57</v>
      </c>
    </row>
    <row r="2" spans="1:32" x14ac:dyDescent="0.2">
      <c r="A2" t="s">
        <v>46</v>
      </c>
      <c r="J2" t="s">
        <v>66</v>
      </c>
      <c r="L2" t="s">
        <v>53</v>
      </c>
      <c r="M2" t="s">
        <v>105</v>
      </c>
      <c r="N2" t="s">
        <v>76</v>
      </c>
      <c r="O2" t="s">
        <v>78</v>
      </c>
      <c r="P2" t="s">
        <v>79</v>
      </c>
      <c r="X2" t="s">
        <v>75</v>
      </c>
      <c r="Y2" t="s">
        <v>77</v>
      </c>
      <c r="Z2" t="s">
        <v>65</v>
      </c>
      <c r="AA2" t="s">
        <v>58</v>
      </c>
      <c r="AB2" t="s">
        <v>38</v>
      </c>
    </row>
    <row r="3" spans="1:32" x14ac:dyDescent="0.2">
      <c r="A3" t="s">
        <v>59</v>
      </c>
      <c r="C3">
        <v>927</v>
      </c>
      <c r="D3">
        <f>C3</f>
        <v>927</v>
      </c>
      <c r="E3">
        <f>D3</f>
        <v>927</v>
      </c>
      <c r="G3">
        <f>ROUNDUP((Mun!F28+Mun!G28+Mun!T28+Mun!U28+Mun!V28)*1.01,0)</f>
        <v>669</v>
      </c>
      <c r="H3">
        <f>E3-G3</f>
        <v>258</v>
      </c>
      <c r="J3" s="10">
        <v>60</v>
      </c>
      <c r="K3" s="10"/>
      <c r="L3">
        <v>6000</v>
      </c>
      <c r="N3" s="10">
        <f>Batteries!$B$39*J3</f>
        <v>150</v>
      </c>
      <c r="P3" s="10">
        <f>SUM(L3:O3)*1.01</f>
        <v>6211.5</v>
      </c>
      <c r="X3" s="9">
        <f>P3/Batteries!$B$33</f>
        <v>1.9410937500000001</v>
      </c>
      <c r="Y3" s="9">
        <f>N3/Batteries!$B$34</f>
        <v>0.75</v>
      </c>
      <c r="Z3" s="9">
        <f>P3/Batteries!$B$32</f>
        <v>7.7643750000000002</v>
      </c>
      <c r="AA3" s="9">
        <f>(P3/Batteries!$B$32-ROUNDDOWN(P3/Batteries!$B$32,0))*Batteries!$B$32/Batteries!$B$31</f>
        <v>1.5287500000000005</v>
      </c>
      <c r="AB3" s="1">
        <f>(P3/Batteries!$B$31-ROUNDDOWN(P3/Batteries!$B$31,0))*Batteries!$B$31/Batteries!$B$30</f>
        <v>4.230000000000004</v>
      </c>
    </row>
    <row r="4" spans="1:32" x14ac:dyDescent="0.2">
      <c r="A4" t="s">
        <v>114</v>
      </c>
      <c r="J4" s="10">
        <v>0</v>
      </c>
      <c r="K4" s="10"/>
      <c r="M4">
        <f>J4*Batteries!$B$41</f>
        <v>0</v>
      </c>
      <c r="N4" s="10"/>
      <c r="P4" s="10"/>
      <c r="X4" s="9"/>
      <c r="Y4" s="9"/>
      <c r="Z4" s="9"/>
      <c r="AA4" s="9"/>
      <c r="AB4" s="1"/>
    </row>
    <row r="5" spans="1:32" x14ac:dyDescent="0.2">
      <c r="A5" t="s">
        <v>113</v>
      </c>
      <c r="C5">
        <v>0</v>
      </c>
      <c r="D5">
        <f>C5</f>
        <v>0</v>
      </c>
      <c r="E5" s="1">
        <f>H7+D5</f>
        <v>829.26415094339609</v>
      </c>
      <c r="G5">
        <f>ROUNDUP(Mun!C$28*1.01,0)</f>
        <v>849</v>
      </c>
      <c r="H5" s="1">
        <f>E5-G5</f>
        <v>-19.735849056603911</v>
      </c>
      <c r="J5" s="10">
        <f>Mun!C62</f>
        <v>0</v>
      </c>
      <c r="K5" s="10"/>
      <c r="N5" s="10">
        <f>Batteries!$B$39*J5</f>
        <v>0</v>
      </c>
      <c r="P5" s="10">
        <f>SUM(L5:O5)*1.01</f>
        <v>0</v>
      </c>
      <c r="X5" s="9">
        <f>P5/Batteries!$B$33</f>
        <v>0</v>
      </c>
      <c r="Y5" s="9">
        <f>N5/Batteries!$B$34</f>
        <v>0</v>
      </c>
      <c r="Z5" s="9">
        <f>P5/Batteries!$B$32</f>
        <v>0</v>
      </c>
      <c r="AA5" s="9">
        <f>(P5/Batteries!$B$32-ROUNDDOWN(P5/Batteries!$B$32,0))*Batteries!$B$32/Batteries!$B$31</f>
        <v>0</v>
      </c>
      <c r="AB5" s="1">
        <f>(P5/Batteries!$B$31-ROUNDDOWN(P5/Batteries!$B$31,0))*Batteries!$B$31/Batteries!$B$30</f>
        <v>0</v>
      </c>
    </row>
    <row r="6" spans="1:32" x14ac:dyDescent="0.2">
      <c r="A6" t="s">
        <v>61</v>
      </c>
      <c r="C6">
        <v>2452</v>
      </c>
      <c r="D6">
        <f>C6</f>
        <v>2452</v>
      </c>
      <c r="E6" s="1"/>
      <c r="N6" s="10">
        <f>Batteries!$B$39*J6</f>
        <v>0</v>
      </c>
      <c r="P6" s="10"/>
      <c r="X6" s="9">
        <f>P6/Batteries!$B$33</f>
        <v>0</v>
      </c>
      <c r="Y6" s="9"/>
      <c r="Z6" s="9">
        <f>P6/Batteries!$B$32</f>
        <v>0</v>
      </c>
      <c r="AA6" s="9">
        <f>(P6/Batteries!$B$32-ROUNDDOWN(P6/Batteries!$B$32,0))*Batteries!$B$32/Batteries!$B$31</f>
        <v>0</v>
      </c>
      <c r="AB6" s="1">
        <f>(P6/Batteries!$B$31-ROUNDDOWN(P6/Batteries!$B$31,0))*Batteries!$B$31/Batteries!$B$30</f>
        <v>0</v>
      </c>
    </row>
    <row r="7" spans="1:32" x14ac:dyDescent="0.2">
      <c r="A7" t="s">
        <v>62</v>
      </c>
      <c r="B7">
        <v>2120</v>
      </c>
      <c r="C7">
        <v>2306</v>
      </c>
      <c r="D7" s="1">
        <f>(((B7-1000)/B7)*C7)+1000</f>
        <v>2218.2641509433961</v>
      </c>
      <c r="E7" s="1">
        <f>D6+D7</f>
        <v>4670.2641509433961</v>
      </c>
      <c r="G7">
        <f>ROUNDUP(Kerbin!H30*1.01,0)</f>
        <v>3841</v>
      </c>
      <c r="H7" s="1">
        <f>E7-G7</f>
        <v>829.26415094339609</v>
      </c>
      <c r="I7" s="1"/>
      <c r="J7" s="10" t="e">
        <f>Kerbin!#REF!*1.01</f>
        <v>#REF!</v>
      </c>
      <c r="K7" s="10"/>
      <c r="N7" s="10" t="e">
        <f>Batteries!$B$39*J7</f>
        <v>#REF!</v>
      </c>
      <c r="P7" s="10" t="e">
        <f>SUM(L7:O7)*1.01</f>
        <v>#REF!</v>
      </c>
      <c r="X7" s="9" t="e">
        <f>P7/Batteries!$B$33</f>
        <v>#REF!</v>
      </c>
      <c r="Y7" s="9" t="e">
        <f>N7/Batteries!$B$34</f>
        <v>#REF!</v>
      </c>
      <c r="Z7" s="9" t="e">
        <f>P7/Batteries!$B$32</f>
        <v>#REF!</v>
      </c>
      <c r="AA7" s="9" t="e">
        <f>(P7/Batteries!$B$32-ROUNDDOWN(P7/Batteries!$B$32,0))*Batteries!$B$32/Batteries!$B$31</f>
        <v>#REF!</v>
      </c>
      <c r="AB7" s="1" t="e">
        <f>(P7/Batteries!$B$31-ROUNDDOWN(P7/Batteries!$B$31,0))*Batteries!$B$31/Batteries!$B$30</f>
        <v>#REF!</v>
      </c>
    </row>
    <row r="8" spans="1:32" x14ac:dyDescent="0.2">
      <c r="D8" s="1"/>
      <c r="E8" s="1"/>
      <c r="G8">
        <f>SUM(G3:G7)</f>
        <v>5359</v>
      </c>
      <c r="H8" s="1">
        <f>SUM(H3:H7)</f>
        <v>1067.5283018867922</v>
      </c>
      <c r="I8" s="1"/>
      <c r="J8" s="10" t="e">
        <f>SUM(J3:J7)</f>
        <v>#REF!</v>
      </c>
      <c r="L8" s="10">
        <f>SUM(L3:L7)</f>
        <v>6000</v>
      </c>
      <c r="M8">
        <f>60*Batteries!$B$41</f>
        <v>1002</v>
      </c>
      <c r="N8" s="10" t="e">
        <f>Batteries!$B$39*$J8</f>
        <v>#REF!</v>
      </c>
      <c r="O8" s="10" t="e">
        <f>Batteries!$B$39*$J8</f>
        <v>#REF!</v>
      </c>
      <c r="P8" s="10" t="e">
        <f>SUM(L8:O8)*1.01</f>
        <v>#REF!</v>
      </c>
      <c r="Q8" s="4"/>
      <c r="R8" s="4"/>
      <c r="S8" s="4"/>
      <c r="T8" s="4"/>
      <c r="U8" s="4"/>
      <c r="V8" s="4"/>
      <c r="W8" s="4"/>
      <c r="X8" s="9" t="e">
        <f>P8/Batteries!$B$33</f>
        <v>#REF!</v>
      </c>
      <c r="Y8" s="9" t="e">
        <f>N8/Batteries!$B$34</f>
        <v>#REF!</v>
      </c>
      <c r="Z8" s="9" t="e">
        <f>P8/Batteries!$B$32</f>
        <v>#REF!</v>
      </c>
      <c r="AA8" s="9" t="e">
        <f>(P8/Batteries!$B$32-ROUNDDOWN(P8/Batteries!$B$32,0))*Batteries!$B$32/Batteries!$B$31</f>
        <v>#REF!</v>
      </c>
      <c r="AB8" s="1" t="e">
        <f>(P8/Batteries!$B$31-ROUNDDOWN(P8/Batteries!$B$31,0))*Batteries!$B$31/Batteries!$B$30</f>
        <v>#REF!</v>
      </c>
      <c r="AC8" s="4"/>
      <c r="AD8" s="4"/>
      <c r="AE8" s="4"/>
      <c r="AF8" s="4"/>
    </row>
    <row r="9" spans="1:32" x14ac:dyDescent="0.2">
      <c r="E9" s="1"/>
      <c r="N9" s="4"/>
      <c r="O9" s="4"/>
      <c r="P9" s="4"/>
      <c r="Q9" s="4"/>
      <c r="R9" s="4"/>
      <c r="S9" s="4"/>
      <c r="T9" s="4"/>
      <c r="U9" s="4"/>
      <c r="V9" s="4"/>
      <c r="W9" s="4"/>
      <c r="AC9" s="4"/>
      <c r="AD9" s="4"/>
      <c r="AE9" s="7"/>
      <c r="AF9" s="4"/>
    </row>
    <row r="10" spans="1:32" x14ac:dyDescent="0.2">
      <c r="A10" t="s">
        <v>68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8"/>
    </row>
    <row r="11" spans="1:32" x14ac:dyDescent="0.2">
      <c r="B11" t="s">
        <v>5</v>
      </c>
      <c r="C11" t="s">
        <v>6</v>
      </c>
      <c r="D11" t="s">
        <v>4</v>
      </c>
      <c r="E11" t="s">
        <v>7</v>
      </c>
      <c r="G11" t="s">
        <v>13</v>
      </c>
      <c r="H11" t="s">
        <v>21</v>
      </c>
      <c r="L11" t="s">
        <v>47</v>
      </c>
      <c r="AA11" t="s">
        <v>57</v>
      </c>
      <c r="AD11" s="4"/>
      <c r="AE11" s="4"/>
      <c r="AF11" s="8"/>
    </row>
    <row r="12" spans="1:32" x14ac:dyDescent="0.2">
      <c r="A12" t="s">
        <v>46</v>
      </c>
      <c r="J12" t="s">
        <v>66</v>
      </c>
      <c r="L12" t="s">
        <v>53</v>
      </c>
      <c r="M12" t="s">
        <v>105</v>
      </c>
      <c r="N12" t="s">
        <v>76</v>
      </c>
      <c r="O12" t="s">
        <v>78</v>
      </c>
      <c r="P12" t="s">
        <v>129</v>
      </c>
      <c r="Q12" t="s">
        <v>79</v>
      </c>
      <c r="R12" t="s">
        <v>31</v>
      </c>
      <c r="S12" t="s">
        <v>21</v>
      </c>
      <c r="X12" t="s">
        <v>75</v>
      </c>
      <c r="Y12" t="s">
        <v>77</v>
      </c>
      <c r="Z12" t="s">
        <v>65</v>
      </c>
      <c r="AA12" t="s">
        <v>58</v>
      </c>
      <c r="AB12" t="s">
        <v>38</v>
      </c>
      <c r="AD12" s="4"/>
      <c r="AE12" s="4"/>
      <c r="AF12" s="8"/>
    </row>
    <row r="13" spans="1:32" x14ac:dyDescent="0.2">
      <c r="A13" t="s">
        <v>59</v>
      </c>
      <c r="C13">
        <v>0</v>
      </c>
      <c r="D13">
        <f>C13</f>
        <v>0</v>
      </c>
      <c r="E13">
        <f>D13</f>
        <v>0</v>
      </c>
      <c r="G13">
        <f>ROUNDUP(Minmus!M29*1.01,0)</f>
        <v>182</v>
      </c>
      <c r="H13">
        <f>E13-G13</f>
        <v>-182</v>
      </c>
      <c r="J13" s="10">
        <f>Minmus!L59</f>
        <v>600</v>
      </c>
      <c r="K13" s="10"/>
      <c r="N13" s="10">
        <f>Batteries!$B$39*J13</f>
        <v>1500</v>
      </c>
      <c r="O13" s="10"/>
      <c r="Q13" s="10">
        <f>SUM(L13:O13)*1.01</f>
        <v>1515</v>
      </c>
      <c r="R13" s="10">
        <v>9600</v>
      </c>
      <c r="S13" s="10">
        <f>R13-Q13</f>
        <v>8085</v>
      </c>
      <c r="T13" s="10"/>
      <c r="U13" s="10"/>
      <c r="V13" s="10"/>
      <c r="W13" s="10"/>
      <c r="X13" s="36">
        <f>Q13/Batteries!$B$33</f>
        <v>0.47343750000000001</v>
      </c>
      <c r="Y13" s="9">
        <f>N13/Batteries!$B$34</f>
        <v>7.5</v>
      </c>
      <c r="Z13" s="9">
        <f>Q13/Batteries!$B$32</f>
        <v>1.89375</v>
      </c>
      <c r="AA13" s="9">
        <f>(Q13/Batteries!$B$32-ROUNDDOWN(Q13/Batteries!$B$32,0))*Batteries!$B$32/Batteries!$B$31</f>
        <v>1.7875000000000001</v>
      </c>
      <c r="AB13" s="1">
        <f>(Q13/Batteries!$B$31-ROUNDDOWN(Q13/Batteries!$B$31,0))*Batteries!$B$31/Batteries!$B$30</f>
        <v>6.3000000000000007</v>
      </c>
      <c r="AD13" s="4"/>
      <c r="AE13" s="4"/>
      <c r="AF13" s="8"/>
    </row>
    <row r="14" spans="1:32" x14ac:dyDescent="0.2">
      <c r="A14" t="s">
        <v>114</v>
      </c>
      <c r="G14">
        <f>Minmus!J29</f>
        <v>670.45670996926333</v>
      </c>
      <c r="J14" s="10">
        <v>60</v>
      </c>
      <c r="K14" s="10"/>
      <c r="L14">
        <v>0</v>
      </c>
      <c r="M14">
        <v>0</v>
      </c>
      <c r="N14" s="10"/>
      <c r="O14" s="10"/>
      <c r="Q14" s="10">
        <f>SUM(L14:O14)*1.01</f>
        <v>0</v>
      </c>
      <c r="R14" s="10"/>
      <c r="S14" s="10">
        <f>R14-Q14</f>
        <v>0</v>
      </c>
      <c r="T14" s="10"/>
      <c r="U14" s="10"/>
      <c r="V14" s="10"/>
      <c r="W14" s="10"/>
      <c r="X14" s="36">
        <f>Q14/Batteries!$B$33</f>
        <v>0</v>
      </c>
      <c r="Y14" s="9"/>
      <c r="Z14" s="9"/>
      <c r="AA14" s="9"/>
      <c r="AB14" s="1"/>
      <c r="AD14" s="4"/>
      <c r="AE14" s="4"/>
      <c r="AF14" s="8"/>
    </row>
    <row r="15" spans="1:32" x14ac:dyDescent="0.2">
      <c r="A15" t="s">
        <v>60</v>
      </c>
      <c r="C15">
        <v>1838</v>
      </c>
      <c r="D15">
        <f>C15</f>
        <v>1838</v>
      </c>
      <c r="E15" s="1">
        <f>D15</f>
        <v>1838</v>
      </c>
      <c r="G15">
        <f>ROUNDUP(Minmus!F$29*1.01,0)</f>
        <v>232</v>
      </c>
      <c r="H15" s="1">
        <f>D15-G15</f>
        <v>1606</v>
      </c>
      <c r="J15" s="10" t="e">
        <f>Minmus!C59</f>
        <v>#DIV/0!</v>
      </c>
      <c r="K15" s="10"/>
      <c r="N15" s="10" t="e">
        <f>Batteries!$B$39*J15</f>
        <v>#DIV/0!</v>
      </c>
      <c r="O15" s="10"/>
      <c r="Q15" s="10" t="e">
        <f>SUM(L15:O15)*1.01</f>
        <v>#DIV/0!</v>
      </c>
      <c r="R15" s="10">
        <f>3200*3</f>
        <v>9600</v>
      </c>
      <c r="S15" s="10" t="e">
        <f>R15-N15</f>
        <v>#DIV/0!</v>
      </c>
      <c r="T15" s="10"/>
      <c r="U15" s="10"/>
      <c r="V15" s="10"/>
      <c r="W15" s="10"/>
      <c r="X15" s="36" t="e">
        <f>Q15/Batteries!$B$33</f>
        <v>#DIV/0!</v>
      </c>
      <c r="Y15" s="9" t="e">
        <f>N15/Batteries!$B$34</f>
        <v>#DIV/0!</v>
      </c>
      <c r="Z15" s="9" t="e">
        <f>Q15/Batteries!$B$32</f>
        <v>#DIV/0!</v>
      </c>
      <c r="AA15" s="9" t="e">
        <f>(Q15/Batteries!$B$32-ROUNDDOWN(Q15/Batteries!$B$32,0))*Batteries!$B$32/Batteries!$B$31</f>
        <v>#DIV/0!</v>
      </c>
      <c r="AB15" s="1" t="e">
        <f>(Q15/Batteries!$B$31-ROUNDDOWN(Q15/Batteries!$B$31,0))*Batteries!$B$31/Batteries!$B$30</f>
        <v>#DIV/0!</v>
      </c>
      <c r="AD15" s="4"/>
      <c r="AE15" s="4"/>
      <c r="AF15" s="8"/>
    </row>
    <row r="16" spans="1:32" x14ac:dyDescent="0.2">
      <c r="A16" t="s">
        <v>61</v>
      </c>
      <c r="C16">
        <v>2270</v>
      </c>
      <c r="D16">
        <f>C16</f>
        <v>2270</v>
      </c>
      <c r="E16" s="1">
        <f>E15+D16</f>
        <v>4108</v>
      </c>
      <c r="N16" s="10">
        <f>Batteries!$B$39*J16</f>
        <v>0</v>
      </c>
      <c r="O16" s="10"/>
      <c r="Q16" s="10"/>
      <c r="R16" s="10"/>
      <c r="S16" s="10"/>
      <c r="T16" s="10"/>
      <c r="U16" s="10"/>
      <c r="V16" s="10"/>
      <c r="W16" s="10"/>
      <c r="X16" s="36">
        <f>Q16/Batteries!$B$33</f>
        <v>0</v>
      </c>
      <c r="Y16" s="9"/>
      <c r="Z16" s="9">
        <f>Q16/Batteries!$B$32</f>
        <v>0</v>
      </c>
      <c r="AA16" s="9">
        <f>(Q16/Batteries!$B$32-ROUNDDOWN(Q16/Batteries!$B$32,0))*Batteries!$B$32/Batteries!$B$31</f>
        <v>0</v>
      </c>
      <c r="AB16" s="1">
        <f>(Q16/Batteries!$B$31-ROUNDDOWN(Q16/Batteries!$B$31,0))*Batteries!$B$31/Batteries!$B$30</f>
        <v>0</v>
      </c>
      <c r="AD16" s="4"/>
      <c r="AE16" s="4"/>
      <c r="AF16" s="8"/>
    </row>
    <row r="17" spans="1:32" x14ac:dyDescent="0.2">
      <c r="A17" t="s">
        <v>62</v>
      </c>
      <c r="B17">
        <v>1892</v>
      </c>
      <c r="C17">
        <v>2230</v>
      </c>
      <c r="D17" s="1">
        <f>(((B17-1000)/B17)*C17)+1000</f>
        <v>2051.3530655391123</v>
      </c>
      <c r="E17" s="1">
        <f>D16+D17</f>
        <v>4321.3530655391123</v>
      </c>
      <c r="G17">
        <f>ROUNDUP(Kerbin!H30*1.01,0)</f>
        <v>3841</v>
      </c>
      <c r="H17" s="1">
        <f>(D16+D17)-G17</f>
        <v>480.35306553911232</v>
      </c>
      <c r="I17" s="1"/>
      <c r="J17" s="10"/>
      <c r="K17" s="10"/>
      <c r="N17" s="10">
        <f>Batteries!$B$39*J17</f>
        <v>0</v>
      </c>
      <c r="O17" s="10"/>
      <c r="Q17" s="10">
        <f>SUM(L17:O17)*1.01</f>
        <v>0</v>
      </c>
      <c r="R17" s="10"/>
      <c r="S17" s="10">
        <f>R17-N17</f>
        <v>0</v>
      </c>
      <c r="T17" s="10"/>
      <c r="U17" s="10"/>
      <c r="V17" s="10"/>
      <c r="W17" s="10"/>
      <c r="X17" s="36">
        <f>Q17/Batteries!$B$33</f>
        <v>0</v>
      </c>
      <c r="Y17" s="9">
        <f>N17/Batteries!$B$34</f>
        <v>0</v>
      </c>
      <c r="Z17" s="9">
        <f>Q17/Batteries!$B$32</f>
        <v>0</v>
      </c>
      <c r="AA17" s="9">
        <f>(Q17/Batteries!$B$32-ROUNDDOWN(Q17/Batteries!$B$32,0))*Batteries!$B$32/Batteries!$B$31</f>
        <v>0</v>
      </c>
      <c r="AB17" s="1">
        <f>(Q17/Batteries!$B$31-ROUNDDOWN(Q17/Batteries!$B$31,0))*Batteries!$B$31/Batteries!$B$30</f>
        <v>0</v>
      </c>
      <c r="AD17" s="4"/>
      <c r="AE17" s="4"/>
      <c r="AF17" s="4"/>
    </row>
    <row r="18" spans="1:32" x14ac:dyDescent="0.2">
      <c r="A18" t="s">
        <v>79</v>
      </c>
      <c r="D18" s="1"/>
      <c r="E18" s="1"/>
      <c r="G18">
        <f>SUM(G13:G17)</f>
        <v>4925.4567099692631</v>
      </c>
      <c r="H18" s="1">
        <f>SUM(H13:H17)</f>
        <v>1904.3530655391123</v>
      </c>
      <c r="I18" s="1"/>
      <c r="J18" s="10" t="e">
        <f>SUM(J13:J17)</f>
        <v>#DIV/0!</v>
      </c>
      <c r="K18" s="10"/>
      <c r="L18" s="4">
        <f>SUM(L13:L17)</f>
        <v>0</v>
      </c>
      <c r="M18">
        <f>60*Batteries!$B$41</f>
        <v>1002</v>
      </c>
      <c r="N18" s="10" t="e">
        <f>Batteries!$B$39*J18</f>
        <v>#DIV/0!</v>
      </c>
      <c r="O18" s="26"/>
      <c r="Q18" s="10" t="e">
        <f>SUM(L18:O18)*1.01</f>
        <v>#DIV/0!</v>
      </c>
      <c r="R18" s="26">
        <f>SUM(R13:R17)</f>
        <v>19200</v>
      </c>
      <c r="S18" s="10" t="e">
        <f>R18-Q18</f>
        <v>#DIV/0!</v>
      </c>
      <c r="T18" s="10"/>
      <c r="U18" s="10"/>
      <c r="V18" s="10"/>
      <c r="W18" s="10"/>
      <c r="X18" s="36" t="e">
        <f>Q18/Batteries!$B$33</f>
        <v>#DIV/0!</v>
      </c>
      <c r="Y18" s="9" t="e">
        <f>N18/Batteries!$B$34</f>
        <v>#DIV/0!</v>
      </c>
      <c r="Z18" s="9" t="e">
        <f>Q18/Batteries!$B$32</f>
        <v>#DIV/0!</v>
      </c>
      <c r="AA18" s="9" t="e">
        <f>(Q18/Batteries!$B$32-ROUNDDOWN(Q18/Batteries!$B$32,0))*Batteries!$B$32/Batteries!$B$31</f>
        <v>#DIV/0!</v>
      </c>
      <c r="AB18" s="1" t="e">
        <f>(Q18/Batteries!$B$31-ROUNDDOWN(Q18/Batteries!$B$31,0))*Batteries!$B$31/Batteries!$B$30</f>
        <v>#DIV/0!</v>
      </c>
      <c r="AD18" s="4"/>
      <c r="AE18" s="4"/>
      <c r="AF18" s="4"/>
    </row>
    <row r="20" spans="1:32" x14ac:dyDescent="0.2">
      <c r="A20" t="s">
        <v>94</v>
      </c>
      <c r="F20" t="s">
        <v>96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32" x14ac:dyDescent="0.2">
      <c r="B21" t="s">
        <v>5</v>
      </c>
      <c r="C21" t="s">
        <v>132</v>
      </c>
      <c r="D21" t="s">
        <v>133</v>
      </c>
      <c r="E21" t="s">
        <v>7</v>
      </c>
      <c r="F21" t="s">
        <v>22</v>
      </c>
      <c r="G21" t="s">
        <v>95</v>
      </c>
      <c r="H21" t="s">
        <v>21</v>
      </c>
      <c r="L21" t="s">
        <v>47</v>
      </c>
      <c r="AB21" t="s">
        <v>57</v>
      </c>
    </row>
    <row r="22" spans="1:32" x14ac:dyDescent="0.2">
      <c r="A22" t="s">
        <v>46</v>
      </c>
      <c r="J22" t="s">
        <v>66</v>
      </c>
      <c r="L22" t="s">
        <v>53</v>
      </c>
      <c r="M22" t="s">
        <v>105</v>
      </c>
      <c r="N22" t="s">
        <v>97</v>
      </c>
      <c r="O22" t="s">
        <v>78</v>
      </c>
      <c r="P22" t="s">
        <v>120</v>
      </c>
      <c r="Q22" t="s">
        <v>79</v>
      </c>
      <c r="R22" t="s">
        <v>31</v>
      </c>
      <c r="S22" t="s">
        <v>21</v>
      </c>
      <c r="T22" t="s">
        <v>67</v>
      </c>
      <c r="U22" t="s">
        <v>13</v>
      </c>
      <c r="V22" t="s">
        <v>90</v>
      </c>
      <c r="W22" t="s">
        <v>21</v>
      </c>
      <c r="X22" t="s">
        <v>98</v>
      </c>
      <c r="Y22" t="s">
        <v>75</v>
      </c>
      <c r="Z22" t="s">
        <v>77</v>
      </c>
      <c r="AA22" t="s">
        <v>65</v>
      </c>
      <c r="AB22" t="s">
        <v>58</v>
      </c>
      <c r="AC22" t="s">
        <v>38</v>
      </c>
    </row>
    <row r="23" spans="1:32" x14ac:dyDescent="0.2">
      <c r="A23" t="s">
        <v>59</v>
      </c>
      <c r="D23">
        <v>201</v>
      </c>
      <c r="F23" s="9">
        <f>Mun!T28+Mun!U28+Mun!V28</f>
        <v>392.42988568750991</v>
      </c>
      <c r="G23">
        <f>ROUNDUP(F23*1.01,0)</f>
        <v>397</v>
      </c>
      <c r="H23">
        <f>D23-G23</f>
        <v>-196</v>
      </c>
      <c r="J23" s="10" t="e">
        <f>Mun!U62+Mun!X62</f>
        <v>#DIV/0!</v>
      </c>
      <c r="K23" s="10"/>
      <c r="L23">
        <v>0</v>
      </c>
      <c r="M23">
        <v>0</v>
      </c>
      <c r="N23" s="10" t="e">
        <f>J23*Engines!G10</f>
        <v>#DIV/0!</v>
      </c>
      <c r="O23" s="10">
        <v>0</v>
      </c>
      <c r="P23" s="10" t="e">
        <f>(((Engines!G10*60)-Batteries!$B$45)*J23)/60</f>
        <v>#DIV/0!</v>
      </c>
      <c r="Q23" s="10" t="e">
        <f>SUM(L23,M23,O23,N23)*1.01</f>
        <v>#DIV/0!</v>
      </c>
      <c r="R23" s="10">
        <f>3200*4</f>
        <v>12800</v>
      </c>
      <c r="S23" s="10" t="e">
        <f>R23-Q23</f>
        <v>#DIV/0!</v>
      </c>
      <c r="T23" s="10" t="e">
        <f>S23/Engines!G10</f>
        <v>#DIV/0!</v>
      </c>
      <c r="U23" s="10" t="e">
        <f>(J23/60)*Engines!H10*3</f>
        <v>#DIV/0!</v>
      </c>
      <c r="V23" s="10">
        <f>Engines!L10</f>
        <v>1300</v>
      </c>
      <c r="W23" s="10" t="e">
        <f>V23-U23</f>
        <v>#DIV/0!</v>
      </c>
      <c r="X23" s="10" t="e">
        <f>W23*60/Engines!H10/3</f>
        <v>#DIV/0!</v>
      </c>
      <c r="Y23" s="9" t="e">
        <f>Q23/Batteries!$B$33</f>
        <v>#DIV/0!</v>
      </c>
      <c r="Z23" s="9" t="e">
        <f>N23/Batteries!$B$34</f>
        <v>#DIV/0!</v>
      </c>
      <c r="AA23" s="9" t="e">
        <f>N23/Batteries!$B$32</f>
        <v>#DIV/0!</v>
      </c>
      <c r="AB23" s="9" t="e">
        <f>(N23/Batteries!$B$32-ROUNDDOWN(N23/Batteries!$B$32,0))*Batteries!$B$32/Batteries!$B$31</f>
        <v>#DIV/0!</v>
      </c>
      <c r="AC23" s="1" t="e">
        <f>(N23/Batteries!B39-ROUNDDOWN(N23/Batteries!B39,0))*Batteries!B39/Batteries!B38</f>
        <v>#DIV/0!</v>
      </c>
    </row>
    <row r="24" spans="1:32" x14ac:dyDescent="0.2">
      <c r="A24" t="s">
        <v>131</v>
      </c>
      <c r="F24" s="9" t="e">
        <f>Mun!J28+Mun!K28+Mun!M28</f>
        <v>#DIV/0!</v>
      </c>
      <c r="G24" t="e">
        <f>ROUNDUP(F24*1.01,0)</f>
        <v>#DIV/0!</v>
      </c>
      <c r="H24" t="e">
        <f>D24-G24</f>
        <v>#DIV/0!</v>
      </c>
      <c r="J24" s="10">
        <v>60</v>
      </c>
      <c r="K24" s="10"/>
      <c r="N24" s="10"/>
      <c r="O24" s="10"/>
      <c r="P24" s="10">
        <f>(((Batteries!$B$39*60)-Batteries!$B$45)*K24)/60</f>
        <v>0</v>
      </c>
      <c r="Q24" s="10"/>
      <c r="R24" s="10"/>
      <c r="S24" s="10"/>
      <c r="T24" s="10"/>
      <c r="U24" s="10"/>
      <c r="V24" s="10"/>
      <c r="W24" s="10"/>
      <c r="X24" s="10"/>
      <c r="Y24" s="9"/>
      <c r="Z24" s="9"/>
      <c r="AA24" s="9"/>
      <c r="AB24" s="9"/>
      <c r="AC24" s="1"/>
    </row>
    <row r="25" spans="1:32" x14ac:dyDescent="0.2">
      <c r="A25" t="s">
        <v>60</v>
      </c>
      <c r="D25">
        <v>1394</v>
      </c>
      <c r="E25" s="1">
        <f>D25</f>
        <v>1394</v>
      </c>
      <c r="F25" s="9" t="e">
        <f>Mun!B28+Mun!C28+Mun!D28+Mun!F28+Mun!G28</f>
        <v>#DIV/0!</v>
      </c>
      <c r="G25" t="e">
        <f>ROUNDUP(F25*1.01,0)</f>
        <v>#DIV/0!</v>
      </c>
      <c r="H25" s="1" t="e">
        <f>D25-G25</f>
        <v>#DIV/0!</v>
      </c>
      <c r="J25" s="10">
        <f>Mun!C62</f>
        <v>0</v>
      </c>
      <c r="K25" s="10"/>
      <c r="N25" s="10">
        <f>Batteries!$B$39*J25</f>
        <v>0</v>
      </c>
      <c r="O25" s="10"/>
      <c r="P25" s="10">
        <f>(((Batteries!$B$39*60)-Batteries!$B$45)*K25)/60</f>
        <v>0</v>
      </c>
      <c r="Q25" s="10">
        <f>SUM(L25:O25)*1.01</f>
        <v>0</v>
      </c>
      <c r="R25" s="10">
        <v>8400</v>
      </c>
      <c r="S25" s="10">
        <f>R25-N25</f>
        <v>8400</v>
      </c>
      <c r="T25" s="10"/>
      <c r="U25" s="10"/>
      <c r="V25" s="10"/>
      <c r="W25" s="10"/>
      <c r="X25" s="10"/>
      <c r="Y25" s="9">
        <f>Q25/Batteries!$B$33</f>
        <v>0</v>
      </c>
      <c r="Z25" s="9">
        <f>N25/Batteries!$B$34</f>
        <v>0</v>
      </c>
      <c r="AA25" s="9">
        <f>N25/Batteries!$B$32</f>
        <v>0</v>
      </c>
      <c r="AB25" s="9">
        <f>(J25/Batteries!$B$32-ROUNDDOWN(J25/Batteries!$B$32,0))*Batteries!$B$32/Batteries!$B$31</f>
        <v>0</v>
      </c>
      <c r="AC25" s="1">
        <f>(N25/Batteries!B40-ROUNDDOWN(N25/Batteries!B40,0))*Batteries!B40/Batteries!B39</f>
        <v>0</v>
      </c>
    </row>
    <row r="26" spans="1:32" x14ac:dyDescent="0.2">
      <c r="A26" t="s">
        <v>61</v>
      </c>
      <c r="C26">
        <v>3285</v>
      </c>
      <c r="D26">
        <f>C26</f>
        <v>3285</v>
      </c>
      <c r="E26" s="1">
        <f>E25+D26</f>
        <v>4679</v>
      </c>
      <c r="F26" s="9"/>
      <c r="N26" s="10">
        <f>Batteries!$B$39*J26</f>
        <v>0</v>
      </c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9"/>
      <c r="Z26" s="9"/>
      <c r="AA26" s="9"/>
      <c r="AB26" s="9"/>
      <c r="AC26" s="1">
        <f>(N26/Batteries!B41-ROUNDDOWN(N26/Batteries!B41,0))*Batteries!B41/Batteries!B40</f>
        <v>0</v>
      </c>
    </row>
    <row r="27" spans="1:32" x14ac:dyDescent="0.2">
      <c r="A27" t="s">
        <v>62</v>
      </c>
      <c r="B27">
        <v>2017</v>
      </c>
      <c r="C27">
        <v>2582</v>
      </c>
      <c r="D27" s="1">
        <f>(((B27-1000)/B27)*C27)+1000</f>
        <v>2301.8810114030739</v>
      </c>
      <c r="E27" s="1">
        <f>D26+D27</f>
        <v>5586.8810114030739</v>
      </c>
      <c r="F27" s="9">
        <f>Kerbin!H30</f>
        <v>3802.5644727870676</v>
      </c>
      <c r="G27">
        <f>ROUNDUP(Kerbin!H30*1.1,0)</f>
        <v>4183</v>
      </c>
      <c r="H27" s="1">
        <f>(D26+D27)-G27</f>
        <v>1403.8810114030739</v>
      </c>
      <c r="I27" s="1"/>
      <c r="J27" s="10" t="e">
        <f>Kerbin!#REF!*1.01</f>
        <v>#REF!</v>
      </c>
      <c r="K27" s="10"/>
      <c r="N27" s="10" t="e">
        <f>Batteries!$B$39*J27</f>
        <v>#REF!</v>
      </c>
      <c r="O27" s="10"/>
      <c r="P27" s="10"/>
      <c r="Q27" s="10" t="e">
        <f>SUM(L27:O27)*1.01</f>
        <v>#REF!</v>
      </c>
      <c r="R27" s="10"/>
      <c r="S27" s="10" t="e">
        <f>R27-N27</f>
        <v>#REF!</v>
      </c>
      <c r="T27" s="10"/>
      <c r="U27" s="10"/>
      <c r="V27" s="10"/>
      <c r="W27" s="10"/>
      <c r="X27" s="10"/>
      <c r="Y27" s="9" t="e">
        <f>N27/Batteries!$B$33</f>
        <v>#REF!</v>
      </c>
      <c r="Z27" s="9" t="e">
        <f>N27/Batteries!$B$34</f>
        <v>#REF!</v>
      </c>
      <c r="AA27" s="9" t="e">
        <f>N27/Batteries!$B$32</f>
        <v>#REF!</v>
      </c>
      <c r="AB27" s="9" t="e">
        <f>(J27/Batteries!$B$32-ROUNDDOWN(J27/Batteries!$B$32,0))*Batteries!$B$32/Batteries!$B$31</f>
        <v>#REF!</v>
      </c>
      <c r="AC27" s="1" t="e">
        <f>(N27/Batteries!B42-ROUNDDOWN(N27/Batteries!B42,0))*Batteries!B42/Batteries!B41</f>
        <v>#REF!</v>
      </c>
    </row>
    <row r="28" spans="1:32" x14ac:dyDescent="0.2">
      <c r="D28" s="1"/>
      <c r="E28" s="1"/>
      <c r="G28" t="e">
        <f>SUM(G23:G27)</f>
        <v>#DIV/0!</v>
      </c>
      <c r="H28" s="1" t="e">
        <f>SUM(H23:H27)</f>
        <v>#DIV/0!</v>
      </c>
      <c r="I28" s="1"/>
      <c r="J28" s="10" t="e">
        <f>SUM(J23:J27)</f>
        <v>#DIV/0!</v>
      </c>
      <c r="K28" s="10"/>
      <c r="L28" s="4">
        <f>SUM(L23:L27)</f>
        <v>0</v>
      </c>
      <c r="M28">
        <f>60*Batteries!$B$41</f>
        <v>1002</v>
      </c>
      <c r="N28" s="10" t="e">
        <f>Batteries!$B$39*J28</f>
        <v>#DIV/0!</v>
      </c>
      <c r="O28" s="26"/>
      <c r="P28" s="10"/>
      <c r="Q28" s="10" t="e">
        <f>SUM(L28:O28)*1.01</f>
        <v>#DIV/0!</v>
      </c>
      <c r="R28" s="26"/>
      <c r="S28" s="10" t="e">
        <f>R28-N28</f>
        <v>#DIV/0!</v>
      </c>
      <c r="T28" s="10"/>
      <c r="U28" s="10"/>
      <c r="V28" s="10"/>
      <c r="W28" s="10"/>
      <c r="X28" s="10"/>
      <c r="Y28" s="9" t="e">
        <f>N28/Batteries!$B$33</f>
        <v>#DIV/0!</v>
      </c>
      <c r="Z28" s="9" t="e">
        <f>N28/Batteries!$B$34</f>
        <v>#DIV/0!</v>
      </c>
      <c r="AA28" s="9" t="e">
        <f>N28/Batteries!$B$32</f>
        <v>#DIV/0!</v>
      </c>
      <c r="AB28" s="9" t="e">
        <f>(J28/Batteries!$B$32-ROUNDDOWN(J28/Batteries!$B$32,0))*Batteries!$B$32/Batteries!$B$31</f>
        <v>#DIV/0!</v>
      </c>
      <c r="AC28" s="1" t="e">
        <f>(N28/Batteries!B43-ROUNDDOWN(N28/Batteries!B43,0))*Batteries!B43/Batteries!B42</f>
        <v>#DIV/0!</v>
      </c>
    </row>
    <row r="29" spans="1:32" x14ac:dyDescent="0.2">
      <c r="E29" s="1"/>
      <c r="P29" s="10">
        <f>(((Batteries!$B$39*60)-Batteries!$B$45)*K29)/60</f>
        <v>0</v>
      </c>
    </row>
    <row r="30" spans="1:32" x14ac:dyDescent="0.2">
      <c r="A30" t="s">
        <v>118</v>
      </c>
      <c r="F30" t="s">
        <v>96</v>
      </c>
    </row>
    <row r="31" spans="1:32" x14ac:dyDescent="0.2">
      <c r="B31" t="s">
        <v>5</v>
      </c>
      <c r="C31" t="s">
        <v>6</v>
      </c>
      <c r="D31" t="s">
        <v>4</v>
      </c>
      <c r="E31" t="s">
        <v>7</v>
      </c>
      <c r="G31" t="s">
        <v>13</v>
      </c>
      <c r="H31" t="s">
        <v>21</v>
      </c>
      <c r="L31" t="s">
        <v>47</v>
      </c>
      <c r="AA31" t="s">
        <v>57</v>
      </c>
    </row>
    <row r="32" spans="1:32" x14ac:dyDescent="0.2">
      <c r="A32" t="s">
        <v>46</v>
      </c>
      <c r="J32" t="s">
        <v>66</v>
      </c>
      <c r="L32" t="s">
        <v>53</v>
      </c>
      <c r="M32" t="s">
        <v>105</v>
      </c>
      <c r="N32" t="s">
        <v>119</v>
      </c>
      <c r="O32" t="s">
        <v>78</v>
      </c>
      <c r="P32" t="s">
        <v>79</v>
      </c>
      <c r="Q32" t="s">
        <v>31</v>
      </c>
      <c r="R32" t="s">
        <v>21</v>
      </c>
      <c r="X32" t="s">
        <v>75</v>
      </c>
      <c r="Y32" t="s">
        <v>77</v>
      </c>
      <c r="Z32" t="s">
        <v>65</v>
      </c>
      <c r="AA32" t="s">
        <v>58</v>
      </c>
      <c r="AB32" t="s">
        <v>38</v>
      </c>
    </row>
    <row r="33" spans="1:28" x14ac:dyDescent="0.2">
      <c r="A33" t="s">
        <v>59</v>
      </c>
      <c r="C33">
        <v>0</v>
      </c>
      <c r="D33">
        <f>C33</f>
        <v>0</v>
      </c>
      <c r="E33">
        <f>D33</f>
        <v>0</v>
      </c>
      <c r="G33" t="e">
        <f>ROUNDUP(Minmus!#REF!*1.01,0)</f>
        <v>#REF!</v>
      </c>
      <c r="H33" t="e">
        <f>E33-G33</f>
        <v>#REF!</v>
      </c>
      <c r="J33" s="10">
        <v>3338.52</v>
      </c>
      <c r="K33" s="10"/>
      <c r="N33" s="10">
        <f>Batteries!$B$42*J33</f>
        <v>6677.04</v>
      </c>
      <c r="O33" s="10"/>
      <c r="P33" s="10">
        <f>SUM(L33:O33)*1.01</f>
        <v>6743.8104000000003</v>
      </c>
      <c r="Q33" s="10">
        <v>9600</v>
      </c>
      <c r="R33" s="10">
        <f>Q33-P33</f>
        <v>2856.1895999999997</v>
      </c>
      <c r="S33" s="10"/>
      <c r="T33" s="10"/>
      <c r="U33" s="10"/>
      <c r="V33" s="10"/>
      <c r="W33" s="10"/>
      <c r="X33" s="36">
        <f>P33/Batteries!$B$33</f>
        <v>2.1074407500000003</v>
      </c>
      <c r="Y33" s="9">
        <f>N33/Batteries!$B$34</f>
        <v>33.385199999999998</v>
      </c>
      <c r="Z33" s="9">
        <f>P33/Batteries!$B$32</f>
        <v>8.4297630000000012</v>
      </c>
      <c r="AA33" s="9">
        <f>(P33/Batteries!$B$32-ROUNDDOWN(P33/Batteries!$B$32,0))*Batteries!$B$32/Batteries!$B$31</f>
        <v>0.85952600000000245</v>
      </c>
      <c r="AB33" s="1">
        <f>(P33/Batteries!$B$31-ROUNDDOWN(P33/Batteries!$B$31,0))*Batteries!$B$31/Batteries!$B$30</f>
        <v>6.8762080000000196</v>
      </c>
    </row>
    <row r="34" spans="1:28" x14ac:dyDescent="0.2">
      <c r="A34" t="s">
        <v>114</v>
      </c>
      <c r="J34" s="10">
        <v>60</v>
      </c>
      <c r="K34" s="10"/>
      <c r="L34">
        <v>0</v>
      </c>
      <c r="M34">
        <v>0</v>
      </c>
      <c r="N34" s="10">
        <f>Batteries!$B$42*J34</f>
        <v>120</v>
      </c>
      <c r="O34" s="10"/>
      <c r="P34" s="10">
        <f>SUM(L34:O34)*1.01</f>
        <v>121.2</v>
      </c>
      <c r="Q34" s="10"/>
      <c r="R34" s="10">
        <f>Q34-P34</f>
        <v>-121.2</v>
      </c>
      <c r="S34" s="10"/>
      <c r="T34" s="10"/>
      <c r="U34" s="10"/>
      <c r="V34" s="10"/>
      <c r="W34" s="10"/>
      <c r="X34" s="36">
        <f>P34/Batteries!$B$33</f>
        <v>3.7874999999999999E-2</v>
      </c>
      <c r="Y34" s="9"/>
      <c r="Z34" s="9"/>
      <c r="AA34" s="9"/>
      <c r="AB34" s="1"/>
    </row>
    <row r="35" spans="1:28" x14ac:dyDescent="0.2">
      <c r="A35" t="s">
        <v>60</v>
      </c>
      <c r="C35">
        <v>1838</v>
      </c>
      <c r="D35">
        <f>C35</f>
        <v>1838</v>
      </c>
      <c r="E35" s="1">
        <f>D35</f>
        <v>1838</v>
      </c>
      <c r="G35">
        <f>ROUNDUP(Minmus!F$29*1.01,0)</f>
        <v>232</v>
      </c>
      <c r="H35" s="1">
        <f>D35-G35</f>
        <v>1606</v>
      </c>
      <c r="J35" s="10">
        <f>Minmus!C78*1.01</f>
        <v>0</v>
      </c>
      <c r="K35" s="10"/>
      <c r="N35" s="10">
        <f>Batteries!$B$42*J35</f>
        <v>0</v>
      </c>
      <c r="O35" s="10"/>
      <c r="P35" s="10">
        <f>SUM(L35:O35)*1.01</f>
        <v>0</v>
      </c>
      <c r="Q35" s="10">
        <f>3200*3</f>
        <v>9600</v>
      </c>
      <c r="R35" s="10">
        <f>Q35-N35</f>
        <v>9600</v>
      </c>
      <c r="S35" s="10"/>
      <c r="T35" s="10"/>
      <c r="U35" s="10"/>
      <c r="V35" s="10"/>
      <c r="W35" s="10"/>
      <c r="X35" s="36">
        <f>P35/Batteries!$B$33</f>
        <v>0</v>
      </c>
      <c r="Y35" s="9">
        <f>N35/Batteries!$B$34</f>
        <v>0</v>
      </c>
      <c r="Z35" s="9">
        <f>P35/Batteries!$B$32</f>
        <v>0</v>
      </c>
      <c r="AA35" s="9">
        <f>(P35/Batteries!$B$32-ROUNDDOWN(P35/Batteries!$B$32,0))*Batteries!$B$32/Batteries!$B$31</f>
        <v>0</v>
      </c>
      <c r="AB35" s="1">
        <f>(P35/Batteries!$B$31-ROUNDDOWN(P35/Batteries!$B$31,0))*Batteries!$B$31/Batteries!$B$30</f>
        <v>0</v>
      </c>
    </row>
    <row r="36" spans="1:28" x14ac:dyDescent="0.2">
      <c r="A36" t="s">
        <v>61</v>
      </c>
      <c r="C36">
        <v>2270</v>
      </c>
      <c r="D36">
        <f>C36</f>
        <v>2270</v>
      </c>
      <c r="E36" s="1">
        <f>E35+D36</f>
        <v>4108</v>
      </c>
      <c r="N36" s="10">
        <f>Batteries!$B$42*J36</f>
        <v>0</v>
      </c>
      <c r="O36" s="10"/>
      <c r="P36" s="10"/>
      <c r="Q36" s="10"/>
      <c r="R36" s="10"/>
      <c r="S36" s="10"/>
      <c r="T36" s="10"/>
      <c r="U36" s="10"/>
      <c r="V36" s="10"/>
      <c r="W36" s="10"/>
      <c r="X36" s="36">
        <f>P36/Batteries!$B$33</f>
        <v>0</v>
      </c>
      <c r="Y36" s="9"/>
      <c r="Z36" s="9">
        <f>P36/Batteries!$B$32</f>
        <v>0</v>
      </c>
      <c r="AA36" s="9">
        <f>(P36/Batteries!$B$32-ROUNDDOWN(P36/Batteries!$B$32,0))*Batteries!$B$32/Batteries!$B$31</f>
        <v>0</v>
      </c>
      <c r="AB36" s="1">
        <f>(P36/Batteries!$B$31-ROUNDDOWN(P36/Batteries!$B$31,0))*Batteries!$B$31/Batteries!$B$30</f>
        <v>0</v>
      </c>
    </row>
    <row r="37" spans="1:28" x14ac:dyDescent="0.2">
      <c r="A37" t="s">
        <v>62</v>
      </c>
      <c r="B37">
        <v>1892</v>
      </c>
      <c r="C37">
        <v>2230</v>
      </c>
      <c r="D37" s="1">
        <f>(((B37-1000)/B37)*C37)+1000</f>
        <v>2051.3530655391123</v>
      </c>
      <c r="E37" s="1">
        <f>D36+D37</f>
        <v>4321.3530655391123</v>
      </c>
      <c r="G37">
        <f>ROUNDUP(Kerbin!H30*1.01,0)</f>
        <v>3841</v>
      </c>
      <c r="H37" s="1">
        <f>(D36+D37)-G37</f>
        <v>480.35306553911232</v>
      </c>
      <c r="I37" s="1"/>
      <c r="J37" s="10" t="e">
        <f>Kerbin!#REF!*1.01</f>
        <v>#REF!</v>
      </c>
      <c r="K37" s="10"/>
      <c r="N37" s="10" t="e">
        <f>Batteries!$B$42*J37</f>
        <v>#REF!</v>
      </c>
      <c r="O37" s="10"/>
      <c r="P37" s="10" t="e">
        <f>SUM(L37:O37)*1.01</f>
        <v>#REF!</v>
      </c>
      <c r="Q37" s="10"/>
      <c r="R37" s="10" t="e">
        <f>Q37-N37</f>
        <v>#REF!</v>
      </c>
      <c r="S37" s="10"/>
      <c r="T37" s="10"/>
      <c r="U37" s="10"/>
      <c r="V37" s="10"/>
      <c r="W37" s="10"/>
      <c r="X37" s="36" t="e">
        <f>P37/Batteries!$B$33</f>
        <v>#REF!</v>
      </c>
      <c r="Y37" s="9" t="e">
        <f>N37/Batteries!$B$34</f>
        <v>#REF!</v>
      </c>
      <c r="Z37" s="9" t="e">
        <f>P37/Batteries!$B$32</f>
        <v>#REF!</v>
      </c>
      <c r="AA37" s="9" t="e">
        <f>(P37/Batteries!$B$32-ROUNDDOWN(P37/Batteries!$B$32,0))*Batteries!$B$32/Batteries!$B$31</f>
        <v>#REF!</v>
      </c>
      <c r="AB37" s="1" t="e">
        <f>(P37/Batteries!$B$31-ROUNDDOWN(P37/Batteries!$B$31,0))*Batteries!$B$31/Batteries!$B$30</f>
        <v>#REF!</v>
      </c>
    </row>
    <row r="38" spans="1:28" x14ac:dyDescent="0.2">
      <c r="A38" t="s">
        <v>79</v>
      </c>
      <c r="D38" s="1"/>
      <c r="E38" s="1"/>
      <c r="G38" t="e">
        <f>SUM(G33:G37)</f>
        <v>#REF!</v>
      </c>
      <c r="H38" s="1" t="e">
        <f>SUM(H33:H37)</f>
        <v>#REF!</v>
      </c>
      <c r="I38" s="1"/>
      <c r="J38" s="10" t="e">
        <f>SUM(J33:J37)</f>
        <v>#REF!</v>
      </c>
      <c r="K38" s="10"/>
      <c r="L38" s="4">
        <f>SUM(L33:L37)</f>
        <v>0</v>
      </c>
      <c r="M38">
        <f>60*Batteries!$B$41</f>
        <v>1002</v>
      </c>
      <c r="N38" s="10" t="e">
        <f>Batteries!$B$42*J38</f>
        <v>#REF!</v>
      </c>
      <c r="O38" s="26"/>
      <c r="P38" s="10" t="e">
        <f>SUM(L38:O38)*1.01</f>
        <v>#REF!</v>
      </c>
      <c r="Q38" s="26">
        <f>SUM(Q33:Q37)</f>
        <v>19200</v>
      </c>
      <c r="R38" s="10" t="e">
        <f>Q38-P38</f>
        <v>#REF!</v>
      </c>
      <c r="S38" s="10"/>
      <c r="T38" s="10"/>
      <c r="U38" s="10"/>
      <c r="V38" s="10"/>
      <c r="W38" s="10"/>
      <c r="X38" s="36" t="e">
        <f>P38/Batteries!$B$33</f>
        <v>#REF!</v>
      </c>
      <c r="Y38" s="9" t="e">
        <f>N38/Batteries!$B$34</f>
        <v>#REF!</v>
      </c>
      <c r="Z38" s="9" t="e">
        <f>P38/Batteries!$B$32</f>
        <v>#REF!</v>
      </c>
      <c r="AA38" s="9" t="e">
        <f>(P38/Batteries!$B$32-ROUNDDOWN(P38/Batteries!$B$32,0))*Batteries!$B$32/Batteries!$B$31</f>
        <v>#REF!</v>
      </c>
      <c r="AB38" s="1" t="e">
        <f>(P38/Batteries!$B$31-ROUNDDOWN(P38/Batteries!$B$31,0))*Batteries!$B$31/Batteries!$B$30</f>
        <v>#REF!</v>
      </c>
    </row>
  </sheetData>
  <conditionalFormatting sqref="H3:I7">
    <cfRule type="cellIs" dxfId="41" priority="22" operator="lessThan">
      <formula>0</formula>
    </cfRule>
  </conditionalFormatting>
  <conditionalFormatting sqref="H8:I8">
    <cfRule type="cellIs" dxfId="40" priority="21" operator="lessThan">
      <formula>0</formula>
    </cfRule>
  </conditionalFormatting>
  <conditionalFormatting sqref="H13:I17">
    <cfRule type="cellIs" dxfId="39" priority="18" operator="lessThan">
      <formula>0</formula>
    </cfRule>
  </conditionalFormatting>
  <conditionalFormatting sqref="H18:I18">
    <cfRule type="cellIs" dxfId="38" priority="17" operator="lessThan">
      <formula>0</formula>
    </cfRule>
  </conditionalFormatting>
  <conditionalFormatting sqref="H13:H18">
    <cfRule type="cellIs" dxfId="37" priority="16" operator="greaterThan">
      <formula>0</formula>
    </cfRule>
  </conditionalFormatting>
  <conditionalFormatting sqref="S13:W15 S17:W18">
    <cfRule type="cellIs" dxfId="36" priority="13" operator="lessThan">
      <formula>0</formula>
    </cfRule>
    <cfRule type="cellIs" dxfId="35" priority="14" operator="equal">
      <formula>0</formula>
    </cfRule>
    <cfRule type="cellIs" dxfId="34" priority="15" operator="greaterThan">
      <formula>0</formula>
    </cfRule>
  </conditionalFormatting>
  <conditionalFormatting sqref="H23:I27">
    <cfRule type="cellIs" dxfId="33" priority="12" operator="lessThan">
      <formula>0</formula>
    </cfRule>
  </conditionalFormatting>
  <conditionalFormatting sqref="H28:I28">
    <cfRule type="cellIs" dxfId="32" priority="11" operator="lessThan">
      <formula>0</formula>
    </cfRule>
  </conditionalFormatting>
  <conditionalFormatting sqref="H23:H28">
    <cfRule type="cellIs" dxfId="31" priority="10" operator="greaterThan">
      <formula>0</formula>
    </cfRule>
  </conditionalFormatting>
  <conditionalFormatting sqref="S23:S25 S27:S28 W27:W28 W23:W25">
    <cfRule type="cellIs" dxfId="30" priority="7" operator="lessThan">
      <formula>0</formula>
    </cfRule>
    <cfRule type="cellIs" dxfId="29" priority="8" operator="equal">
      <formula>0</formula>
    </cfRule>
    <cfRule type="cellIs" dxfId="28" priority="9" operator="greaterThan">
      <formula>0</formula>
    </cfRule>
  </conditionalFormatting>
  <conditionalFormatting sqref="H33:I37">
    <cfRule type="cellIs" dxfId="27" priority="6" operator="lessThan">
      <formula>0</formula>
    </cfRule>
  </conditionalFormatting>
  <conditionalFormatting sqref="H38:I38">
    <cfRule type="cellIs" dxfId="26" priority="5" operator="lessThan">
      <formula>0</formula>
    </cfRule>
  </conditionalFormatting>
  <conditionalFormatting sqref="H33:H38">
    <cfRule type="cellIs" dxfId="25" priority="4" operator="greaterThan">
      <formula>0</formula>
    </cfRule>
  </conditionalFormatting>
  <conditionalFormatting sqref="R37:W38 R33:W35">
    <cfRule type="cellIs" dxfId="24" priority="1" operator="lessThan">
      <formula>0</formula>
    </cfRule>
    <cfRule type="cellIs" dxfId="23" priority="2" operator="equal">
      <formula>0</formula>
    </cfRule>
    <cfRule type="cellIs" dxfId="22" priority="3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3"/>
  <sheetViews>
    <sheetView workbookViewId="0">
      <selection activeCell="G6" sqref="G6"/>
    </sheetView>
  </sheetViews>
  <sheetFormatPr defaultRowHeight="15" x14ac:dyDescent="0.2"/>
  <cols>
    <col min="5" max="5" width="9.55078125" bestFit="1" customWidth="1"/>
  </cols>
  <sheetData>
    <row r="1" spans="1:5" x14ac:dyDescent="0.2">
      <c r="A1" t="s">
        <v>144</v>
      </c>
      <c r="B1" t="s">
        <v>145</v>
      </c>
      <c r="C1" t="s">
        <v>146</v>
      </c>
      <c r="D1" t="s">
        <v>147</v>
      </c>
      <c r="E1" t="s">
        <v>148</v>
      </c>
    </row>
    <row r="2" spans="1:5" x14ac:dyDescent="0.2">
      <c r="A2">
        <v>0.2</v>
      </c>
      <c r="B2">
        <v>1210</v>
      </c>
      <c r="C2">
        <v>1292</v>
      </c>
      <c r="D2">
        <f t="shared" ref="D2:D33" si="0">C2-B2</f>
        <v>82</v>
      </c>
      <c r="E2" s="41">
        <f>B2/C2</f>
        <v>0.93653250773993812</v>
      </c>
    </row>
    <row r="3" spans="1:5" x14ac:dyDescent="0.2">
      <c r="A3">
        <v>0.3</v>
      </c>
      <c r="B3">
        <v>1172</v>
      </c>
      <c r="C3">
        <v>1249</v>
      </c>
      <c r="D3">
        <f t="shared" si="0"/>
        <v>77</v>
      </c>
      <c r="E3" s="41">
        <f t="shared" ref="E3:E25" si="1">B3/C3</f>
        <v>0.9383506805444356</v>
      </c>
    </row>
    <row r="4" spans="1:5" x14ac:dyDescent="0.2">
      <c r="A4">
        <v>0.4</v>
      </c>
      <c r="B4">
        <v>1131</v>
      </c>
      <c r="C4">
        <v>1203</v>
      </c>
      <c r="D4">
        <f t="shared" si="0"/>
        <v>72</v>
      </c>
      <c r="E4" s="41">
        <f t="shared" si="1"/>
        <v>0.94014962593516205</v>
      </c>
    </row>
    <row r="5" spans="1:5" x14ac:dyDescent="0.2">
      <c r="A5">
        <v>0.5</v>
      </c>
      <c r="B5">
        <v>1108</v>
      </c>
      <c r="C5">
        <v>1177</v>
      </c>
      <c r="D5">
        <f t="shared" si="0"/>
        <v>69</v>
      </c>
      <c r="E5" s="41">
        <f t="shared" si="1"/>
        <v>0.94137638062871709</v>
      </c>
    </row>
    <row r="6" spans="1:5" x14ac:dyDescent="0.2">
      <c r="A6">
        <v>0.6</v>
      </c>
      <c r="B6">
        <v>1085</v>
      </c>
      <c r="C6">
        <v>1152</v>
      </c>
      <c r="D6">
        <f t="shared" si="0"/>
        <v>67</v>
      </c>
      <c r="E6" s="41">
        <f t="shared" si="1"/>
        <v>0.94184027777777779</v>
      </c>
    </row>
    <row r="7" spans="1:5" x14ac:dyDescent="0.2">
      <c r="A7">
        <v>0.7</v>
      </c>
      <c r="B7">
        <v>1062</v>
      </c>
      <c r="C7">
        <v>1125</v>
      </c>
      <c r="D7">
        <f t="shared" si="0"/>
        <v>63</v>
      </c>
      <c r="E7" s="41">
        <f t="shared" si="1"/>
        <v>0.94399999999999995</v>
      </c>
    </row>
    <row r="8" spans="1:5" x14ac:dyDescent="0.2">
      <c r="A8">
        <v>0.8</v>
      </c>
      <c r="B8">
        <v>1043</v>
      </c>
      <c r="C8">
        <v>1103</v>
      </c>
      <c r="D8">
        <f t="shared" si="0"/>
        <v>60</v>
      </c>
      <c r="E8" s="41">
        <f t="shared" si="1"/>
        <v>0.94560290117860379</v>
      </c>
    </row>
    <row r="9" spans="1:5" x14ac:dyDescent="0.2">
      <c r="A9">
        <v>0.9</v>
      </c>
      <c r="B9">
        <v>1020</v>
      </c>
      <c r="C9">
        <v>1078</v>
      </c>
      <c r="D9">
        <f t="shared" si="0"/>
        <v>58</v>
      </c>
      <c r="E9" s="41">
        <f t="shared" si="1"/>
        <v>0.94619666048237472</v>
      </c>
    </row>
    <row r="10" spans="1:5" x14ac:dyDescent="0.2">
      <c r="A10">
        <v>1</v>
      </c>
      <c r="B10">
        <v>1006</v>
      </c>
      <c r="C10">
        <v>1062</v>
      </c>
      <c r="D10">
        <f t="shared" si="0"/>
        <v>56</v>
      </c>
      <c r="E10" s="41">
        <f t="shared" si="1"/>
        <v>0.9472693032015066</v>
      </c>
    </row>
    <row r="11" spans="1:5" x14ac:dyDescent="0.2">
      <c r="A11">
        <v>1.5</v>
      </c>
      <c r="B11">
        <v>924</v>
      </c>
      <c r="C11">
        <v>970</v>
      </c>
      <c r="D11">
        <f t="shared" si="0"/>
        <v>46</v>
      </c>
      <c r="E11" s="41">
        <f t="shared" si="1"/>
        <v>0.95257731958762881</v>
      </c>
    </row>
    <row r="12" spans="1:5" x14ac:dyDescent="0.2">
      <c r="A12">
        <v>2</v>
      </c>
      <c r="B12">
        <v>857</v>
      </c>
      <c r="C12">
        <v>895</v>
      </c>
      <c r="D12">
        <f t="shared" si="0"/>
        <v>38</v>
      </c>
      <c r="E12" s="41">
        <f t="shared" si="1"/>
        <v>0.95754189944134083</v>
      </c>
    </row>
    <row r="13" spans="1:5" x14ac:dyDescent="0.2">
      <c r="A13">
        <v>2.5</v>
      </c>
      <c r="B13">
        <v>798</v>
      </c>
      <c r="C13">
        <v>830</v>
      </c>
      <c r="D13">
        <f t="shared" si="0"/>
        <v>32</v>
      </c>
      <c r="E13" s="41">
        <f t="shared" si="1"/>
        <v>0.96144578313253015</v>
      </c>
    </row>
    <row r="14" spans="1:5" x14ac:dyDescent="0.2">
      <c r="A14">
        <v>3</v>
      </c>
      <c r="B14">
        <v>745</v>
      </c>
      <c r="C14">
        <v>772</v>
      </c>
      <c r="D14">
        <f t="shared" si="0"/>
        <v>27</v>
      </c>
      <c r="E14" s="41">
        <f t="shared" si="1"/>
        <v>0.96502590673575128</v>
      </c>
    </row>
    <row r="15" spans="1:5" x14ac:dyDescent="0.2">
      <c r="A15">
        <v>3.5</v>
      </c>
      <c r="B15">
        <v>693</v>
      </c>
      <c r="C15">
        <v>716</v>
      </c>
      <c r="D15">
        <f t="shared" si="0"/>
        <v>23</v>
      </c>
      <c r="E15" s="41">
        <f t="shared" si="1"/>
        <v>0.96787709497206709</v>
      </c>
    </row>
    <row r="16" spans="1:5" x14ac:dyDescent="0.2">
      <c r="A16">
        <v>4</v>
      </c>
      <c r="B16">
        <v>645</v>
      </c>
      <c r="C16">
        <v>664</v>
      </c>
      <c r="D16">
        <f t="shared" si="0"/>
        <v>19</v>
      </c>
      <c r="E16" s="41">
        <f t="shared" si="1"/>
        <v>0.97138554216867468</v>
      </c>
    </row>
    <row r="17" spans="1:5" x14ac:dyDescent="0.2">
      <c r="A17">
        <v>4.5</v>
      </c>
      <c r="B17">
        <v>595</v>
      </c>
      <c r="C17">
        <v>612</v>
      </c>
      <c r="D17">
        <f t="shared" si="0"/>
        <v>17</v>
      </c>
      <c r="E17" s="41">
        <f t="shared" si="1"/>
        <v>0.97222222222222221</v>
      </c>
    </row>
    <row r="18" spans="1:5" x14ac:dyDescent="0.2">
      <c r="A18">
        <v>5</v>
      </c>
      <c r="B18">
        <v>553</v>
      </c>
      <c r="C18">
        <v>567</v>
      </c>
      <c r="D18">
        <f t="shared" si="0"/>
        <v>14</v>
      </c>
      <c r="E18" s="41">
        <f t="shared" si="1"/>
        <v>0.97530864197530864</v>
      </c>
    </row>
    <row r="19" spans="1:5" x14ac:dyDescent="0.2">
      <c r="A19">
        <v>6</v>
      </c>
      <c r="B19">
        <v>465</v>
      </c>
      <c r="C19">
        <v>475</v>
      </c>
      <c r="D19">
        <f t="shared" si="0"/>
        <v>10</v>
      </c>
      <c r="E19" s="41">
        <f t="shared" si="1"/>
        <v>0.97894736842105268</v>
      </c>
    </row>
    <row r="20" spans="1:5" x14ac:dyDescent="0.2">
      <c r="A20">
        <v>7</v>
      </c>
      <c r="B20">
        <v>383</v>
      </c>
      <c r="C20">
        <v>390</v>
      </c>
      <c r="D20">
        <f t="shared" si="0"/>
        <v>7</v>
      </c>
      <c r="E20" s="41">
        <f t="shared" si="1"/>
        <v>0.982051282051282</v>
      </c>
    </row>
    <row r="21" spans="1:5" x14ac:dyDescent="0.2">
      <c r="A21">
        <v>8</v>
      </c>
      <c r="B21">
        <v>310</v>
      </c>
      <c r="C21">
        <v>314</v>
      </c>
      <c r="D21">
        <f t="shared" si="0"/>
        <v>4</v>
      </c>
      <c r="E21" s="41">
        <f t="shared" si="1"/>
        <v>0.98726114649681529</v>
      </c>
    </row>
    <row r="22" spans="1:5" x14ac:dyDescent="0.2">
      <c r="A22">
        <v>9</v>
      </c>
      <c r="B22">
        <v>236</v>
      </c>
      <c r="C22">
        <v>239</v>
      </c>
      <c r="D22">
        <f t="shared" si="0"/>
        <v>3</v>
      </c>
      <c r="E22" s="41">
        <f t="shared" si="1"/>
        <v>0.9874476987447699</v>
      </c>
    </row>
    <row r="23" spans="1:5" x14ac:dyDescent="0.2">
      <c r="A23">
        <v>10</v>
      </c>
      <c r="B23">
        <v>170</v>
      </c>
      <c r="C23">
        <v>172</v>
      </c>
      <c r="D23">
        <f t="shared" si="0"/>
        <v>2</v>
      </c>
      <c r="E23" s="41">
        <f t="shared" si="1"/>
        <v>0.98837209302325579</v>
      </c>
    </row>
    <row r="24" spans="1:5" x14ac:dyDescent="0.2">
      <c r="A24">
        <v>11</v>
      </c>
      <c r="B24">
        <v>104</v>
      </c>
      <c r="C24">
        <v>104</v>
      </c>
      <c r="D24">
        <f t="shared" si="0"/>
        <v>0</v>
      </c>
      <c r="E24" s="41">
        <f t="shared" si="1"/>
        <v>1</v>
      </c>
    </row>
    <row r="25" spans="1:5" x14ac:dyDescent="0.2">
      <c r="A25">
        <v>12</v>
      </c>
      <c r="B25">
        <v>32</v>
      </c>
      <c r="C25">
        <v>32</v>
      </c>
      <c r="D25">
        <f t="shared" si="0"/>
        <v>0</v>
      </c>
      <c r="E25" s="41">
        <f t="shared" si="1"/>
        <v>1</v>
      </c>
    </row>
    <row r="26" spans="1:5" x14ac:dyDescent="0.2">
      <c r="A26">
        <v>13</v>
      </c>
      <c r="B26">
        <v>1812</v>
      </c>
      <c r="C26">
        <v>1840</v>
      </c>
      <c r="D26">
        <f t="shared" si="0"/>
        <v>28</v>
      </c>
    </row>
    <row r="27" spans="1:5" x14ac:dyDescent="0.2">
      <c r="A27">
        <v>14</v>
      </c>
      <c r="B27">
        <v>1772</v>
      </c>
      <c r="C27">
        <v>1795</v>
      </c>
      <c r="D27">
        <f t="shared" si="0"/>
        <v>23</v>
      </c>
    </row>
    <row r="28" spans="1:5" x14ac:dyDescent="0.2">
      <c r="A28">
        <v>15</v>
      </c>
      <c r="B28">
        <v>1735</v>
      </c>
      <c r="C28">
        <v>1753</v>
      </c>
      <c r="D28">
        <f t="shared" si="0"/>
        <v>18</v>
      </c>
    </row>
    <row r="29" spans="1:5" x14ac:dyDescent="0.2">
      <c r="A29">
        <v>16</v>
      </c>
      <c r="B29">
        <v>1693</v>
      </c>
      <c r="C29">
        <v>1707</v>
      </c>
      <c r="D29">
        <f t="shared" si="0"/>
        <v>14</v>
      </c>
    </row>
    <row r="30" spans="1:5" x14ac:dyDescent="0.2">
      <c r="A30">
        <v>17</v>
      </c>
      <c r="B30">
        <v>1653</v>
      </c>
      <c r="C30">
        <v>1664</v>
      </c>
      <c r="D30">
        <f t="shared" si="0"/>
        <v>11</v>
      </c>
    </row>
    <row r="31" spans="1:5" x14ac:dyDescent="0.2">
      <c r="A31">
        <v>18</v>
      </c>
      <c r="B31">
        <v>1607</v>
      </c>
      <c r="C31">
        <v>1616</v>
      </c>
      <c r="D31">
        <f t="shared" si="0"/>
        <v>9</v>
      </c>
    </row>
    <row r="32" spans="1:5" x14ac:dyDescent="0.2">
      <c r="A32">
        <v>19</v>
      </c>
      <c r="B32">
        <v>1569</v>
      </c>
      <c r="C32">
        <v>1576</v>
      </c>
      <c r="D32">
        <f t="shared" si="0"/>
        <v>7</v>
      </c>
    </row>
    <row r="33" spans="1:4" x14ac:dyDescent="0.2">
      <c r="A33">
        <v>20</v>
      </c>
      <c r="B33">
        <v>1521</v>
      </c>
      <c r="C33">
        <v>1527</v>
      </c>
      <c r="D33">
        <f t="shared" si="0"/>
        <v>6</v>
      </c>
    </row>
    <row r="34" spans="1:4" x14ac:dyDescent="0.2">
      <c r="A34">
        <v>21</v>
      </c>
      <c r="B34">
        <v>1485</v>
      </c>
      <c r="C34">
        <v>1490</v>
      </c>
      <c r="D34">
        <f t="shared" ref="D34:D53" si="2">C34-B34</f>
        <v>5</v>
      </c>
    </row>
    <row r="35" spans="1:4" x14ac:dyDescent="0.2">
      <c r="A35">
        <v>22</v>
      </c>
      <c r="B35">
        <v>1444</v>
      </c>
      <c r="C35">
        <v>1448</v>
      </c>
      <c r="D35">
        <f t="shared" si="2"/>
        <v>4</v>
      </c>
    </row>
    <row r="36" spans="1:4" x14ac:dyDescent="0.2">
      <c r="A36">
        <v>23</v>
      </c>
      <c r="B36">
        <v>1394</v>
      </c>
      <c r="C36">
        <v>1397</v>
      </c>
      <c r="D36">
        <f t="shared" si="2"/>
        <v>3</v>
      </c>
    </row>
    <row r="37" spans="1:4" x14ac:dyDescent="0.2">
      <c r="A37">
        <v>24</v>
      </c>
      <c r="B37">
        <v>1353</v>
      </c>
      <c r="C37">
        <v>1355</v>
      </c>
      <c r="D37">
        <f t="shared" si="2"/>
        <v>2</v>
      </c>
    </row>
    <row r="38" spans="1:4" x14ac:dyDescent="0.2">
      <c r="A38">
        <v>25</v>
      </c>
      <c r="B38">
        <v>1313</v>
      </c>
      <c r="C38">
        <v>1315</v>
      </c>
      <c r="D38">
        <f t="shared" si="2"/>
        <v>2</v>
      </c>
    </row>
    <row r="39" spans="1:4" x14ac:dyDescent="0.2">
      <c r="A39">
        <v>26</v>
      </c>
      <c r="B39">
        <v>1269</v>
      </c>
      <c r="C39">
        <v>1271</v>
      </c>
      <c r="D39">
        <f t="shared" si="2"/>
        <v>2</v>
      </c>
    </row>
    <row r="40" spans="1:4" x14ac:dyDescent="0.2">
      <c r="A40">
        <v>27</v>
      </c>
      <c r="B40">
        <v>1225</v>
      </c>
      <c r="C40">
        <v>1226</v>
      </c>
      <c r="D40">
        <f t="shared" si="2"/>
        <v>1</v>
      </c>
    </row>
    <row r="41" spans="1:4" x14ac:dyDescent="0.2">
      <c r="A41">
        <v>28</v>
      </c>
      <c r="B41">
        <v>1180</v>
      </c>
      <c r="C41">
        <v>1181</v>
      </c>
      <c r="D41">
        <f t="shared" si="2"/>
        <v>1</v>
      </c>
    </row>
    <row r="42" spans="1:4" x14ac:dyDescent="0.2">
      <c r="A42">
        <v>29</v>
      </c>
      <c r="B42">
        <v>1135</v>
      </c>
      <c r="C42">
        <v>1136</v>
      </c>
      <c r="D42">
        <f t="shared" si="2"/>
        <v>1</v>
      </c>
    </row>
    <row r="43" spans="1:4" x14ac:dyDescent="0.2">
      <c r="A43">
        <v>30</v>
      </c>
      <c r="B43">
        <v>1093</v>
      </c>
      <c r="C43">
        <v>1094</v>
      </c>
      <c r="D43">
        <f t="shared" si="2"/>
        <v>1</v>
      </c>
    </row>
    <row r="44" spans="1:4" x14ac:dyDescent="0.2">
      <c r="A44">
        <v>31</v>
      </c>
      <c r="B44">
        <v>1056</v>
      </c>
      <c r="C44">
        <v>1056</v>
      </c>
      <c r="D44">
        <f t="shared" si="2"/>
        <v>0</v>
      </c>
    </row>
    <row r="45" spans="1:4" x14ac:dyDescent="0.2">
      <c r="A45">
        <v>32</v>
      </c>
      <c r="B45">
        <v>1011</v>
      </c>
      <c r="C45">
        <v>1012</v>
      </c>
      <c r="D45">
        <f t="shared" si="2"/>
        <v>1</v>
      </c>
    </row>
    <row r="46" spans="1:4" x14ac:dyDescent="0.2">
      <c r="A46">
        <v>33</v>
      </c>
      <c r="B46">
        <v>960</v>
      </c>
      <c r="C46">
        <v>960</v>
      </c>
      <c r="D46">
        <f t="shared" si="2"/>
        <v>0</v>
      </c>
    </row>
    <row r="47" spans="1:4" x14ac:dyDescent="0.2">
      <c r="A47">
        <v>34</v>
      </c>
      <c r="B47">
        <v>914</v>
      </c>
      <c r="C47">
        <v>914</v>
      </c>
      <c r="D47">
        <f t="shared" si="2"/>
        <v>0</v>
      </c>
    </row>
    <row r="48" spans="1:4" x14ac:dyDescent="0.2">
      <c r="A48">
        <v>35</v>
      </c>
      <c r="B48">
        <v>863</v>
      </c>
      <c r="C48">
        <v>864</v>
      </c>
      <c r="D48">
        <f t="shared" si="2"/>
        <v>1</v>
      </c>
    </row>
    <row r="49" spans="1:4" x14ac:dyDescent="0.2">
      <c r="A49">
        <v>36</v>
      </c>
      <c r="B49">
        <v>808</v>
      </c>
      <c r="C49">
        <v>808</v>
      </c>
      <c r="D49">
        <f t="shared" si="2"/>
        <v>0</v>
      </c>
    </row>
    <row r="50" spans="1:4" x14ac:dyDescent="0.2">
      <c r="A50">
        <v>37</v>
      </c>
      <c r="B50">
        <v>755</v>
      </c>
      <c r="C50">
        <v>756</v>
      </c>
      <c r="D50">
        <f t="shared" si="2"/>
        <v>1</v>
      </c>
    </row>
    <row r="51" spans="1:4" x14ac:dyDescent="0.2">
      <c r="A51">
        <v>38</v>
      </c>
      <c r="B51">
        <v>700</v>
      </c>
      <c r="C51">
        <v>700</v>
      </c>
      <c r="D51">
        <f t="shared" si="2"/>
        <v>0</v>
      </c>
    </row>
    <row r="52" spans="1:4" x14ac:dyDescent="0.2">
      <c r="A52">
        <v>39</v>
      </c>
      <c r="B52">
        <v>643</v>
      </c>
      <c r="C52">
        <v>644</v>
      </c>
      <c r="D52">
        <f t="shared" si="2"/>
        <v>1</v>
      </c>
    </row>
    <row r="53" spans="1:4" x14ac:dyDescent="0.2">
      <c r="A53">
        <v>40</v>
      </c>
      <c r="B53">
        <v>583</v>
      </c>
      <c r="C53">
        <v>583</v>
      </c>
      <c r="D53">
        <f t="shared" si="2"/>
        <v>0</v>
      </c>
    </row>
  </sheetData>
  <sortState xmlns:xlrd2="http://schemas.microsoft.com/office/spreadsheetml/2017/richdata2" ref="A2:D53">
    <sortCondition ref="A2:A5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S5"/>
  <sheetViews>
    <sheetView workbookViewId="0">
      <selection activeCell="P5" sqref="P5"/>
    </sheetView>
  </sheetViews>
  <sheetFormatPr defaultRowHeight="15" x14ac:dyDescent="0.2"/>
  <cols>
    <col min="2" max="2" width="14.9296875" bestFit="1" customWidth="1"/>
    <col min="10" max="10" width="11.97265625" bestFit="1" customWidth="1"/>
    <col min="13" max="13" width="9.953125" bestFit="1" customWidth="1"/>
    <col min="16" max="16" width="11.1640625" bestFit="1" customWidth="1"/>
  </cols>
  <sheetData>
    <row r="2" spans="1:19" x14ac:dyDescent="0.2">
      <c r="A2" t="s">
        <v>196</v>
      </c>
      <c r="B2" t="s">
        <v>165</v>
      </c>
      <c r="C2" t="s">
        <v>166</v>
      </c>
      <c r="D2" t="s">
        <v>167</v>
      </c>
      <c r="E2" t="s">
        <v>168</v>
      </c>
      <c r="G2" t="s">
        <v>169</v>
      </c>
      <c r="H2" t="s">
        <v>173</v>
      </c>
      <c r="I2" t="s">
        <v>170</v>
      </c>
      <c r="J2" t="s">
        <v>171</v>
      </c>
      <c r="K2" t="s">
        <v>172</v>
      </c>
      <c r="L2" t="s">
        <v>174</v>
      </c>
      <c r="M2" t="s">
        <v>175</v>
      </c>
      <c r="N2" t="s">
        <v>176</v>
      </c>
      <c r="O2" t="s">
        <v>177</v>
      </c>
      <c r="P2" t="s">
        <v>178</v>
      </c>
      <c r="Q2" t="s">
        <v>40</v>
      </c>
    </row>
    <row r="3" spans="1:19" x14ac:dyDescent="0.2">
      <c r="A3" t="s">
        <v>197</v>
      </c>
      <c r="B3">
        <v>100000</v>
      </c>
      <c r="C3">
        <v>100000</v>
      </c>
      <c r="D3">
        <v>600000</v>
      </c>
      <c r="E3" s="43">
        <v>5.2915158000000001E+22</v>
      </c>
      <c r="G3">
        <f>B3+D3</f>
        <v>700000</v>
      </c>
      <c r="H3">
        <f>C3+D3</f>
        <v>700000</v>
      </c>
      <c r="I3">
        <f>(G3+H3)/2</f>
        <v>700000</v>
      </c>
      <c r="J3">
        <f>SQRT(G3*H3)</f>
        <v>700000</v>
      </c>
      <c r="K3">
        <f>(G3-H3)/(G3+H3)</f>
        <v>0</v>
      </c>
      <c r="L3">
        <f>(2*G3*H3)/(G3+H3)</f>
        <v>700000</v>
      </c>
      <c r="M3">
        <f>(6.674*10^-11)*E3</f>
        <v>3531557644919.9995</v>
      </c>
      <c r="N3">
        <f>SQRT(L3*M3)</f>
        <v>1572288253.2932694</v>
      </c>
      <c r="O3">
        <f>2*I3*J3/N3*(ASIN((D3/J3)+K3*D3/J3))</f>
        <v>641.80525594295955</v>
      </c>
      <c r="P3">
        <f>6/60+2.4/60</f>
        <v>0.14000000000000001</v>
      </c>
      <c r="Q3">
        <f>O3*P3</f>
        <v>89.852735832014346</v>
      </c>
      <c r="S3">
        <v>641.9</v>
      </c>
    </row>
    <row r="4" spans="1:19" x14ac:dyDescent="0.2">
      <c r="A4" t="s">
        <v>115</v>
      </c>
      <c r="B4">
        <v>780730</v>
      </c>
      <c r="C4">
        <v>668126</v>
      </c>
      <c r="D4">
        <v>200000</v>
      </c>
      <c r="E4" s="43">
        <v>9.7599065999999998E+20</v>
      </c>
      <c r="G4">
        <f>B4+D4</f>
        <v>980730</v>
      </c>
      <c r="H4">
        <f>C4+D4</f>
        <v>868126</v>
      </c>
      <c r="I4">
        <f>(G4+H4)/2</f>
        <v>924428</v>
      </c>
      <c r="J4">
        <f>SQRT(G4*H4)</f>
        <v>922711.87918006128</v>
      </c>
      <c r="K4">
        <f>(G4-H4)/(G4+H4)</f>
        <v>6.0904689169951579E-2</v>
      </c>
      <c r="L4">
        <f>(2*G4*H4)/(G4+H4)</f>
        <v>920998.94419035339</v>
      </c>
      <c r="M4">
        <f>(6.674*10^-11)*E4</f>
        <v>65137616648.399994</v>
      </c>
      <c r="N4">
        <f>SQRT(L4*M4)</f>
        <v>244931982.7222496</v>
      </c>
      <c r="O4">
        <f>2*I4*J4/N4*(ASIN((D4/J4)+K4*D4/J4))</f>
        <v>1616.0987356683975</v>
      </c>
      <c r="P4" s="10">
        <f>Unmanned!S18</f>
        <v>1.0504</v>
      </c>
      <c r="Q4">
        <f>O4*P4</f>
        <v>1697.5501119460846</v>
      </c>
    </row>
    <row r="5" spans="1:19" x14ac:dyDescent="0.2">
      <c r="A5" t="s">
        <v>115</v>
      </c>
      <c r="B5">
        <v>250000</v>
      </c>
      <c r="C5">
        <v>250000</v>
      </c>
      <c r="D5">
        <v>200000</v>
      </c>
      <c r="E5" s="43">
        <v>9.7599065999999998E+20</v>
      </c>
      <c r="G5">
        <f>B5+D5</f>
        <v>450000</v>
      </c>
      <c r="H5">
        <f>C5+D5</f>
        <v>450000</v>
      </c>
      <c r="I5">
        <f>(G5+H5)/2</f>
        <v>450000</v>
      </c>
      <c r="J5">
        <f>SQRT(G5*H5)</f>
        <v>450000</v>
      </c>
      <c r="K5">
        <f>(G5-H5)/(G5+H5)</f>
        <v>0</v>
      </c>
      <c r="L5">
        <f>(2*G5*H5)/(G5+H5)</f>
        <v>450000</v>
      </c>
      <c r="M5">
        <f>(6.674*10^-11)*E5</f>
        <v>65137616648.399994</v>
      </c>
      <c r="N5">
        <f>SQRT(L5*M5)</f>
        <v>171207264.71671695</v>
      </c>
      <c r="O5">
        <f>2*I5*J5/N5*(ASIN((D5/J5)+K5*D5/J5))</f>
        <v>1089.465256860231</v>
      </c>
      <c r="P5" s="10">
        <f>Unmanned!S$18</f>
        <v>1.0504</v>
      </c>
      <c r="Q5">
        <f>O5*P5</f>
        <v>1144.3743058059865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C33"/>
  <sheetViews>
    <sheetView topLeftCell="A7" workbookViewId="0">
      <selection activeCell="C33" sqref="C33"/>
    </sheetView>
  </sheetViews>
  <sheetFormatPr defaultRowHeight="15" x14ac:dyDescent="0.2"/>
  <cols>
    <col min="1" max="1" width="13.5859375" bestFit="1" customWidth="1"/>
    <col min="9" max="9" width="18.16015625" bestFit="1" customWidth="1"/>
    <col min="10" max="10" width="16.94921875" bestFit="1" customWidth="1"/>
    <col min="11" max="11" width="10.625" bestFit="1" customWidth="1"/>
    <col min="12" max="14" width="9.55078125" bestFit="1" customWidth="1"/>
    <col min="15" max="15" width="10.625" bestFit="1" customWidth="1"/>
  </cols>
  <sheetData>
    <row r="1" spans="1:29" x14ac:dyDescent="0.2">
      <c r="R1" t="s">
        <v>181</v>
      </c>
    </row>
    <row r="2" spans="1:29" x14ac:dyDescent="0.2">
      <c r="B2" t="s">
        <v>262</v>
      </c>
      <c r="C2" t="s">
        <v>256</v>
      </c>
      <c r="D2" t="s">
        <v>257</v>
      </c>
      <c r="E2" t="s">
        <v>258</v>
      </c>
      <c r="F2" t="s">
        <v>259</v>
      </c>
      <c r="G2" t="s">
        <v>260</v>
      </c>
      <c r="H2" t="s">
        <v>179</v>
      </c>
      <c r="I2" t="s">
        <v>264</v>
      </c>
      <c r="J2" t="s">
        <v>263</v>
      </c>
      <c r="K2" t="s">
        <v>266</v>
      </c>
      <c r="L2" t="s">
        <v>265</v>
      </c>
      <c r="M2" t="s">
        <v>267</v>
      </c>
      <c r="N2" t="s">
        <v>268</v>
      </c>
      <c r="O2" t="s">
        <v>269</v>
      </c>
      <c r="Q2" t="s">
        <v>187</v>
      </c>
      <c r="R2" t="s">
        <v>184</v>
      </c>
      <c r="S2" t="s">
        <v>185</v>
      </c>
      <c r="T2" t="s">
        <v>186</v>
      </c>
      <c r="Z2" t="s">
        <v>180</v>
      </c>
    </row>
    <row r="3" spans="1:29" x14ac:dyDescent="0.2">
      <c r="B3">
        <v>600000</v>
      </c>
      <c r="C3">
        <v>250000</v>
      </c>
      <c r="D3">
        <v>250000</v>
      </c>
      <c r="E3">
        <f>B3+C3</f>
        <v>850000</v>
      </c>
      <c r="F3">
        <f>B3+D3</f>
        <v>850000</v>
      </c>
      <c r="G3">
        <f>(E3+F3)/2</f>
        <v>850000</v>
      </c>
      <c r="H3" s="43">
        <v>3531598400000</v>
      </c>
      <c r="I3">
        <f>SQRT(H3*(2/E3-1/G3))</f>
        <v>2038.3379619334039</v>
      </c>
      <c r="Q3">
        <f>I3</f>
        <v>2038.3379619334039</v>
      </c>
      <c r="R3">
        <v>0</v>
      </c>
      <c r="S3">
        <v>90</v>
      </c>
      <c r="T3">
        <f>S3-R3</f>
        <v>90</v>
      </c>
      <c r="U3">
        <f>2*I3*SIN(T3/2)</f>
        <v>3468.8579120016502</v>
      </c>
      <c r="Z3" t="s">
        <v>182</v>
      </c>
      <c r="AA3" t="s">
        <v>183</v>
      </c>
      <c r="AB3" t="s">
        <v>133</v>
      </c>
      <c r="AC3" t="s">
        <v>191</v>
      </c>
    </row>
    <row r="4" spans="1:29" x14ac:dyDescent="0.2">
      <c r="B4">
        <v>600000</v>
      </c>
      <c r="C4">
        <v>250000</v>
      </c>
      <c r="D4">
        <v>1000000</v>
      </c>
      <c r="E4">
        <f t="shared" ref="E4:E29" si="0">B4+C4</f>
        <v>850000</v>
      </c>
      <c r="F4">
        <f t="shared" ref="F4:F29" si="1">B4+D4</f>
        <v>1600000</v>
      </c>
      <c r="G4">
        <f t="shared" ref="G4:G29" si="2">(E4+F4)/2</f>
        <v>1225000</v>
      </c>
      <c r="H4" s="43">
        <v>3531598400000</v>
      </c>
      <c r="I4">
        <f>SQRT(H4*(2/E4-1/G4))</f>
        <v>2329.5290993524618</v>
      </c>
      <c r="Z4">
        <f>I9</f>
        <v>2897.1981228347313</v>
      </c>
      <c r="AA4">
        <f>I8</f>
        <v>2246.1390365310363</v>
      </c>
      <c r="AB4">
        <f>SQRT(Z4^2+AA4^2-2*Z4*AA4*COS(RADIANS(90)))</f>
        <v>3665.9101918058036</v>
      </c>
      <c r="AC4">
        <f>DEGREES(ACOS(R13/AB4))</f>
        <v>88.773794077333022</v>
      </c>
    </row>
    <row r="5" spans="1:29" x14ac:dyDescent="0.2">
      <c r="B5">
        <v>600000</v>
      </c>
      <c r="C5">
        <v>1000000</v>
      </c>
      <c r="D5">
        <v>250000</v>
      </c>
      <c r="E5">
        <f t="shared" si="0"/>
        <v>1600000</v>
      </c>
      <c r="F5">
        <f t="shared" si="1"/>
        <v>850000</v>
      </c>
      <c r="G5">
        <f t="shared" si="2"/>
        <v>1225000</v>
      </c>
      <c r="H5" s="43">
        <v>3531598400000</v>
      </c>
      <c r="I5">
        <f t="shared" ref="I5:I29" si="3">SQRT(H5*(2/E5-1/G5))</f>
        <v>1237.5623340309955</v>
      </c>
      <c r="R5">
        <v>0</v>
      </c>
      <c r="S5">
        <v>90</v>
      </c>
      <c r="T5">
        <f>S5-R5</f>
        <v>90</v>
      </c>
      <c r="U5">
        <f>2*I5*SIN(T5/2)</f>
        <v>2106.0923037152884</v>
      </c>
      <c r="AC5" t="e">
        <f>ACOS(Z4/AA4)</f>
        <v>#NUM!</v>
      </c>
    </row>
    <row r="6" spans="1:29" x14ac:dyDescent="0.2">
      <c r="B6">
        <v>600000</v>
      </c>
      <c r="C6">
        <v>1000000</v>
      </c>
      <c r="D6">
        <v>100000</v>
      </c>
      <c r="E6">
        <f t="shared" si="0"/>
        <v>1600000</v>
      </c>
      <c r="F6">
        <f t="shared" si="1"/>
        <v>700000</v>
      </c>
      <c r="G6">
        <f t="shared" si="2"/>
        <v>1150000</v>
      </c>
      <c r="H6" s="43">
        <v>3531598400000</v>
      </c>
      <c r="I6">
        <f t="shared" si="3"/>
        <v>1159.1129666970419</v>
      </c>
    </row>
    <row r="7" spans="1:29" x14ac:dyDescent="0.2">
      <c r="B7">
        <v>600000</v>
      </c>
      <c r="C7">
        <v>100000</v>
      </c>
      <c r="D7">
        <v>1000000</v>
      </c>
      <c r="E7">
        <f t="shared" si="0"/>
        <v>700000</v>
      </c>
      <c r="F7">
        <f t="shared" si="1"/>
        <v>1600000</v>
      </c>
      <c r="G7">
        <f t="shared" si="2"/>
        <v>1150000</v>
      </c>
      <c r="H7" s="43">
        <v>3531598400000</v>
      </c>
      <c r="I7">
        <f t="shared" si="3"/>
        <v>2649.4010667360953</v>
      </c>
    </row>
    <row r="8" spans="1:29" x14ac:dyDescent="0.2">
      <c r="B8">
        <v>600000</v>
      </c>
      <c r="C8">
        <v>100000</v>
      </c>
      <c r="D8">
        <v>100000</v>
      </c>
      <c r="E8">
        <f t="shared" si="0"/>
        <v>700000</v>
      </c>
      <c r="F8">
        <f t="shared" si="1"/>
        <v>700000</v>
      </c>
      <c r="G8">
        <f t="shared" si="2"/>
        <v>700000</v>
      </c>
      <c r="H8" s="43">
        <v>3531598400000</v>
      </c>
      <c r="I8">
        <f t="shared" si="3"/>
        <v>2246.1390365310363</v>
      </c>
    </row>
    <row r="9" spans="1:29" x14ac:dyDescent="0.2">
      <c r="B9">
        <v>600000</v>
      </c>
      <c r="C9">
        <v>100000</v>
      </c>
      <c r="D9">
        <v>2863334</v>
      </c>
      <c r="E9">
        <f t="shared" si="0"/>
        <v>700000</v>
      </c>
      <c r="F9">
        <f t="shared" si="1"/>
        <v>3463334</v>
      </c>
      <c r="G9">
        <f t="shared" si="2"/>
        <v>2081667</v>
      </c>
      <c r="H9" s="43">
        <v>3531598400000</v>
      </c>
      <c r="I9">
        <f t="shared" si="3"/>
        <v>2897.1981228347313</v>
      </c>
    </row>
    <row r="10" spans="1:29" x14ac:dyDescent="0.2">
      <c r="B10">
        <v>600000</v>
      </c>
      <c r="C10">
        <v>2863334</v>
      </c>
      <c r="D10">
        <v>2863334</v>
      </c>
      <c r="E10">
        <f t="shared" si="0"/>
        <v>3463334</v>
      </c>
      <c r="F10">
        <f t="shared" si="1"/>
        <v>3463334</v>
      </c>
      <c r="G10">
        <f t="shared" si="2"/>
        <v>3463334</v>
      </c>
      <c r="H10" s="43">
        <v>3531598400000</v>
      </c>
      <c r="I10">
        <f t="shared" si="3"/>
        <v>1009.8072105892852</v>
      </c>
    </row>
    <row r="11" spans="1:29" x14ac:dyDescent="0.2">
      <c r="E11">
        <f t="shared" si="0"/>
        <v>0</v>
      </c>
      <c r="F11">
        <f t="shared" si="1"/>
        <v>0</v>
      </c>
      <c r="G11">
        <f t="shared" si="2"/>
        <v>0</v>
      </c>
    </row>
    <row r="12" spans="1:29" x14ac:dyDescent="0.2">
      <c r="E12">
        <f t="shared" si="0"/>
        <v>0</v>
      </c>
      <c r="F12">
        <f t="shared" si="1"/>
        <v>0</v>
      </c>
      <c r="G12">
        <f t="shared" si="2"/>
        <v>0</v>
      </c>
      <c r="Q12" t="s">
        <v>188</v>
      </c>
      <c r="R12">
        <f>I9-I8</f>
        <v>651.05908630369504</v>
      </c>
      <c r="S12">
        <f>R12</f>
        <v>651.05908630369504</v>
      </c>
    </row>
    <row r="13" spans="1:29" x14ac:dyDescent="0.2">
      <c r="A13" t="s">
        <v>261</v>
      </c>
      <c r="B13">
        <v>600000</v>
      </c>
      <c r="C13">
        <v>100000</v>
      </c>
      <c r="D13">
        <v>2863334</v>
      </c>
      <c r="E13">
        <f t="shared" ref="E13" si="4">B13+C13</f>
        <v>700000</v>
      </c>
      <c r="F13">
        <f t="shared" ref="F13" si="5">B13+D13</f>
        <v>3463334</v>
      </c>
      <c r="G13">
        <f t="shared" ref="G13" si="6">(E13+F13)/2</f>
        <v>2081667</v>
      </c>
      <c r="H13" s="43">
        <v>3531598400000</v>
      </c>
      <c r="I13" s="9">
        <f>SQRT(H13/E13)</f>
        <v>2246.1390365310363</v>
      </c>
      <c r="J13" s="9">
        <f>SQRT(H13/F13)</f>
        <v>1009.8072105892852</v>
      </c>
      <c r="K13" s="9">
        <f>SQRT(H13*(2/E13-1/G13))</f>
        <v>2897.1981228347313</v>
      </c>
      <c r="L13" s="9">
        <f>SQRT(H13*(2/F13-1/G13))</f>
        <v>585.57409882624995</v>
      </c>
      <c r="M13" s="9">
        <f>K13-I13</f>
        <v>651.05908630369504</v>
      </c>
      <c r="N13" s="9">
        <f>J13-L13</f>
        <v>424.23311176303525</v>
      </c>
      <c r="O13" s="9">
        <f>SUM(M13:N13)</f>
        <v>1075.2921980667302</v>
      </c>
      <c r="Q13" t="s">
        <v>189</v>
      </c>
      <c r="R13">
        <f>I5-I6</f>
        <v>78.44936733395366</v>
      </c>
      <c r="S13">
        <f>AB4</f>
        <v>3665.9101918058036</v>
      </c>
    </row>
    <row r="14" spans="1:29" x14ac:dyDescent="0.2">
      <c r="E14">
        <f t="shared" si="0"/>
        <v>0</v>
      </c>
      <c r="F14">
        <f t="shared" si="1"/>
        <v>0</v>
      </c>
      <c r="G14">
        <f t="shared" si="2"/>
        <v>0</v>
      </c>
      <c r="I14" t="e">
        <f t="shared" si="3"/>
        <v>#DIV/0!</v>
      </c>
      <c r="Q14" t="s">
        <v>190</v>
      </c>
      <c r="R14">
        <f>I7-I8</f>
        <v>403.26203020505909</v>
      </c>
      <c r="S14">
        <f>R14</f>
        <v>403.26203020505909</v>
      </c>
    </row>
    <row r="15" spans="1:29" x14ac:dyDescent="0.2">
      <c r="E15">
        <f t="shared" si="0"/>
        <v>0</v>
      </c>
      <c r="F15">
        <f t="shared" si="1"/>
        <v>0</v>
      </c>
      <c r="G15">
        <f t="shared" si="2"/>
        <v>0</v>
      </c>
      <c r="I15" t="e">
        <f t="shared" si="3"/>
        <v>#DIV/0!</v>
      </c>
      <c r="R15">
        <f>SUM(R12:R14)</f>
        <v>1132.7704838427078</v>
      </c>
      <c r="S15">
        <f>SUM(S12:S14)</f>
        <v>4720.2313083145573</v>
      </c>
    </row>
    <row r="16" spans="1:29" x14ac:dyDescent="0.2">
      <c r="E16">
        <f t="shared" si="0"/>
        <v>0</v>
      </c>
      <c r="F16">
        <f t="shared" si="1"/>
        <v>0</v>
      </c>
      <c r="G16">
        <f t="shared" si="2"/>
        <v>0</v>
      </c>
      <c r="I16" t="e">
        <f t="shared" si="3"/>
        <v>#DIV/0!</v>
      </c>
      <c r="S16">
        <f>S15+Kerbin!H30</f>
        <v>8522.795781101624</v>
      </c>
    </row>
    <row r="17" spans="1:9" x14ac:dyDescent="0.2">
      <c r="E17">
        <f t="shared" si="0"/>
        <v>0</v>
      </c>
      <c r="F17">
        <f t="shared" si="1"/>
        <v>0</v>
      </c>
      <c r="G17">
        <f t="shared" si="2"/>
        <v>0</v>
      </c>
      <c r="I17" t="e">
        <f t="shared" si="3"/>
        <v>#DIV/0!</v>
      </c>
    </row>
    <row r="18" spans="1:9" x14ac:dyDescent="0.2">
      <c r="E18">
        <f t="shared" si="0"/>
        <v>0</v>
      </c>
      <c r="F18">
        <f t="shared" si="1"/>
        <v>0</v>
      </c>
      <c r="G18">
        <f t="shared" si="2"/>
        <v>0</v>
      </c>
      <c r="I18" t="e">
        <f t="shared" si="3"/>
        <v>#DIV/0!</v>
      </c>
    </row>
    <row r="19" spans="1:9" x14ac:dyDescent="0.2">
      <c r="E19">
        <f t="shared" si="0"/>
        <v>0</v>
      </c>
      <c r="F19">
        <f t="shared" si="1"/>
        <v>0</v>
      </c>
      <c r="G19">
        <f t="shared" si="2"/>
        <v>0</v>
      </c>
      <c r="I19" t="e">
        <f t="shared" si="3"/>
        <v>#DIV/0!</v>
      </c>
    </row>
    <row r="20" spans="1:9" x14ac:dyDescent="0.2">
      <c r="E20">
        <f t="shared" si="0"/>
        <v>0</v>
      </c>
      <c r="F20">
        <f t="shared" si="1"/>
        <v>0</v>
      </c>
      <c r="G20">
        <f t="shared" si="2"/>
        <v>0</v>
      </c>
      <c r="I20" t="e">
        <f t="shared" si="3"/>
        <v>#DIV/0!</v>
      </c>
    </row>
    <row r="21" spans="1:9" x14ac:dyDescent="0.2">
      <c r="E21">
        <f t="shared" si="0"/>
        <v>0</v>
      </c>
      <c r="F21">
        <f t="shared" si="1"/>
        <v>0</v>
      </c>
      <c r="G21">
        <f t="shared" si="2"/>
        <v>0</v>
      </c>
      <c r="I21" t="e">
        <f t="shared" si="3"/>
        <v>#DIV/0!</v>
      </c>
    </row>
    <row r="22" spans="1:9" x14ac:dyDescent="0.2">
      <c r="E22">
        <f t="shared" si="0"/>
        <v>0</v>
      </c>
      <c r="F22">
        <f t="shared" si="1"/>
        <v>0</v>
      </c>
      <c r="G22">
        <f t="shared" si="2"/>
        <v>0</v>
      </c>
      <c r="I22" t="e">
        <f t="shared" si="3"/>
        <v>#DIV/0!</v>
      </c>
    </row>
    <row r="23" spans="1:9" x14ac:dyDescent="0.2">
      <c r="E23">
        <f t="shared" si="0"/>
        <v>0</v>
      </c>
      <c r="F23">
        <f t="shared" si="1"/>
        <v>0</v>
      </c>
      <c r="G23">
        <f t="shared" si="2"/>
        <v>0</v>
      </c>
      <c r="I23" t="e">
        <f t="shared" si="3"/>
        <v>#DIV/0!</v>
      </c>
    </row>
    <row r="24" spans="1:9" x14ac:dyDescent="0.2">
      <c r="E24">
        <f t="shared" si="0"/>
        <v>0</v>
      </c>
      <c r="F24">
        <f t="shared" si="1"/>
        <v>0</v>
      </c>
      <c r="G24">
        <f t="shared" si="2"/>
        <v>0</v>
      </c>
      <c r="I24" t="e">
        <f t="shared" si="3"/>
        <v>#DIV/0!</v>
      </c>
    </row>
    <row r="25" spans="1:9" x14ac:dyDescent="0.2">
      <c r="E25">
        <f t="shared" si="0"/>
        <v>0</v>
      </c>
      <c r="F25">
        <f t="shared" si="1"/>
        <v>0</v>
      </c>
      <c r="G25">
        <f t="shared" si="2"/>
        <v>0</v>
      </c>
      <c r="I25" t="e">
        <f t="shared" si="3"/>
        <v>#DIV/0!</v>
      </c>
    </row>
    <row r="26" spans="1:9" x14ac:dyDescent="0.2">
      <c r="E26">
        <f t="shared" si="0"/>
        <v>0</v>
      </c>
      <c r="F26">
        <f t="shared" si="1"/>
        <v>0</v>
      </c>
      <c r="G26">
        <f t="shared" si="2"/>
        <v>0</v>
      </c>
      <c r="I26" t="e">
        <f t="shared" si="3"/>
        <v>#DIV/0!</v>
      </c>
    </row>
    <row r="27" spans="1:9" x14ac:dyDescent="0.2">
      <c r="E27">
        <f t="shared" si="0"/>
        <v>0</v>
      </c>
      <c r="F27">
        <f t="shared" si="1"/>
        <v>0</v>
      </c>
      <c r="G27">
        <f t="shared" si="2"/>
        <v>0</v>
      </c>
      <c r="I27" t="e">
        <f t="shared" si="3"/>
        <v>#DIV/0!</v>
      </c>
    </row>
    <row r="28" spans="1:9" x14ac:dyDescent="0.2">
      <c r="E28">
        <f t="shared" si="0"/>
        <v>0</v>
      </c>
      <c r="F28">
        <f t="shared" si="1"/>
        <v>0</v>
      </c>
      <c r="G28">
        <f t="shared" si="2"/>
        <v>0</v>
      </c>
      <c r="I28" t="e">
        <f t="shared" si="3"/>
        <v>#DIV/0!</v>
      </c>
    </row>
    <row r="29" spans="1:9" x14ac:dyDescent="0.2">
      <c r="E29">
        <f t="shared" si="0"/>
        <v>0</v>
      </c>
      <c r="F29">
        <f t="shared" si="1"/>
        <v>0</v>
      </c>
      <c r="G29">
        <f t="shared" si="2"/>
        <v>0</v>
      </c>
      <c r="I29" t="e">
        <f t="shared" si="3"/>
        <v>#DIV/0!</v>
      </c>
    </row>
    <row r="32" spans="1:9" x14ac:dyDescent="0.2">
      <c r="A32" t="s">
        <v>270</v>
      </c>
      <c r="B32" t="s">
        <v>271</v>
      </c>
      <c r="C32" t="s">
        <v>272</v>
      </c>
    </row>
    <row r="33" spans="1:3" x14ac:dyDescent="0.2">
      <c r="A33">
        <v>3713</v>
      </c>
      <c r="B33">
        <v>5180</v>
      </c>
      <c r="C33">
        <f>(A33-2500)/A33*B33+2500</f>
        <v>4192.2542418529492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8"/>
  <sheetViews>
    <sheetView topLeftCell="A2" workbookViewId="0">
      <selection activeCell="C5" sqref="C5"/>
    </sheetView>
  </sheetViews>
  <sheetFormatPr defaultRowHeight="15" x14ac:dyDescent="0.2"/>
  <cols>
    <col min="1" max="1" width="19.234375" bestFit="1" customWidth="1"/>
    <col min="2" max="2" width="8.875" bestFit="1" customWidth="1"/>
    <col min="14" max="15" width="10.625" bestFit="1" customWidth="1"/>
  </cols>
  <sheetData>
    <row r="1" spans="1:28" x14ac:dyDescent="0.2">
      <c r="A1" t="s">
        <v>197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x14ac:dyDescent="0.2">
      <c r="B2" t="s">
        <v>5</v>
      </c>
      <c r="C2" t="s">
        <v>6</v>
      </c>
      <c r="D2" t="s">
        <v>4</v>
      </c>
      <c r="E2" t="s">
        <v>7</v>
      </c>
      <c r="G2" t="s">
        <v>13</v>
      </c>
      <c r="H2" t="s">
        <v>21</v>
      </c>
      <c r="L2" t="s">
        <v>192</v>
      </c>
      <c r="AA2" t="s">
        <v>57</v>
      </c>
    </row>
    <row r="3" spans="1:28" x14ac:dyDescent="0.2">
      <c r="A3" t="s">
        <v>46</v>
      </c>
      <c r="J3" t="s">
        <v>66</v>
      </c>
      <c r="L3" t="s">
        <v>53</v>
      </c>
      <c r="M3" t="s">
        <v>105</v>
      </c>
      <c r="N3" t="s">
        <v>76</v>
      </c>
      <c r="O3" t="s">
        <v>78</v>
      </c>
      <c r="P3" t="s">
        <v>193</v>
      </c>
      <c r="Q3" t="s">
        <v>194</v>
      </c>
      <c r="R3" t="s">
        <v>195</v>
      </c>
      <c r="S3" t="s">
        <v>79</v>
      </c>
      <c r="T3" t="s">
        <v>31</v>
      </c>
      <c r="U3" t="s">
        <v>21</v>
      </c>
      <c r="X3" t="s">
        <v>75</v>
      </c>
      <c r="Y3" t="s">
        <v>77</v>
      </c>
      <c r="Z3" t="s">
        <v>65</v>
      </c>
      <c r="AA3" t="s">
        <v>58</v>
      </c>
      <c r="AB3" t="s">
        <v>38</v>
      </c>
    </row>
    <row r="4" spans="1:28" x14ac:dyDescent="0.2">
      <c r="A4" t="s">
        <v>235</v>
      </c>
      <c r="C4">
        <v>524</v>
      </c>
      <c r="D4">
        <f>C4</f>
        <v>524</v>
      </c>
      <c r="E4" s="1">
        <f>D4</f>
        <v>524</v>
      </c>
      <c r="G4" s="1"/>
      <c r="H4" s="1">
        <f>D4-G4</f>
        <v>524</v>
      </c>
      <c r="J4" s="10">
        <f>Mun!C51*1.01</f>
        <v>0</v>
      </c>
      <c r="K4" s="10"/>
      <c r="N4" s="10"/>
      <c r="O4" s="10"/>
      <c r="S4" s="10">
        <f>SUM(L4:O4)*1.01</f>
        <v>0</v>
      </c>
      <c r="T4" s="10"/>
      <c r="U4" s="10">
        <f>T4-N4</f>
        <v>0</v>
      </c>
      <c r="V4" s="10"/>
      <c r="W4" s="10"/>
      <c r="X4" s="36">
        <f>S4/Batteries!$B$33</f>
        <v>0</v>
      </c>
      <c r="Y4" s="9">
        <f>N4/Batteries!$B$34</f>
        <v>0</v>
      </c>
      <c r="Z4" s="9">
        <f>S4/Batteries!$B$32</f>
        <v>0</v>
      </c>
      <c r="AA4" s="9">
        <f>(S4/Batteries!$B$32-ROUNDDOWN(S4/Batteries!$B$32,0))*Batteries!$B$32/Batteries!$B$31</f>
        <v>0</v>
      </c>
      <c r="AB4" s="1">
        <f>(S4/Batteries!$B$31-ROUNDDOWN(S4/Batteries!$B$31,0))*Batteries!$B$31/Batteries!$B$30</f>
        <v>0</v>
      </c>
    </row>
    <row r="5" spans="1:28" x14ac:dyDescent="0.2">
      <c r="A5" t="s">
        <v>61</v>
      </c>
      <c r="C5">
        <v>1109</v>
      </c>
      <c r="D5">
        <f>C5</f>
        <v>1109</v>
      </c>
      <c r="E5" s="1">
        <f>E4+D5</f>
        <v>1633</v>
      </c>
      <c r="N5" s="10"/>
      <c r="O5" s="10"/>
      <c r="S5" s="10"/>
      <c r="T5" s="10"/>
      <c r="U5" s="10"/>
      <c r="V5" s="10"/>
      <c r="W5" s="10"/>
      <c r="X5" s="36">
        <f>S5/Batteries!$B$33</f>
        <v>0</v>
      </c>
      <c r="Y5" s="9"/>
      <c r="Z5" s="9">
        <f>S5/Batteries!$B$32</f>
        <v>0</v>
      </c>
      <c r="AA5" s="9">
        <f>(S5/Batteries!$B$32-ROUNDDOWN(S5/Batteries!$B$32,0))*Batteries!$B$32/Batteries!$B$31</f>
        <v>0</v>
      </c>
      <c r="AB5" s="1">
        <f>(S5/Batteries!$B$31-ROUNDDOWN(S5/Batteries!$B$31,0))*Batteries!$B$31/Batteries!$B$30</f>
        <v>0</v>
      </c>
    </row>
    <row r="6" spans="1:28" x14ac:dyDescent="0.2">
      <c r="A6" t="s">
        <v>62</v>
      </c>
      <c r="B6">
        <v>1990</v>
      </c>
      <c r="C6">
        <v>2328</v>
      </c>
      <c r="D6" s="1">
        <f>(((B6-1000)/B6)*C6)+1000</f>
        <v>2158.150753768844</v>
      </c>
      <c r="E6" s="1">
        <f>D5+D6</f>
        <v>3267.150753768844</v>
      </c>
      <c r="G6">
        <f>ROUNDUP(Kerbin!N61*1.01,0)</f>
        <v>3631</v>
      </c>
      <c r="H6" s="1">
        <f>(D5+D6)-G6</f>
        <v>-363.84924623115603</v>
      </c>
      <c r="I6" s="1"/>
      <c r="J6" s="10" t="e">
        <f>Kerbin!#REF!*1.01</f>
        <v>#REF!</v>
      </c>
      <c r="K6" s="10"/>
      <c r="N6" s="10"/>
      <c r="O6" s="10"/>
      <c r="S6" s="10">
        <f>SUM(L6:O6)*1.01</f>
        <v>0</v>
      </c>
      <c r="T6" s="10">
        <v>3200</v>
      </c>
      <c r="U6" s="10">
        <f>T6-N6</f>
        <v>3200</v>
      </c>
      <c r="V6" s="10"/>
      <c r="W6" s="10"/>
      <c r="X6" s="36">
        <f>S6/Batteries!$B$33</f>
        <v>0</v>
      </c>
      <c r="Y6" s="9">
        <f>N6/Batteries!$B$34</f>
        <v>0</v>
      </c>
      <c r="Z6" s="9">
        <f>S6/Batteries!$B$32</f>
        <v>0</v>
      </c>
      <c r="AA6" s="9">
        <f>(S6/Batteries!$B$32-ROUNDDOWN(S6/Batteries!$B$32,0))*Batteries!$B$32/Batteries!$B$31</f>
        <v>0</v>
      </c>
      <c r="AB6" s="1">
        <f>(S6/Batteries!$B$31-ROUNDDOWN(S6/Batteries!$B$31,0))*Batteries!$B$31/Batteries!$B$30</f>
        <v>0</v>
      </c>
    </row>
    <row r="7" spans="1:28" x14ac:dyDescent="0.2">
      <c r="A7" t="s">
        <v>79</v>
      </c>
      <c r="D7" s="1"/>
      <c r="E7" s="1"/>
      <c r="G7">
        <f>SUM(G4:G6)</f>
        <v>3631</v>
      </c>
      <c r="H7" s="1">
        <f>SUM(H4:H6)</f>
        <v>160.15075376884397</v>
      </c>
      <c r="I7" s="1"/>
      <c r="J7" s="10" t="e">
        <f>SUM(J4:J6)</f>
        <v>#REF!</v>
      </c>
      <c r="K7" s="10"/>
      <c r="L7" s="4">
        <v>1</v>
      </c>
      <c r="M7">
        <v>0</v>
      </c>
      <c r="N7" s="10">
        <f>2.4/60</f>
        <v>0.04</v>
      </c>
      <c r="O7" s="26"/>
      <c r="P7">
        <v>0</v>
      </c>
      <c r="Q7">
        <v>0</v>
      </c>
      <c r="R7">
        <v>0</v>
      </c>
      <c r="S7" s="10">
        <f>SUM(L7:R7)*1.01</f>
        <v>1.0504</v>
      </c>
      <c r="T7" s="26">
        <f>SUM(T4:T6)</f>
        <v>3200</v>
      </c>
      <c r="U7" s="10">
        <f>T7-S7</f>
        <v>3198.9495999999999</v>
      </c>
      <c r="V7" s="10"/>
      <c r="W7" s="10"/>
      <c r="X7" s="36">
        <f>S7/Batteries!$B$33</f>
        <v>3.2824999999999998E-4</v>
      </c>
      <c r="Y7" s="9">
        <f>N7/Batteries!$B$34</f>
        <v>2.0000000000000001E-4</v>
      </c>
      <c r="Z7" s="9">
        <f>S7/Batteries!$B$32</f>
        <v>1.3129999999999999E-3</v>
      </c>
      <c r="AA7" s="9">
        <f>(S7/Batteries!$B$32-ROUNDDOWN(S7/Batteries!$B$32,0))*Batteries!$B$32/Batteries!$B$31</f>
        <v>2.6259999999999999E-3</v>
      </c>
      <c r="AB7" s="1">
        <f>(S7/Batteries!$B$31-ROUNDDOWN(S7/Batteries!$B$31,0))*Batteries!$B$31/Batteries!$B$30</f>
        <v>2.1007999999999999E-2</v>
      </c>
    </row>
    <row r="10" spans="1:28" x14ac:dyDescent="0.2">
      <c r="A10" t="s">
        <v>115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x14ac:dyDescent="0.2">
      <c r="B11" t="s">
        <v>5</v>
      </c>
      <c r="C11" t="s">
        <v>6</v>
      </c>
      <c r="D11" t="s">
        <v>4</v>
      </c>
      <c r="E11" t="s">
        <v>7</v>
      </c>
      <c r="G11" t="s">
        <v>13</v>
      </c>
      <c r="H11" t="s">
        <v>21</v>
      </c>
      <c r="L11" t="s">
        <v>192</v>
      </c>
      <c r="AA11" t="s">
        <v>57</v>
      </c>
    </row>
    <row r="12" spans="1:28" x14ac:dyDescent="0.2">
      <c r="A12" t="s">
        <v>46</v>
      </c>
      <c r="J12" t="s">
        <v>66</v>
      </c>
      <c r="L12" t="s">
        <v>53</v>
      </c>
      <c r="M12" t="s">
        <v>105</v>
      </c>
      <c r="N12" t="s">
        <v>76</v>
      </c>
      <c r="O12" t="s">
        <v>78</v>
      </c>
      <c r="P12" t="s">
        <v>193</v>
      </c>
      <c r="Q12" t="s">
        <v>194</v>
      </c>
      <c r="R12" t="s">
        <v>195</v>
      </c>
      <c r="S12" t="s">
        <v>79</v>
      </c>
      <c r="T12" t="s">
        <v>31</v>
      </c>
      <c r="U12" t="s">
        <v>21</v>
      </c>
      <c r="X12" t="s">
        <v>75</v>
      </c>
      <c r="Y12" t="s">
        <v>77</v>
      </c>
      <c r="Z12" t="s">
        <v>65</v>
      </c>
      <c r="AA12" t="s">
        <v>58</v>
      </c>
      <c r="AB12" t="s">
        <v>38</v>
      </c>
    </row>
    <row r="13" spans="1:28" x14ac:dyDescent="0.2">
      <c r="A13" t="s">
        <v>59</v>
      </c>
      <c r="C13">
        <v>0</v>
      </c>
      <c r="D13">
        <f>C13</f>
        <v>0</v>
      </c>
      <c r="E13">
        <f>D13</f>
        <v>0</v>
      </c>
      <c r="G13" s="1">
        <v>0</v>
      </c>
      <c r="H13">
        <f>E13-G13</f>
        <v>0</v>
      </c>
      <c r="J13" s="10" t="e">
        <f>Mun!T62</f>
        <v>#DIV/0!</v>
      </c>
      <c r="K13" s="10"/>
      <c r="N13" s="10"/>
      <c r="O13" s="10"/>
      <c r="S13" s="10">
        <f>SUM(L13:O13)*1.01</f>
        <v>0</v>
      </c>
      <c r="T13" s="10">
        <v>3200</v>
      </c>
      <c r="U13" s="10">
        <f>T13-S13</f>
        <v>3200</v>
      </c>
      <c r="V13" s="10"/>
      <c r="W13" s="10"/>
      <c r="X13" s="36">
        <f>S13/Batteries!$B$33</f>
        <v>0</v>
      </c>
      <c r="Y13" s="9">
        <f>N13/Batteries!$B$34</f>
        <v>0</v>
      </c>
      <c r="Z13" s="9">
        <f>S13/Batteries!$B$32</f>
        <v>0</v>
      </c>
      <c r="AA13" s="9">
        <f>(S13/Batteries!$B$32-ROUNDDOWN(S13/Batteries!$B$32,0))*Batteries!$B$32/Batteries!$B$31</f>
        <v>0</v>
      </c>
      <c r="AB13" s="1">
        <f>(S13/Batteries!$B$31-ROUNDDOWN(S13/Batteries!$B$31,0))*Batteries!$B$31/Batteries!$B$30</f>
        <v>0</v>
      </c>
    </row>
    <row r="14" spans="1:28" x14ac:dyDescent="0.2">
      <c r="A14" t="s">
        <v>114</v>
      </c>
      <c r="G14">
        <f>ROUNDUP((Mun!E26+Mun!G28)*1.01,0)</f>
        <v>591</v>
      </c>
      <c r="H14" s="1">
        <f>H15-G14</f>
        <v>359</v>
      </c>
      <c r="J14" s="10">
        <v>60</v>
      </c>
      <c r="K14" s="10"/>
      <c r="L14">
        <v>0</v>
      </c>
      <c r="M14">
        <v>0</v>
      </c>
      <c r="N14" s="10"/>
      <c r="O14" s="10"/>
      <c r="S14" s="10">
        <f>SUM(L14:O14)*1.01</f>
        <v>0</v>
      </c>
      <c r="T14" s="10"/>
      <c r="U14" s="10">
        <f>T14-S14</f>
        <v>0</v>
      </c>
      <c r="V14" s="10"/>
      <c r="W14" s="10"/>
      <c r="X14" s="36">
        <f>S14/Batteries!$B$33</f>
        <v>0</v>
      </c>
      <c r="Y14" s="9"/>
      <c r="Z14" s="9"/>
      <c r="AA14" s="9"/>
      <c r="AB14" s="1"/>
    </row>
    <row r="15" spans="1:28" x14ac:dyDescent="0.2">
      <c r="A15" t="s">
        <v>60</v>
      </c>
      <c r="C15">
        <v>1799</v>
      </c>
      <c r="D15">
        <f>C15</f>
        <v>1799</v>
      </c>
      <c r="E15" s="1">
        <f>D15</f>
        <v>1799</v>
      </c>
      <c r="G15">
        <f>ROUNDUP(Mun!C28*1.01,0)</f>
        <v>849</v>
      </c>
      <c r="H15" s="1">
        <f>D15-G15</f>
        <v>950</v>
      </c>
      <c r="J15" s="10">
        <f>Mun!C62*1.01</f>
        <v>0</v>
      </c>
      <c r="K15" s="10"/>
      <c r="N15" s="10"/>
      <c r="O15" s="10"/>
      <c r="S15" s="10">
        <f>SUM(L15:O15)*1.01</f>
        <v>0</v>
      </c>
      <c r="T15" s="10"/>
      <c r="U15" s="10">
        <f>T15-N15</f>
        <v>0</v>
      </c>
      <c r="V15" s="10"/>
      <c r="W15" s="10"/>
      <c r="X15" s="36">
        <f>S15/Batteries!$B$33</f>
        <v>0</v>
      </c>
      <c r="Y15" s="9">
        <f>N15/Batteries!$B$34</f>
        <v>0</v>
      </c>
      <c r="Z15" s="9">
        <f>S15/Batteries!$B$32</f>
        <v>0</v>
      </c>
      <c r="AA15" s="9">
        <f>(S15/Batteries!$B$32-ROUNDDOWN(S15/Batteries!$B$32,0))*Batteries!$B$32/Batteries!$B$31</f>
        <v>0</v>
      </c>
      <c r="AB15" s="1">
        <f>(S15/Batteries!$B$31-ROUNDDOWN(S15/Batteries!$B$31,0))*Batteries!$B$31/Batteries!$B$30</f>
        <v>0</v>
      </c>
    </row>
    <row r="16" spans="1:28" x14ac:dyDescent="0.2">
      <c r="A16" t="s">
        <v>61</v>
      </c>
      <c r="C16">
        <v>1290</v>
      </c>
      <c r="D16">
        <f>C16</f>
        <v>1290</v>
      </c>
      <c r="E16" s="1">
        <f>E15+D16</f>
        <v>3089</v>
      </c>
      <c r="N16" s="10"/>
      <c r="O16" s="10"/>
      <c r="S16" s="10"/>
      <c r="T16" s="10"/>
      <c r="U16" s="10"/>
      <c r="V16" s="10"/>
      <c r="W16" s="10"/>
      <c r="X16" s="36">
        <f>S16/Batteries!$B$33</f>
        <v>0</v>
      </c>
      <c r="Y16" s="9"/>
      <c r="Z16" s="9">
        <f>S16/Batteries!$B$32</f>
        <v>0</v>
      </c>
      <c r="AA16" s="9">
        <f>(S16/Batteries!$B$32-ROUNDDOWN(S16/Batteries!$B$32,0))*Batteries!$B$32/Batteries!$B$31</f>
        <v>0</v>
      </c>
      <c r="AB16" s="1">
        <f>(S16/Batteries!$B$31-ROUNDDOWN(S16/Batteries!$B$31,0))*Batteries!$B$31/Batteries!$B$30</f>
        <v>0</v>
      </c>
    </row>
    <row r="17" spans="1:28" x14ac:dyDescent="0.2">
      <c r="A17" t="s">
        <v>62</v>
      </c>
      <c r="B17">
        <v>2306</v>
      </c>
      <c r="C17">
        <v>2952</v>
      </c>
      <c r="D17" s="1">
        <f>(((B17-1000)/B17)*C17)+1000</f>
        <v>2671.8612315698178</v>
      </c>
      <c r="E17" s="1">
        <f>D16+D17</f>
        <v>3961.8612315698178</v>
      </c>
      <c r="G17">
        <f>ROUNDUP(Kerbin!H61*1.01,0)</f>
        <v>3838</v>
      </c>
      <c r="H17" s="1">
        <f>(D16+D17)-G17</f>
        <v>123.86123156981785</v>
      </c>
      <c r="I17" s="1"/>
      <c r="J17" s="10" t="e">
        <f>Kerbin!#REF!*1.01</f>
        <v>#REF!</v>
      </c>
      <c r="K17" s="10"/>
      <c r="N17" s="10"/>
      <c r="O17" s="10"/>
      <c r="S17" s="10">
        <f>SUM(L17:O17)*1.01</f>
        <v>0</v>
      </c>
      <c r="T17" s="10">
        <v>3200</v>
      </c>
      <c r="U17" s="10">
        <f>T17-N17</f>
        <v>3200</v>
      </c>
      <c r="V17" s="10"/>
      <c r="W17" s="10"/>
      <c r="X17" s="36">
        <f>S17/Batteries!$B$33</f>
        <v>0</v>
      </c>
      <c r="Y17" s="9">
        <f>N17/Batteries!$B$34</f>
        <v>0</v>
      </c>
      <c r="Z17" s="9">
        <f>S17/Batteries!$B$32</f>
        <v>0</v>
      </c>
      <c r="AA17" s="9">
        <f>(S17/Batteries!$B$32-ROUNDDOWN(S17/Batteries!$B$32,0))*Batteries!$B$32/Batteries!$B$31</f>
        <v>0</v>
      </c>
      <c r="AB17" s="1">
        <f>(S17/Batteries!$B$31-ROUNDDOWN(S17/Batteries!$B$31,0))*Batteries!$B$31/Batteries!$B$30</f>
        <v>0</v>
      </c>
    </row>
    <row r="18" spans="1:28" x14ac:dyDescent="0.2">
      <c r="A18" t="s">
        <v>79</v>
      </c>
      <c r="D18" s="1"/>
      <c r="E18" s="1"/>
      <c r="G18">
        <f>SUM(G13:G17)</f>
        <v>5278</v>
      </c>
      <c r="H18" s="1">
        <f>SUM(H13:H17)</f>
        <v>1432.8612315698178</v>
      </c>
      <c r="I18" s="1"/>
      <c r="J18" s="10" t="e">
        <f>SUM(J13:J17)</f>
        <v>#DIV/0!</v>
      </c>
      <c r="K18" s="10"/>
      <c r="L18" s="4">
        <v>1</v>
      </c>
      <c r="M18">
        <v>0</v>
      </c>
      <c r="N18" s="10">
        <f>2.4/60</f>
        <v>0.04</v>
      </c>
      <c r="O18" s="26"/>
      <c r="P18">
        <v>0</v>
      </c>
      <c r="Q18">
        <v>0</v>
      </c>
      <c r="R18">
        <v>0</v>
      </c>
      <c r="S18" s="10">
        <f>SUM(L18:R18)*1.01</f>
        <v>1.0504</v>
      </c>
      <c r="T18" s="26">
        <f>SUM(T13:T17)</f>
        <v>6400</v>
      </c>
      <c r="U18" s="10">
        <f>T18-S18</f>
        <v>6398.9495999999999</v>
      </c>
      <c r="V18" s="10"/>
      <c r="W18" s="10"/>
      <c r="X18" s="36">
        <f>S18/Batteries!$B$33</f>
        <v>3.2824999999999998E-4</v>
      </c>
      <c r="Y18" s="9">
        <f>N18/Batteries!$B$34</f>
        <v>2.0000000000000001E-4</v>
      </c>
      <c r="Z18" s="9">
        <f>S18/Batteries!$B$32</f>
        <v>1.3129999999999999E-3</v>
      </c>
      <c r="AA18" s="9">
        <f>(S18/Batteries!$B$32-ROUNDDOWN(S18/Batteries!$B$32,0))*Batteries!$B$32/Batteries!$B$31</f>
        <v>2.6259999999999999E-3</v>
      </c>
      <c r="AB18" s="1">
        <f>(S18/Batteries!$B$31-ROUNDDOWN(S18/Batteries!$B$31,0))*Batteries!$B$31/Batteries!$B$30</f>
        <v>2.1007999999999999E-2</v>
      </c>
    </row>
    <row r="20" spans="1:28" x14ac:dyDescent="0.2">
      <c r="A20" t="s">
        <v>68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x14ac:dyDescent="0.2">
      <c r="B21" t="s">
        <v>5</v>
      </c>
      <c r="C21" t="s">
        <v>6</v>
      </c>
      <c r="D21" t="s">
        <v>4</v>
      </c>
      <c r="E21" t="s">
        <v>7</v>
      </c>
      <c r="G21" t="s">
        <v>13</v>
      </c>
      <c r="H21" t="s">
        <v>21</v>
      </c>
      <c r="L21" t="s">
        <v>47</v>
      </c>
      <c r="T21" s="55" t="s">
        <v>57</v>
      </c>
      <c r="U21" s="55"/>
      <c r="V21" s="55"/>
      <c r="W21" s="55"/>
      <c r="X21" s="55"/>
    </row>
    <row r="22" spans="1:28" x14ac:dyDescent="0.2">
      <c r="A22" t="s">
        <v>46</v>
      </c>
      <c r="J22" t="s">
        <v>66</v>
      </c>
      <c r="L22" t="s">
        <v>53</v>
      </c>
      <c r="M22" t="s">
        <v>105</v>
      </c>
      <c r="N22" t="s">
        <v>76</v>
      </c>
      <c r="O22" t="s">
        <v>120</v>
      </c>
      <c r="P22" t="s">
        <v>78</v>
      </c>
      <c r="Q22" t="s">
        <v>79</v>
      </c>
      <c r="R22" t="s">
        <v>31</v>
      </c>
      <c r="S22" t="s">
        <v>21</v>
      </c>
      <c r="T22" t="s">
        <v>75</v>
      </c>
      <c r="U22" t="s">
        <v>77</v>
      </c>
      <c r="V22" t="s">
        <v>65</v>
      </c>
      <c r="W22" t="s">
        <v>58</v>
      </c>
      <c r="X22" t="s">
        <v>38</v>
      </c>
    </row>
    <row r="23" spans="1:28" x14ac:dyDescent="0.2">
      <c r="A23" t="s">
        <v>59</v>
      </c>
      <c r="C23">
        <v>532</v>
      </c>
      <c r="D23">
        <f>C23</f>
        <v>532</v>
      </c>
      <c r="E23">
        <f>D23</f>
        <v>532</v>
      </c>
      <c r="F23" t="s">
        <v>141</v>
      </c>
      <c r="G23">
        <f>ROUNDUP(Minmus!J29*1.01,0)</f>
        <v>678</v>
      </c>
      <c r="H23">
        <f>E23-G23</f>
        <v>-146</v>
      </c>
      <c r="J23" s="10">
        <f>Minmus!L59</f>
        <v>600</v>
      </c>
      <c r="K23" s="10"/>
      <c r="N23" s="10">
        <f>Batteries!$B$39*J23</f>
        <v>1500</v>
      </c>
      <c r="O23" s="10">
        <f>(((Batteries!$B$39*60)-Batteries!$B$45)*J23)/60</f>
        <v>960</v>
      </c>
      <c r="Q23" s="10">
        <f>SUM(L23,M23,N23,P23)*1.01</f>
        <v>1515</v>
      </c>
      <c r="R23" s="10">
        <v>1600</v>
      </c>
      <c r="S23" s="10">
        <f>R23-Q23</f>
        <v>85</v>
      </c>
      <c r="T23" s="36">
        <f>Q23/Batteries!$B$33</f>
        <v>0.47343750000000001</v>
      </c>
      <c r="U23" s="9">
        <f>N23/Batteries!$B$34</f>
        <v>7.5</v>
      </c>
      <c r="V23" s="9">
        <f>Q23/Batteries!$B$32</f>
        <v>1.89375</v>
      </c>
      <c r="W23" s="9">
        <f>(Q23/Batteries!$B$32-ROUNDDOWN(Q23/Batteries!$B$32,0))*Batteries!$B$32/Batteries!$B$31</f>
        <v>1.7875000000000001</v>
      </c>
      <c r="X23" s="1">
        <f>(Q23/Batteries!$B$31-ROUNDDOWN(Q23/Batteries!$B$31,0))*Batteries!$B$31/Batteries!$B$30</f>
        <v>6.3000000000000007</v>
      </c>
    </row>
    <row r="24" spans="1:28" x14ac:dyDescent="0.2">
      <c r="A24" t="s">
        <v>114</v>
      </c>
      <c r="F24" t="s">
        <v>140</v>
      </c>
      <c r="J24" s="10">
        <v>60</v>
      </c>
      <c r="K24" s="10"/>
      <c r="L24">
        <v>0</v>
      </c>
      <c r="M24">
        <v>0</v>
      </c>
      <c r="N24" s="10">
        <f>Batteries!$B$39*J24</f>
        <v>150</v>
      </c>
      <c r="O24" s="10">
        <f>(((Batteries!$B$39*60)-Batteries!$B$45)*J24)/60</f>
        <v>96</v>
      </c>
      <c r="P24">
        <f>Batteries!B40*Unmanned!J24</f>
        <v>180</v>
      </c>
      <c r="Q24" s="10">
        <f>SUM(L24,M24,N24,P24)*1.01</f>
        <v>333.3</v>
      </c>
      <c r="R24" s="10"/>
      <c r="S24" s="10">
        <f t="shared" ref="S24:S29" si="0">R24-Q24</f>
        <v>-333.3</v>
      </c>
      <c r="T24" s="36">
        <f>Q24/Batteries!$B$33</f>
        <v>0.10415625000000001</v>
      </c>
      <c r="U24" s="9"/>
      <c r="V24" s="9"/>
      <c r="W24" s="9"/>
      <c r="X24" s="1"/>
    </row>
    <row r="25" spans="1:28" x14ac:dyDescent="0.2">
      <c r="A25" t="s">
        <v>60</v>
      </c>
      <c r="C25">
        <v>0</v>
      </c>
      <c r="D25">
        <f>C25</f>
        <v>0</v>
      </c>
      <c r="E25" s="1">
        <f>D25</f>
        <v>0</v>
      </c>
      <c r="F25" t="s">
        <v>139</v>
      </c>
      <c r="G25" t="e">
        <f>ROUNDUP(Minmus!C29*1.01,0)</f>
        <v>#DIV/0!</v>
      </c>
      <c r="H25" s="1" t="e">
        <f>D25-G25</f>
        <v>#DIV/0!</v>
      </c>
      <c r="J25" s="10" t="e">
        <f>Minmus!C59*1.01</f>
        <v>#DIV/0!</v>
      </c>
      <c r="K25" s="10"/>
      <c r="N25" s="10" t="e">
        <f>Batteries!$B$39*J25</f>
        <v>#DIV/0!</v>
      </c>
      <c r="O25" s="10" t="e">
        <f>(((Batteries!$B$39*60)-Batteries!$B$45)*J25)/60</f>
        <v>#DIV/0!</v>
      </c>
      <c r="Q25" s="10" t="e">
        <f>SUM(L25,M25,O25,P25)*1.01</f>
        <v>#DIV/0!</v>
      </c>
      <c r="R25" s="10">
        <f>3200*2</f>
        <v>6400</v>
      </c>
      <c r="S25" s="10" t="e">
        <f t="shared" si="0"/>
        <v>#DIV/0!</v>
      </c>
      <c r="T25" s="36" t="e">
        <f>Q25/Batteries!$B$33</f>
        <v>#DIV/0!</v>
      </c>
      <c r="U25" s="9" t="e">
        <f>N25/Batteries!$B$34</f>
        <v>#DIV/0!</v>
      </c>
      <c r="V25" s="9" t="e">
        <f>Q25/Batteries!$B$32</f>
        <v>#DIV/0!</v>
      </c>
      <c r="W25" s="9" t="e">
        <f>(Q25/Batteries!$B$32-ROUNDDOWN(Q25/Batteries!$B$32,0))*Batteries!$B$32/Batteries!$B$31</f>
        <v>#DIV/0!</v>
      </c>
      <c r="X25" s="1" t="e">
        <f>(Q25/Batteries!$B$31-ROUNDDOWN(Q25/Batteries!$B$31,0))*Batteries!$B$31/Batteries!$B$30</f>
        <v>#DIV/0!</v>
      </c>
    </row>
    <row r="26" spans="1:28" x14ac:dyDescent="0.2">
      <c r="A26" t="s">
        <v>61</v>
      </c>
      <c r="C26">
        <v>1966</v>
      </c>
      <c r="D26">
        <f>C26</f>
        <v>1966</v>
      </c>
      <c r="E26" s="1">
        <f>E27+D26</f>
        <v>5804.8311306901614</v>
      </c>
      <c r="N26" s="10"/>
      <c r="O26" s="10"/>
      <c r="Q26" s="10">
        <f>SUM(L26,M26,O26,P26)*1.01</f>
        <v>0</v>
      </c>
      <c r="R26" s="10"/>
      <c r="S26" s="10"/>
      <c r="T26" s="36">
        <f>Q26/Batteries!$B$33</f>
        <v>0</v>
      </c>
      <c r="U26" s="9"/>
      <c r="V26" s="9">
        <f>Q26/Batteries!$B$32</f>
        <v>0</v>
      </c>
      <c r="W26" s="9">
        <f>(Q26/Batteries!$B$32-ROUNDDOWN(Q26/Batteries!$B$32,0))*Batteries!$B$32/Batteries!$B$31</f>
        <v>0</v>
      </c>
      <c r="X26" s="1">
        <f>(Q26/Batteries!$B$31-ROUNDDOWN(Q26/Batteries!$B$31,0))*Batteries!$B$31/Batteries!$B$30</f>
        <v>0</v>
      </c>
    </row>
    <row r="27" spans="1:28" x14ac:dyDescent="0.2">
      <c r="A27" t="s">
        <v>130</v>
      </c>
      <c r="C27">
        <v>2446</v>
      </c>
      <c r="D27">
        <f>C27</f>
        <v>2446</v>
      </c>
      <c r="E27" s="1">
        <f>E28+D27</f>
        <v>3838.8311306901614</v>
      </c>
      <c r="N27" s="10"/>
      <c r="O27" s="10"/>
      <c r="Q27" s="10"/>
      <c r="R27" s="10"/>
      <c r="S27" s="10"/>
      <c r="T27" s="36"/>
      <c r="U27" s="9"/>
      <c r="V27" s="9"/>
      <c r="W27" s="9"/>
      <c r="X27" s="1"/>
    </row>
    <row r="28" spans="1:28" x14ac:dyDescent="0.2">
      <c r="A28" t="s">
        <v>62</v>
      </c>
      <c r="B28">
        <v>1362</v>
      </c>
      <c r="C28">
        <v>1478</v>
      </c>
      <c r="D28" s="1">
        <f>(((B28-1000)/B28)*C28)+1000</f>
        <v>1392.8311306901614</v>
      </c>
      <c r="E28" s="1">
        <f>D28</f>
        <v>1392.8311306901614</v>
      </c>
      <c r="F28" t="s">
        <v>138</v>
      </c>
      <c r="G28" t="e">
        <f>ROUNDUP(#REF!*1.01,0)</f>
        <v>#REF!</v>
      </c>
      <c r="H28" s="1" t="e">
        <f>(D26+D27+D28)-G28</f>
        <v>#REF!</v>
      </c>
      <c r="I28" s="1"/>
      <c r="J28" s="10" t="e">
        <f>Kerbin!#REF!*1.01</f>
        <v>#REF!</v>
      </c>
      <c r="K28" s="10"/>
      <c r="N28" s="10"/>
      <c r="O28" s="10"/>
      <c r="Q28" s="10">
        <f>SUM(L28,M28,O28,P28)*1.01</f>
        <v>0</v>
      </c>
      <c r="R28" s="10"/>
      <c r="S28" s="10"/>
      <c r="T28" s="36">
        <f>Q28/Batteries!$B$33</f>
        <v>0</v>
      </c>
      <c r="U28" s="9">
        <f>N28/Batteries!$B$34</f>
        <v>0</v>
      </c>
      <c r="V28" s="9">
        <f>Q28/Batteries!$B$32</f>
        <v>0</v>
      </c>
      <c r="W28" s="9">
        <f>(Q28/Batteries!$B$32-ROUNDDOWN(Q28/Batteries!$B$32,0))*Batteries!$B$32/Batteries!$B$31</f>
        <v>0</v>
      </c>
      <c r="X28" s="1">
        <f>(Q28/Batteries!$B$31-ROUNDDOWN(Q28/Batteries!$B$31,0))*Batteries!$B$31/Batteries!$B$30</f>
        <v>0</v>
      </c>
    </row>
    <row r="29" spans="1:28" x14ac:dyDescent="0.2">
      <c r="A29" t="s">
        <v>79</v>
      </c>
      <c r="D29" s="1"/>
      <c r="E29" s="1"/>
      <c r="G29" t="e">
        <f>SUM(G23:G28)</f>
        <v>#DIV/0!</v>
      </c>
      <c r="H29" s="1" t="e">
        <f>SUM(H23:H28)</f>
        <v>#DIV/0!</v>
      </c>
      <c r="I29" s="1"/>
      <c r="J29" s="10" t="e">
        <f>SUM(J23:J28)</f>
        <v>#DIV/0!</v>
      </c>
      <c r="K29" s="10"/>
      <c r="L29" s="4">
        <f>SUM(L23:L28)</f>
        <v>0</v>
      </c>
      <c r="M29">
        <f>60*Batteries!$B$41</f>
        <v>1002</v>
      </c>
      <c r="N29" s="10" t="e">
        <f>Batteries!$B$39*J29</f>
        <v>#DIV/0!</v>
      </c>
      <c r="O29" s="10" t="e">
        <f>(((Batteries!$B$39*60)-Batteries!$B$45)*J29)/60</f>
        <v>#DIV/0!</v>
      </c>
      <c r="Q29" s="10" t="e">
        <f>SUM(L29,M29,O29,P29)*1.01</f>
        <v>#DIV/0!</v>
      </c>
      <c r="R29" s="26">
        <f>SUM(R23:R28)</f>
        <v>8000</v>
      </c>
      <c r="S29" s="10" t="e">
        <f t="shared" si="0"/>
        <v>#DIV/0!</v>
      </c>
      <c r="T29" s="36" t="e">
        <f>Q29/Batteries!$B$33</f>
        <v>#DIV/0!</v>
      </c>
      <c r="U29" s="9" t="e">
        <f>N29/Batteries!$B$34</f>
        <v>#DIV/0!</v>
      </c>
      <c r="V29" s="9" t="e">
        <f>Q29/Batteries!$B$32</f>
        <v>#DIV/0!</v>
      </c>
      <c r="W29" s="9" t="e">
        <f>(Q29/Batteries!$B$32-ROUNDDOWN(Q29/Batteries!$B$32,0))*Batteries!$B$32/Batteries!$B$31</f>
        <v>#DIV/0!</v>
      </c>
      <c r="X29" s="1" t="e">
        <f>(Q29/Batteries!$B$31-ROUNDDOWN(Q29/Batteries!$B$31,0))*Batteries!$B$31/Batteries!$B$30</f>
        <v>#DIV/0!</v>
      </c>
    </row>
    <row r="31" spans="1:28" x14ac:dyDescent="0.2">
      <c r="B31" t="s">
        <v>5</v>
      </c>
      <c r="C31" t="s">
        <v>6</v>
      </c>
      <c r="D31" t="s">
        <v>4</v>
      </c>
      <c r="E31" t="s">
        <v>7</v>
      </c>
      <c r="G31" t="s">
        <v>13</v>
      </c>
      <c r="H31" t="s">
        <v>21</v>
      </c>
      <c r="L31" t="s">
        <v>47</v>
      </c>
      <c r="X31" t="s">
        <v>57</v>
      </c>
    </row>
    <row r="32" spans="1:28" x14ac:dyDescent="0.2">
      <c r="A32" t="s">
        <v>46</v>
      </c>
      <c r="J32" t="s">
        <v>66</v>
      </c>
      <c r="L32" t="s">
        <v>53</v>
      </c>
      <c r="M32" t="s">
        <v>105</v>
      </c>
      <c r="N32" t="s">
        <v>119</v>
      </c>
      <c r="O32" t="s">
        <v>120</v>
      </c>
      <c r="P32" t="s">
        <v>78</v>
      </c>
      <c r="Q32" t="s">
        <v>79</v>
      </c>
      <c r="R32" t="s">
        <v>31</v>
      </c>
      <c r="S32" t="s">
        <v>21</v>
      </c>
      <c r="U32" t="s">
        <v>75</v>
      </c>
      <c r="V32" t="s">
        <v>77</v>
      </c>
      <c r="W32" t="s">
        <v>65</v>
      </c>
      <c r="X32" t="s">
        <v>58</v>
      </c>
      <c r="Y32" t="s">
        <v>38</v>
      </c>
    </row>
    <row r="33" spans="1:25" x14ac:dyDescent="0.2">
      <c r="A33" t="s">
        <v>59</v>
      </c>
      <c r="C33">
        <v>0</v>
      </c>
      <c r="D33">
        <f>C33</f>
        <v>0</v>
      </c>
      <c r="E33">
        <f>D33</f>
        <v>0</v>
      </c>
      <c r="G33">
        <f>ROUNDUP(Moho!H$26*1.01,0)</f>
        <v>1414</v>
      </c>
      <c r="H33">
        <f>E33-G33</f>
        <v>-1414</v>
      </c>
      <c r="J33" s="10">
        <v>0</v>
      </c>
      <c r="K33" s="10"/>
      <c r="N33" s="10">
        <f>Batteries!$B$42*J33</f>
        <v>0</v>
      </c>
      <c r="O33" s="10">
        <f>(((Batteries!$B$42*60)-Batteries!$B$45)*J33)/60</f>
        <v>0</v>
      </c>
      <c r="P33" s="10"/>
      <c r="Q33" s="10">
        <f>SUM(L33,M33,O33,P33)*1.01</f>
        <v>0</v>
      </c>
      <c r="R33" s="10">
        <v>9600</v>
      </c>
      <c r="S33" s="10">
        <f>R33-Q33</f>
        <v>9600</v>
      </c>
      <c r="T33" s="10"/>
      <c r="U33" s="36">
        <f>Q33/Batteries!$B$33</f>
        <v>0</v>
      </c>
      <c r="V33" s="9">
        <f>N33/Batteries!$B$34</f>
        <v>0</v>
      </c>
      <c r="W33" s="9">
        <f>Q33/Batteries!$B$32</f>
        <v>0</v>
      </c>
      <c r="X33" s="9">
        <f>(Q33/Batteries!$B$32-ROUNDDOWN(Q33/Batteries!$B$32,0))*Batteries!$B$32/Batteries!$B$31</f>
        <v>0</v>
      </c>
      <c r="Y33" s="1">
        <f>(Q33/Batteries!$B$31-ROUNDDOWN(Q33/Batteries!$B$31,0))*Batteries!$B$31/Batteries!$B$30</f>
        <v>0</v>
      </c>
    </row>
    <row r="34" spans="1:25" x14ac:dyDescent="0.2">
      <c r="A34" t="s">
        <v>114</v>
      </c>
      <c r="J34" s="10">
        <v>60</v>
      </c>
      <c r="K34" s="10"/>
      <c r="L34">
        <v>0</v>
      </c>
      <c r="M34">
        <v>0</v>
      </c>
      <c r="N34" s="10">
        <f>Batteries!$B$42*J34</f>
        <v>120</v>
      </c>
      <c r="O34" s="10">
        <f>(((Batteries!$B$42*60)-Batteries!$B$45)*J34)/60</f>
        <v>66</v>
      </c>
      <c r="P34" s="10"/>
      <c r="Q34" s="10">
        <f>SUM(L34,M34,O34,P34)*1.01</f>
        <v>66.66</v>
      </c>
      <c r="R34" s="10"/>
      <c r="S34" s="10">
        <f>R34-Q34</f>
        <v>-66.66</v>
      </c>
      <c r="T34" s="10"/>
      <c r="U34" s="36">
        <f>Q34/Batteries!$B$33</f>
        <v>2.0831249999999999E-2</v>
      </c>
      <c r="V34" s="9"/>
      <c r="W34" s="9"/>
      <c r="X34" s="9"/>
      <c r="Y34" s="1"/>
    </row>
    <row r="35" spans="1:25" x14ac:dyDescent="0.2">
      <c r="A35" t="s">
        <v>60</v>
      </c>
      <c r="C35">
        <v>1838</v>
      </c>
      <c r="D35">
        <f>C35</f>
        <v>1838</v>
      </c>
      <c r="E35" s="1">
        <f>D35</f>
        <v>1838</v>
      </c>
      <c r="G35">
        <f>ROUNDUP(Moho!F$30*1.01,0)</f>
        <v>3919</v>
      </c>
      <c r="H35" s="1">
        <f>D35-G35</f>
        <v>-2081</v>
      </c>
      <c r="J35" s="10">
        <f>Moho!C61</f>
        <v>43200</v>
      </c>
      <c r="K35" s="10"/>
      <c r="N35" s="10">
        <f>Batteries!$B$42*J35</f>
        <v>86400</v>
      </c>
      <c r="O35" s="10">
        <f>(((Batteries!$B$42*60)-Batteries!$B$45)*J35)/60</f>
        <v>47520</v>
      </c>
      <c r="P35" s="10"/>
      <c r="Q35" s="10">
        <f>SUM(L35,M35,O35,P35)*1.01</f>
        <v>47995.199999999997</v>
      </c>
      <c r="R35" s="10">
        <f>3200*3</f>
        <v>9600</v>
      </c>
      <c r="S35" s="10">
        <f>R35-Q35</f>
        <v>-38395.199999999997</v>
      </c>
      <c r="T35" s="10"/>
      <c r="U35" s="36">
        <f>$Q$35/Batteries!$B$33</f>
        <v>14.9985</v>
      </c>
      <c r="V35" s="9">
        <f>Q35/Batteries!$B$34</f>
        <v>239.976</v>
      </c>
      <c r="W35" s="9">
        <f>Q35/Batteries!$B$32</f>
        <v>59.994</v>
      </c>
      <c r="X35" s="9">
        <f>(Q35/Batteries!$B$32-ROUNDDOWN(Q35/Batteries!$B$32,0))*Batteries!$B$32/Batteries!$B$31</f>
        <v>1.9879999999999995</v>
      </c>
      <c r="Y35" s="1">
        <f>(Q35/Batteries!$B$31-ROUNDDOWN(Q35/Batteries!$B$31,0))*Batteries!$B$31/Batteries!$B$30</f>
        <v>7.9039999999999964</v>
      </c>
    </row>
    <row r="36" spans="1:25" x14ac:dyDescent="0.2">
      <c r="A36" t="s">
        <v>61</v>
      </c>
      <c r="C36">
        <v>1610</v>
      </c>
      <c r="D36">
        <f>C36</f>
        <v>1610</v>
      </c>
      <c r="E36" s="1">
        <f>E35+D36</f>
        <v>3448</v>
      </c>
      <c r="N36" s="10"/>
      <c r="O36" s="10"/>
      <c r="P36" s="10"/>
      <c r="Q36" s="10"/>
      <c r="R36" s="10"/>
      <c r="S36" s="10"/>
      <c r="T36" s="10"/>
      <c r="U36" s="36">
        <f>Q36/Batteries!$B$33</f>
        <v>0</v>
      </c>
      <c r="V36" s="9"/>
      <c r="W36" s="9">
        <f>Q36/Batteries!$B$32</f>
        <v>0</v>
      </c>
      <c r="X36" s="9">
        <f>(Q36/Batteries!$B$32-ROUNDDOWN(Q36/Batteries!$B$32,0))*Batteries!$B$32/Batteries!$B$31</f>
        <v>0</v>
      </c>
      <c r="Y36" s="1">
        <f>(Q36/Batteries!$B$31-ROUNDDOWN(Q36/Batteries!$B$31,0))*Batteries!$B$31/Batteries!$B$30</f>
        <v>0</v>
      </c>
    </row>
    <row r="37" spans="1:25" x14ac:dyDescent="0.2">
      <c r="A37" t="s">
        <v>62</v>
      </c>
      <c r="B37">
        <v>2894</v>
      </c>
      <c r="C37">
        <v>3386</v>
      </c>
      <c r="D37" s="1">
        <f>(((B37-1000)/B37)*C37)+1000</f>
        <v>3215.9930891499653</v>
      </c>
      <c r="E37" s="1">
        <f>D36+D37</f>
        <v>4825.9930891499653</v>
      </c>
      <c r="G37">
        <f>ROUNDUP(Kerbin!H30*1.01,0)</f>
        <v>3841</v>
      </c>
      <c r="H37" s="1">
        <f>(D36+D37)-G37</f>
        <v>984.99308914996527</v>
      </c>
      <c r="I37" s="1"/>
      <c r="J37" s="10" t="e">
        <f>Kerbin!#REF!*1.01</f>
        <v>#REF!</v>
      </c>
      <c r="K37" s="10"/>
      <c r="N37" s="10" t="e">
        <f>Batteries!$B$42*J37</f>
        <v>#REF!</v>
      </c>
      <c r="O37" s="10" t="e">
        <f>(((Batteries!$B$42*60)-Batteries!$B$45)*J37)/60</f>
        <v>#REF!</v>
      </c>
      <c r="P37" s="10"/>
      <c r="Q37" s="10" t="e">
        <f>SUM(L37,M37,O37,P37)*1.01</f>
        <v>#REF!</v>
      </c>
      <c r="R37" s="10"/>
      <c r="S37" s="10" t="e">
        <f>R37-Q37</f>
        <v>#REF!</v>
      </c>
      <c r="T37" s="10"/>
      <c r="U37" s="36" t="e">
        <f>Q37/Batteries!$B$33</f>
        <v>#REF!</v>
      </c>
      <c r="V37" s="9" t="e">
        <f>N37/Batteries!$B$34</f>
        <v>#REF!</v>
      </c>
      <c r="W37" s="9" t="e">
        <f>Q37/Batteries!$B$32</f>
        <v>#REF!</v>
      </c>
      <c r="X37" s="9" t="e">
        <f>(Q37/Batteries!$B$32-ROUNDDOWN(Q37/Batteries!$B$32,0))*Batteries!$B$32/Batteries!$B$31</f>
        <v>#REF!</v>
      </c>
      <c r="Y37" s="1" t="e">
        <f>(Q37/Batteries!$B$31-ROUNDDOWN(Q37/Batteries!$B$31,0))*Batteries!$B$31/Batteries!$B$30</f>
        <v>#REF!</v>
      </c>
    </row>
    <row r="38" spans="1:25" x14ac:dyDescent="0.2">
      <c r="A38" t="s">
        <v>79</v>
      </c>
      <c r="D38" s="1"/>
      <c r="E38" s="1"/>
      <c r="G38">
        <f>SUM(G33:G37)</f>
        <v>9174</v>
      </c>
      <c r="H38" s="1">
        <f>SUM(H33:H37)</f>
        <v>-2510.0069108500347</v>
      </c>
      <c r="I38" s="1"/>
      <c r="J38" s="10" t="e">
        <f>SUM(J33:J37)</f>
        <v>#REF!</v>
      </c>
      <c r="K38" s="10"/>
      <c r="L38" s="4">
        <f>SUM(L33:L37)</f>
        <v>0</v>
      </c>
      <c r="M38">
        <f>60*Batteries!$B$41</f>
        <v>1002</v>
      </c>
      <c r="N38" s="10" t="e">
        <f>Batteries!$B$42*J38</f>
        <v>#REF!</v>
      </c>
      <c r="O38" s="10" t="e">
        <f>(((Batteries!$B$42*60)-Batteries!$B$45)*J38)/60</f>
        <v>#REF!</v>
      </c>
      <c r="P38" s="26"/>
      <c r="Q38" s="10" t="e">
        <f>SUM(L38,M38,O38,P38)*1.01</f>
        <v>#REF!</v>
      </c>
      <c r="R38" s="26">
        <f>SUM(R33:R37)</f>
        <v>19200</v>
      </c>
      <c r="S38" s="10" t="e">
        <f>R38-Q38</f>
        <v>#REF!</v>
      </c>
      <c r="T38" s="10"/>
      <c r="U38" s="36" t="e">
        <f>Q38/Batteries!$B$33</f>
        <v>#REF!</v>
      </c>
      <c r="V38" s="9" t="e">
        <f>N38/Batteries!$B$34</f>
        <v>#REF!</v>
      </c>
      <c r="W38" s="9" t="e">
        <f>Q38/Batteries!$B$32</f>
        <v>#REF!</v>
      </c>
      <c r="X38" s="9" t="e">
        <f>(Q38/Batteries!$B$32-ROUNDDOWN(Q38/Batteries!$B$32,0))*Batteries!$B$32/Batteries!$B$31</f>
        <v>#REF!</v>
      </c>
      <c r="Y38" s="1" t="e">
        <f>(Q38/Batteries!$B$31-ROUNDDOWN(Q38/Batteries!$B$31,0))*Batteries!$B$31/Batteries!$B$30</f>
        <v>#REF!</v>
      </c>
    </row>
  </sheetData>
  <mergeCells count="1">
    <mergeCell ref="T21:X21"/>
  </mergeCells>
  <conditionalFormatting sqref="H13:I17 H4:I6">
    <cfRule type="cellIs" dxfId="21" priority="24" operator="lessThan">
      <formula>0</formula>
    </cfRule>
  </conditionalFormatting>
  <conditionalFormatting sqref="H18:I18">
    <cfRule type="cellIs" dxfId="20" priority="23" operator="lessThan">
      <formula>0</formula>
    </cfRule>
  </conditionalFormatting>
  <conditionalFormatting sqref="H13:H18 H4:H7">
    <cfRule type="cellIs" dxfId="19" priority="22" operator="greaterThan">
      <formula>0</formula>
    </cfRule>
  </conditionalFormatting>
  <conditionalFormatting sqref="U17:W18 U13:W15 U4:W4">
    <cfRule type="cellIs" dxfId="18" priority="19" operator="lessThan">
      <formula>0</formula>
    </cfRule>
    <cfRule type="cellIs" dxfId="17" priority="20" operator="equal">
      <formula>0</formula>
    </cfRule>
    <cfRule type="cellIs" dxfId="16" priority="21" operator="greaterThan">
      <formula>0</formula>
    </cfRule>
  </conditionalFormatting>
  <conditionalFormatting sqref="H33:I37">
    <cfRule type="cellIs" dxfId="15" priority="18" operator="lessThan">
      <formula>0</formula>
    </cfRule>
  </conditionalFormatting>
  <conditionalFormatting sqref="H38:I38">
    <cfRule type="cellIs" dxfId="14" priority="17" operator="lessThan">
      <formula>0</formula>
    </cfRule>
  </conditionalFormatting>
  <conditionalFormatting sqref="H33:H38">
    <cfRule type="cellIs" dxfId="13" priority="16" operator="greaterThan">
      <formula>0</formula>
    </cfRule>
  </conditionalFormatting>
  <conditionalFormatting sqref="S33:T35 S37:T38">
    <cfRule type="cellIs" dxfId="12" priority="13" operator="lessThan">
      <formula>0</formula>
    </cfRule>
    <cfRule type="cellIs" dxfId="11" priority="14" operator="equal">
      <formula>0</formula>
    </cfRule>
    <cfRule type="cellIs" dxfId="10" priority="15" operator="greaterThan">
      <formula>0</formula>
    </cfRule>
  </conditionalFormatting>
  <conditionalFormatting sqref="H23:I28">
    <cfRule type="cellIs" dxfId="9" priority="12" operator="lessThan">
      <formula>0</formula>
    </cfRule>
  </conditionalFormatting>
  <conditionalFormatting sqref="H29:I29">
    <cfRule type="cellIs" dxfId="8" priority="11" operator="lessThan">
      <formula>0</formula>
    </cfRule>
  </conditionalFormatting>
  <conditionalFormatting sqref="H23:H29">
    <cfRule type="cellIs" dxfId="7" priority="10" operator="greaterThan">
      <formula>0</formula>
    </cfRule>
  </conditionalFormatting>
  <conditionalFormatting sqref="S23:S25 S29">
    <cfRule type="cellIs" dxfId="6" priority="7" operator="lessThan">
      <formula>0</formula>
    </cfRule>
    <cfRule type="cellIs" dxfId="5" priority="8" operator="equal">
      <formula>0</formula>
    </cfRule>
    <cfRule type="cellIs" dxfId="4" priority="9" operator="greaterThan">
      <formula>0</formula>
    </cfRule>
  </conditionalFormatting>
  <conditionalFormatting sqref="H7:I7">
    <cfRule type="cellIs" dxfId="3" priority="5" operator="lessThan">
      <formula>0</formula>
    </cfRule>
  </conditionalFormatting>
  <conditionalFormatting sqref="U6:W7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62"/>
  <sheetViews>
    <sheetView tabSelected="1" workbookViewId="0">
      <selection activeCell="F19" sqref="F19"/>
    </sheetView>
  </sheetViews>
  <sheetFormatPr defaultRowHeight="15" x14ac:dyDescent="0.2"/>
  <cols>
    <col min="1" max="1" width="9.68359375" bestFit="1" customWidth="1"/>
    <col min="2" max="2" width="17.21875" customWidth="1"/>
    <col min="3" max="7" width="13.44921875" customWidth="1"/>
    <col min="8" max="8" width="13.98828125" customWidth="1"/>
    <col min="9" max="9" width="13.85546875" bestFit="1" customWidth="1"/>
    <col min="10" max="10" width="11.1640625" customWidth="1"/>
    <col min="11" max="11" width="11.02734375" customWidth="1"/>
    <col min="12" max="12" width="20.04296875" customWidth="1"/>
    <col min="13" max="13" width="12.23828125" bestFit="1" customWidth="1"/>
    <col min="14" max="14" width="11.43359375" bestFit="1" customWidth="1"/>
    <col min="15" max="15" width="12.10546875" customWidth="1"/>
    <col min="16" max="16" width="12.64453125" bestFit="1" customWidth="1"/>
    <col min="17" max="17" width="16.8125" customWidth="1"/>
    <col min="18" max="18" width="18.5625" bestFit="1" customWidth="1"/>
    <col min="19" max="19" width="18.5625" customWidth="1"/>
    <col min="25" max="25" width="13.85546875" bestFit="1" customWidth="1"/>
    <col min="26" max="26" width="11.1640625" customWidth="1"/>
    <col min="27" max="27" width="11.02734375" customWidth="1"/>
    <col min="28" max="28" width="20.04296875" customWidth="1"/>
    <col min="29" max="29" width="12.23828125" bestFit="1" customWidth="1"/>
    <col min="30" max="30" width="11.43359375" bestFit="1" customWidth="1"/>
  </cols>
  <sheetData>
    <row r="1" spans="1:30" x14ac:dyDescent="0.2">
      <c r="B1" t="s">
        <v>249</v>
      </c>
      <c r="T1" t="s">
        <v>149</v>
      </c>
    </row>
    <row r="2" spans="1:30" x14ac:dyDescent="0.2">
      <c r="B2" s="2" t="s">
        <v>250</v>
      </c>
      <c r="C2" s="18" t="s">
        <v>251</v>
      </c>
      <c r="D2" s="18" t="s">
        <v>254</v>
      </c>
      <c r="E2" t="s">
        <v>153</v>
      </c>
      <c r="F2" t="s">
        <v>154</v>
      </c>
      <c r="G2" t="s">
        <v>155</v>
      </c>
      <c r="H2" s="2" t="s">
        <v>252</v>
      </c>
      <c r="I2" s="18" t="s">
        <v>253</v>
      </c>
      <c r="J2" s="18" t="s">
        <v>255</v>
      </c>
      <c r="L2" t="s">
        <v>154</v>
      </c>
      <c r="M2" t="s">
        <v>155</v>
      </c>
      <c r="N2" s="2"/>
      <c r="O2" s="18"/>
      <c r="P2" s="4"/>
      <c r="Q2" s="18"/>
      <c r="R2" s="4"/>
      <c r="S2" s="4"/>
      <c r="T2">
        <v>1.5</v>
      </c>
      <c r="U2" t="s">
        <v>150</v>
      </c>
      <c r="V2">
        <v>3643.5</v>
      </c>
      <c r="Y2" s="18"/>
      <c r="Z2" s="18" t="s">
        <v>138</v>
      </c>
      <c r="AA2" t="s">
        <v>153</v>
      </c>
      <c r="AB2" t="s">
        <v>154</v>
      </c>
      <c r="AC2" t="s">
        <v>155</v>
      </c>
      <c r="AD2" s="2"/>
    </row>
    <row r="3" spans="1:30" x14ac:dyDescent="0.2">
      <c r="A3" t="s">
        <v>249</v>
      </c>
      <c r="B3" s="10">
        <v>0.8</v>
      </c>
      <c r="C3" s="26">
        <v>1.2</v>
      </c>
      <c r="D3" s="26"/>
      <c r="E3" s="9">
        <v>271.3</v>
      </c>
      <c r="F3" s="9">
        <v>696.1</v>
      </c>
      <c r="G3" s="9">
        <v>349.3</v>
      </c>
      <c r="H3" s="9">
        <v>3711.2</v>
      </c>
      <c r="I3" s="9">
        <v>3726.7</v>
      </c>
      <c r="J3" s="11"/>
      <c r="K3" s="11"/>
      <c r="L3" s="11">
        <v>749.3</v>
      </c>
      <c r="M3" s="11">
        <v>374.2</v>
      </c>
      <c r="N3" s="1">
        <v>3324.6</v>
      </c>
      <c r="O3" s="4"/>
      <c r="P3" s="4"/>
      <c r="Q3" s="4"/>
      <c r="R3" s="4"/>
      <c r="S3" s="4"/>
      <c r="T3">
        <v>1.35</v>
      </c>
      <c r="U3">
        <v>150</v>
      </c>
      <c r="V3">
        <v>3385.1</v>
      </c>
      <c r="Y3" s="1" t="s">
        <v>161</v>
      </c>
      <c r="Z3" s="11" t="s">
        <v>162</v>
      </c>
      <c r="AA3" s="11">
        <v>138.80000000000001</v>
      </c>
      <c r="AB3" s="11">
        <v>749.3</v>
      </c>
      <c r="AC3" s="11">
        <v>374.2</v>
      </c>
      <c r="AD3" s="1">
        <v>3324.6</v>
      </c>
    </row>
    <row r="4" spans="1:30" x14ac:dyDescent="0.2">
      <c r="A4" t="s">
        <v>249</v>
      </c>
      <c r="B4" s="10">
        <v>0.7</v>
      </c>
      <c r="C4" s="26">
        <v>0.75</v>
      </c>
      <c r="D4" s="26">
        <v>0.2</v>
      </c>
      <c r="E4" s="11">
        <v>240.8</v>
      </c>
      <c r="F4" s="11">
        <v>845.3</v>
      </c>
      <c r="G4" s="11">
        <v>363.9</v>
      </c>
      <c r="H4" s="9">
        <v>3830.8</v>
      </c>
      <c r="I4" s="11"/>
      <c r="K4" s="11"/>
      <c r="L4" s="11"/>
      <c r="M4" s="11"/>
      <c r="N4" s="1"/>
      <c r="O4" s="4"/>
      <c r="P4" s="4"/>
      <c r="Q4" s="4"/>
      <c r="R4" s="4"/>
      <c r="S4" s="4"/>
      <c r="T4">
        <v>1.35</v>
      </c>
      <c r="U4">
        <v>150</v>
      </c>
      <c r="V4">
        <v>3384.2</v>
      </c>
      <c r="Y4" s="11" t="s">
        <v>163</v>
      </c>
      <c r="AA4" s="11"/>
      <c r="AB4" s="11"/>
      <c r="AC4" s="11"/>
      <c r="AD4" s="1"/>
    </row>
    <row r="5" spans="1:30" x14ac:dyDescent="0.2">
      <c r="B5" s="10">
        <v>0.8</v>
      </c>
      <c r="C5" s="26">
        <v>0.75</v>
      </c>
      <c r="D5" s="26">
        <v>0.2</v>
      </c>
      <c r="E5" s="11">
        <v>263.2</v>
      </c>
      <c r="F5" s="11">
        <v>738.6</v>
      </c>
      <c r="G5" s="11">
        <v>346.2</v>
      </c>
      <c r="H5" s="9">
        <v>3724.8</v>
      </c>
      <c r="I5" s="11"/>
      <c r="J5" s="17"/>
      <c r="K5" s="4"/>
      <c r="L5" s="4"/>
      <c r="M5" s="4"/>
      <c r="O5" s="4"/>
      <c r="P5" s="4"/>
      <c r="Q5" s="4"/>
      <c r="R5" s="4"/>
      <c r="S5" s="4"/>
      <c r="T5" t="s">
        <v>152</v>
      </c>
      <c r="U5" t="s">
        <v>153</v>
      </c>
      <c r="V5" t="s">
        <v>154</v>
      </c>
      <c r="W5" t="s">
        <v>155</v>
      </c>
      <c r="X5" t="s">
        <v>156</v>
      </c>
      <c r="Y5" s="4"/>
      <c r="Z5" s="17"/>
      <c r="AA5" s="4"/>
      <c r="AB5" s="4"/>
      <c r="AC5" s="4"/>
    </row>
    <row r="6" spans="1:30" x14ac:dyDescent="0.2">
      <c r="B6" s="10">
        <v>0.9</v>
      </c>
      <c r="C6" s="26">
        <v>0.75</v>
      </c>
      <c r="D6" s="26">
        <v>0.2</v>
      </c>
      <c r="E6" s="11">
        <v>300.7</v>
      </c>
      <c r="F6" s="11">
        <v>632.70000000000005</v>
      </c>
      <c r="G6" s="11">
        <v>332.1</v>
      </c>
      <c r="H6" s="9">
        <v>3672</v>
      </c>
      <c r="I6" s="29"/>
      <c r="J6" s="4"/>
      <c r="K6" s="4"/>
      <c r="L6" s="4"/>
      <c r="M6" s="4"/>
      <c r="O6" s="4"/>
      <c r="P6" s="4"/>
      <c r="Q6" s="4"/>
      <c r="R6" s="4"/>
      <c r="S6" s="4"/>
      <c r="T6" t="s">
        <v>151</v>
      </c>
      <c r="U6">
        <v>243</v>
      </c>
      <c r="V6">
        <v>1323.1</v>
      </c>
      <c r="W6">
        <v>570</v>
      </c>
      <c r="X6">
        <v>3980.6</v>
      </c>
      <c r="Y6" s="17"/>
      <c r="Z6" s="4"/>
      <c r="AA6" s="4"/>
      <c r="AB6" s="4"/>
      <c r="AC6" s="4"/>
    </row>
    <row r="7" spans="1:30" x14ac:dyDescent="0.2">
      <c r="A7" t="s">
        <v>249</v>
      </c>
      <c r="B7" s="10">
        <v>0.75</v>
      </c>
      <c r="C7" s="26">
        <v>0.9</v>
      </c>
      <c r="D7" s="26">
        <v>0.2</v>
      </c>
      <c r="E7" s="11"/>
      <c r="F7" s="11"/>
      <c r="G7" s="11"/>
      <c r="H7" s="9"/>
      <c r="I7" s="11"/>
      <c r="J7" s="4"/>
      <c r="K7" s="4"/>
      <c r="L7" s="4"/>
      <c r="M7" s="4"/>
      <c r="O7" s="4"/>
      <c r="P7" s="4"/>
      <c r="Q7" s="4"/>
      <c r="R7" s="4"/>
      <c r="S7" s="4"/>
      <c r="T7" t="s">
        <v>157</v>
      </c>
      <c r="U7">
        <v>139.5</v>
      </c>
      <c r="V7">
        <v>133.80000000000001</v>
      </c>
      <c r="W7">
        <v>559.6</v>
      </c>
      <c r="X7">
        <v>3912.2</v>
      </c>
      <c r="Y7" s="4"/>
      <c r="Z7" s="4"/>
      <c r="AA7" s="4"/>
      <c r="AB7" s="4"/>
      <c r="AC7" s="4"/>
    </row>
    <row r="8" spans="1:30" x14ac:dyDescent="0.2">
      <c r="B8" s="10"/>
      <c r="C8" s="26"/>
      <c r="D8" s="26"/>
      <c r="E8" s="11"/>
      <c r="F8" s="11"/>
      <c r="G8" s="11"/>
      <c r="H8" s="9"/>
      <c r="I8" s="11"/>
      <c r="J8" s="4"/>
      <c r="K8" s="4"/>
      <c r="L8" s="4"/>
      <c r="M8" s="4"/>
      <c r="O8" s="4"/>
      <c r="P8" s="4"/>
      <c r="Q8" s="4"/>
      <c r="R8" s="4"/>
      <c r="S8" s="4" t="s">
        <v>158</v>
      </c>
      <c r="T8" t="s">
        <v>159</v>
      </c>
      <c r="U8">
        <v>99.6</v>
      </c>
      <c r="V8">
        <v>1380.3</v>
      </c>
      <c r="W8">
        <v>406.5</v>
      </c>
      <c r="X8">
        <v>3811.8</v>
      </c>
      <c r="Y8" s="4"/>
      <c r="Z8" s="4"/>
      <c r="AA8" s="4"/>
      <c r="AB8" s="4"/>
      <c r="AC8" s="4"/>
    </row>
    <row r="9" spans="1:30" x14ac:dyDescent="0.2">
      <c r="B9" s="10"/>
      <c r="C9" s="26"/>
      <c r="D9" s="26"/>
      <c r="E9" s="11"/>
      <c r="F9" s="11"/>
      <c r="G9" s="11"/>
      <c r="H9" s="9"/>
      <c r="I9" s="11"/>
      <c r="J9" s="4"/>
      <c r="K9" s="4"/>
      <c r="L9" s="4"/>
      <c r="M9" s="4"/>
      <c r="O9" s="4"/>
      <c r="P9" s="4"/>
      <c r="Q9" s="4"/>
      <c r="R9" s="4"/>
      <c r="S9" s="4" t="s">
        <v>160</v>
      </c>
      <c r="X9">
        <v>3772.8</v>
      </c>
      <c r="Y9" s="4"/>
      <c r="Z9" s="4"/>
      <c r="AA9" s="4"/>
      <c r="AB9" s="4"/>
      <c r="AC9" s="4"/>
    </row>
    <row r="10" spans="1:30" x14ac:dyDescent="0.2">
      <c r="B10" s="10"/>
      <c r="C10" s="26"/>
      <c r="D10" s="26"/>
      <c r="E10" s="11"/>
      <c r="F10" s="11"/>
      <c r="G10" s="11"/>
      <c r="H10" s="9"/>
      <c r="I10" s="11"/>
      <c r="J10" s="4"/>
      <c r="K10" s="4"/>
      <c r="L10" s="4"/>
      <c r="M10" s="4"/>
      <c r="O10" s="4"/>
      <c r="P10" s="4"/>
      <c r="Q10" s="4"/>
      <c r="R10" s="4"/>
      <c r="S10" s="4"/>
      <c r="Y10" s="4"/>
      <c r="Z10" s="4"/>
      <c r="AA10" s="4"/>
      <c r="AB10" s="4"/>
      <c r="AC10" s="4"/>
    </row>
    <row r="11" spans="1:30" x14ac:dyDescent="0.2">
      <c r="B11" s="10"/>
      <c r="C11" s="26"/>
      <c r="D11" s="26"/>
      <c r="E11" s="11"/>
      <c r="F11" s="11"/>
      <c r="G11" s="11"/>
      <c r="H11" s="9"/>
      <c r="I11" s="11"/>
      <c r="J11" s="4"/>
      <c r="K11" s="4"/>
      <c r="L11" s="4"/>
      <c r="M11" s="4"/>
      <c r="O11" s="4"/>
      <c r="P11" s="4"/>
      <c r="Q11" s="4"/>
      <c r="R11" s="4"/>
      <c r="S11" s="4"/>
      <c r="Y11" s="4"/>
      <c r="Z11" s="4"/>
      <c r="AA11" s="4"/>
      <c r="AB11" s="4"/>
      <c r="AC11" s="4"/>
    </row>
    <row r="12" spans="1:30" x14ac:dyDescent="0.2">
      <c r="B12" s="10"/>
      <c r="C12" s="26"/>
      <c r="D12" s="26"/>
      <c r="E12" s="11"/>
      <c r="F12" s="11"/>
      <c r="G12" s="11"/>
      <c r="H12" s="9"/>
      <c r="I12" s="11"/>
      <c r="J12" s="4"/>
      <c r="K12" s="4"/>
      <c r="L12" s="4"/>
      <c r="M12" s="4"/>
      <c r="O12" s="4"/>
      <c r="P12" s="4"/>
      <c r="Q12" s="4"/>
      <c r="R12" s="4"/>
      <c r="S12" s="4"/>
      <c r="Y12" s="4"/>
      <c r="Z12" s="4"/>
      <c r="AA12" s="4"/>
      <c r="AB12" s="4"/>
      <c r="AC12" s="4"/>
    </row>
    <row r="13" spans="1:30" x14ac:dyDescent="0.2">
      <c r="B13" s="10"/>
      <c r="C13" s="26"/>
      <c r="D13" s="26"/>
      <c r="E13" s="11"/>
      <c r="F13" s="11"/>
      <c r="G13" s="11"/>
      <c r="H13" s="9"/>
      <c r="I13" s="11"/>
      <c r="J13" s="4"/>
      <c r="K13" s="4"/>
      <c r="L13" s="4"/>
      <c r="M13" s="4"/>
      <c r="O13" s="4"/>
      <c r="P13" s="4"/>
      <c r="Q13" s="4"/>
      <c r="R13" s="4"/>
      <c r="S13" s="4"/>
      <c r="Y13" s="4"/>
      <c r="Z13" s="4"/>
      <c r="AA13" s="4"/>
      <c r="AB13" s="4"/>
      <c r="AC13" s="4"/>
    </row>
    <row r="14" spans="1:30" x14ac:dyDescent="0.2">
      <c r="B14" s="10"/>
      <c r="C14" s="26"/>
      <c r="D14" s="26"/>
      <c r="E14" s="11"/>
      <c r="F14" s="11"/>
      <c r="G14" s="11"/>
      <c r="H14" s="9"/>
      <c r="I14" s="11"/>
      <c r="J14" s="4"/>
      <c r="K14" s="4"/>
      <c r="L14" s="4"/>
      <c r="M14" s="4"/>
      <c r="O14" s="4"/>
      <c r="P14" s="4"/>
      <c r="Q14" s="4"/>
      <c r="R14" s="4"/>
      <c r="S14" s="4"/>
      <c r="Y14" s="4"/>
      <c r="Z14" s="4"/>
      <c r="AA14" s="4"/>
      <c r="AB14" s="4"/>
      <c r="AC14" s="4"/>
    </row>
    <row r="15" spans="1:30" x14ac:dyDescent="0.2">
      <c r="B15" s="10"/>
      <c r="C15" s="26"/>
      <c r="D15" s="26"/>
      <c r="E15" s="11"/>
      <c r="F15" s="11"/>
      <c r="G15" s="11"/>
      <c r="H15" s="9"/>
      <c r="I15" s="11"/>
      <c r="J15" s="4"/>
      <c r="K15" s="4"/>
      <c r="L15" s="4"/>
      <c r="M15" s="4"/>
      <c r="O15" s="4"/>
      <c r="P15" s="4"/>
      <c r="Q15" s="4"/>
      <c r="R15" s="4"/>
      <c r="S15" s="4"/>
      <c r="Y15" s="4"/>
      <c r="Z15" s="4"/>
      <c r="AA15" s="4"/>
      <c r="AB15" s="4"/>
      <c r="AC15" s="4"/>
    </row>
    <row r="16" spans="1:30" x14ac:dyDescent="0.2">
      <c r="B16" s="10"/>
      <c r="C16" s="26"/>
      <c r="D16" s="26"/>
      <c r="E16" s="11"/>
      <c r="F16" s="11"/>
      <c r="G16" s="11"/>
      <c r="H16" s="9"/>
      <c r="I16" s="11"/>
      <c r="J16" s="4"/>
      <c r="K16" s="4"/>
      <c r="L16" s="4"/>
      <c r="M16" s="4"/>
      <c r="O16" s="4"/>
      <c r="P16" s="4"/>
      <c r="Q16" s="4"/>
      <c r="R16" s="4"/>
      <c r="S16" s="4"/>
      <c r="Y16" s="4"/>
      <c r="Z16" s="4"/>
      <c r="AA16" s="4"/>
      <c r="AB16" s="4"/>
      <c r="AC16" s="4"/>
    </row>
    <row r="17" spans="1:30" x14ac:dyDescent="0.2">
      <c r="B17" s="10"/>
      <c r="C17" s="26"/>
      <c r="D17" s="26"/>
      <c r="E17" s="11"/>
      <c r="F17" s="11"/>
      <c r="G17" s="11"/>
      <c r="H17" s="9"/>
      <c r="I17" s="11"/>
      <c r="J17" s="4"/>
      <c r="K17" s="4"/>
      <c r="L17" s="4"/>
      <c r="M17" s="4"/>
      <c r="O17" s="4"/>
      <c r="P17" s="4"/>
      <c r="Q17" s="4"/>
      <c r="R17" s="4"/>
      <c r="S17" s="4"/>
      <c r="Y17" s="4"/>
      <c r="Z17" s="4"/>
      <c r="AA17" s="4"/>
      <c r="AB17" s="4"/>
      <c r="AC17" s="4"/>
    </row>
    <row r="18" spans="1:30" x14ac:dyDescent="0.2">
      <c r="B18" s="10"/>
      <c r="C18" s="26"/>
      <c r="D18" s="26"/>
      <c r="E18" s="11"/>
      <c r="F18" s="11"/>
      <c r="G18" s="11"/>
      <c r="H18" s="9"/>
      <c r="I18" s="11"/>
      <c r="J18" s="4"/>
      <c r="K18" s="4"/>
      <c r="L18" s="4"/>
      <c r="M18" s="4"/>
      <c r="O18" s="4"/>
      <c r="P18" s="4"/>
      <c r="Q18" s="4"/>
      <c r="R18" s="4"/>
      <c r="S18" s="4"/>
      <c r="Y18" s="4"/>
      <c r="Z18" s="4"/>
      <c r="AA18" s="4"/>
      <c r="AB18" s="4"/>
      <c r="AC18" s="4"/>
    </row>
    <row r="19" spans="1:30" x14ac:dyDescent="0.2">
      <c r="B19" s="10"/>
      <c r="C19" s="26"/>
      <c r="D19" s="26"/>
      <c r="E19" s="11"/>
      <c r="F19" s="11"/>
      <c r="G19" s="11"/>
      <c r="H19" s="9"/>
      <c r="I19" s="11"/>
      <c r="J19" s="4"/>
      <c r="K19" s="4"/>
      <c r="L19" s="4"/>
      <c r="M19" s="4"/>
      <c r="O19" s="4"/>
      <c r="P19" s="4"/>
      <c r="Q19" s="4"/>
      <c r="R19" s="4"/>
      <c r="S19" s="4"/>
      <c r="Y19" s="4"/>
      <c r="Z19" s="4"/>
      <c r="AA19" s="4"/>
      <c r="AB19" s="4"/>
      <c r="AC19" s="4"/>
    </row>
    <row r="20" spans="1:30" x14ac:dyDescent="0.2">
      <c r="B20" s="10"/>
      <c r="C20" s="26"/>
      <c r="D20" s="26"/>
      <c r="E20" s="11"/>
      <c r="F20" s="11"/>
      <c r="G20" s="11"/>
      <c r="H20" s="9"/>
      <c r="I20" s="11"/>
      <c r="J20" s="4"/>
      <c r="K20" s="4"/>
      <c r="L20" s="4"/>
      <c r="M20" s="4"/>
      <c r="O20" s="4"/>
      <c r="P20" s="4"/>
      <c r="Q20" s="4"/>
      <c r="R20" s="4"/>
      <c r="S20" s="4"/>
      <c r="Y20" s="4"/>
      <c r="Z20" s="4"/>
      <c r="AA20" s="4"/>
      <c r="AB20" s="4"/>
      <c r="AC20" s="4"/>
    </row>
    <row r="21" spans="1:30" x14ac:dyDescent="0.2">
      <c r="B21" s="10"/>
      <c r="C21" s="26"/>
      <c r="D21" s="26"/>
      <c r="E21" s="11"/>
      <c r="F21" s="11"/>
      <c r="G21" s="11"/>
      <c r="H21" s="9"/>
      <c r="I21" s="11"/>
      <c r="J21" s="4"/>
      <c r="K21" s="4"/>
      <c r="L21" s="4"/>
      <c r="M21" s="4"/>
      <c r="O21" s="4"/>
      <c r="P21" s="4"/>
      <c r="Q21" s="4"/>
      <c r="R21" s="4"/>
      <c r="S21" s="4"/>
      <c r="Y21" s="4"/>
      <c r="Z21" s="4"/>
      <c r="AA21" s="4"/>
      <c r="AB21" s="4"/>
      <c r="AC21" s="4"/>
    </row>
    <row r="22" spans="1:30" x14ac:dyDescent="0.2">
      <c r="B22" s="10"/>
      <c r="C22" s="26"/>
      <c r="D22" s="26"/>
      <c r="E22" s="11"/>
      <c r="F22" s="11"/>
      <c r="G22" s="11"/>
      <c r="H22" s="9"/>
      <c r="I22" s="11"/>
      <c r="J22" s="4"/>
      <c r="K22" s="4"/>
      <c r="L22" s="4"/>
      <c r="M22" s="4"/>
      <c r="O22" s="4"/>
      <c r="P22" s="4"/>
      <c r="Q22" s="4"/>
      <c r="R22" s="4"/>
      <c r="S22" s="4"/>
      <c r="Y22" s="4"/>
      <c r="Z22" s="4"/>
      <c r="AA22" s="4"/>
      <c r="AB22" s="4"/>
      <c r="AC22" s="4"/>
    </row>
    <row r="23" spans="1:30" x14ac:dyDescent="0.2">
      <c r="B23" s="10"/>
      <c r="C23" s="26"/>
      <c r="D23" s="26"/>
      <c r="E23" s="11"/>
      <c r="F23" s="11"/>
      <c r="G23" s="11"/>
      <c r="H23" s="9"/>
      <c r="I23" s="11"/>
      <c r="J23" s="4"/>
      <c r="K23" s="4"/>
      <c r="L23" s="4"/>
      <c r="M23" s="4"/>
      <c r="O23" s="4"/>
      <c r="P23" s="4"/>
      <c r="Q23" s="4"/>
      <c r="R23" s="4"/>
      <c r="S23" s="4"/>
      <c r="Y23" s="4"/>
      <c r="Z23" s="4"/>
      <c r="AA23" s="4"/>
      <c r="AB23" s="4"/>
      <c r="AC23" s="4"/>
    </row>
    <row r="24" spans="1:30" x14ac:dyDescent="0.2">
      <c r="B24" s="10"/>
      <c r="C24" s="26"/>
      <c r="D24" s="26"/>
      <c r="E24" s="11"/>
      <c r="F24" s="11"/>
      <c r="G24" s="11"/>
      <c r="H24" s="9"/>
      <c r="I24" s="11"/>
      <c r="J24" s="4"/>
      <c r="K24" s="4"/>
      <c r="L24" s="4"/>
      <c r="M24" s="4"/>
      <c r="O24" s="4"/>
      <c r="P24" s="4"/>
      <c r="Q24" s="4"/>
      <c r="R24" s="4"/>
      <c r="S24" s="4"/>
      <c r="Y24" s="4"/>
      <c r="Z24" s="4"/>
      <c r="AA24" s="4"/>
      <c r="AB24" s="4"/>
      <c r="AC24" s="4"/>
    </row>
    <row r="25" spans="1:30" x14ac:dyDescent="0.2">
      <c r="B25" s="10"/>
      <c r="C25" s="26"/>
      <c r="D25" s="26"/>
      <c r="E25" s="11"/>
      <c r="F25" s="11"/>
      <c r="G25" s="11"/>
      <c r="H25" s="9"/>
      <c r="I25" s="11"/>
      <c r="J25" s="4"/>
      <c r="K25" s="4"/>
      <c r="L25" s="4"/>
      <c r="M25" s="4"/>
      <c r="O25" s="4"/>
      <c r="P25" s="4"/>
      <c r="Q25" s="4"/>
      <c r="R25" s="4"/>
      <c r="S25" s="4"/>
      <c r="Y25" s="4"/>
      <c r="Z25" s="4"/>
      <c r="AA25" s="4"/>
      <c r="AB25" s="4"/>
      <c r="AC25" s="4"/>
    </row>
    <row r="26" spans="1:30" x14ac:dyDescent="0.2">
      <c r="B26" s="10"/>
      <c r="C26" s="26"/>
      <c r="D26" s="26"/>
      <c r="E26" s="11"/>
      <c r="F26" s="11"/>
      <c r="G26" s="11"/>
      <c r="H26" s="9"/>
      <c r="I26" s="11"/>
      <c r="J26" s="4"/>
      <c r="K26" s="4"/>
      <c r="L26" s="4"/>
      <c r="M26" s="4"/>
      <c r="P26" s="3"/>
      <c r="Q26" s="4"/>
      <c r="R26" s="13"/>
      <c r="S26" s="4"/>
      <c r="Y26" s="4"/>
      <c r="Z26" s="4"/>
      <c r="AA26" s="4"/>
      <c r="AB26" s="4"/>
      <c r="AC26" s="4"/>
    </row>
    <row r="27" spans="1:30" x14ac:dyDescent="0.2">
      <c r="A27" t="s">
        <v>42</v>
      </c>
      <c r="B27" s="9"/>
      <c r="C27" s="11"/>
      <c r="D27" s="11"/>
      <c r="E27" s="9">
        <f t="shared" ref="E27:G27" si="0">MAX(E3:E26)</f>
        <v>300.7</v>
      </c>
      <c r="F27" s="9">
        <f t="shared" si="0"/>
        <v>845.3</v>
      </c>
      <c r="G27" s="9">
        <f t="shared" si="0"/>
        <v>363.9</v>
      </c>
      <c r="H27" s="9">
        <f>MAX(H3:H26)</f>
        <v>3830.8</v>
      </c>
      <c r="I27" s="9">
        <f>MAX(I3:I26)</f>
        <v>3726.7</v>
      </c>
      <c r="J27" s="11"/>
      <c r="K27" s="11"/>
      <c r="L27" s="8">
        <f>ROUNDUP(SUM(C27:K27),0)</f>
        <v>9068</v>
      </c>
      <c r="M27" s="4">
        <f t="shared" ref="M27:R27" si="1">MAX(M3:M26)</f>
        <v>374.2</v>
      </c>
      <c r="N27">
        <f t="shared" si="1"/>
        <v>3324.6</v>
      </c>
      <c r="O27">
        <f t="shared" si="1"/>
        <v>0</v>
      </c>
      <c r="P27" s="3">
        <f t="shared" si="1"/>
        <v>0</v>
      </c>
      <c r="Q27" s="4">
        <f t="shared" si="1"/>
        <v>0</v>
      </c>
      <c r="R27" s="14">
        <f t="shared" si="1"/>
        <v>0</v>
      </c>
      <c r="S27" s="11"/>
      <c r="X27" s="9">
        <f>MAX(X6:X26)</f>
        <v>3980.6</v>
      </c>
      <c r="Y27" s="11"/>
      <c r="Z27" s="11"/>
      <c r="AA27" s="11"/>
      <c r="AB27" s="8">
        <f>ROUNDUP(SUM(T27:AA27),0)</f>
        <v>3981</v>
      </c>
      <c r="AC27" s="4">
        <f t="shared" ref="AC27:AD27" si="2">MAX(AC3:AC26)</f>
        <v>374.2</v>
      </c>
      <c r="AD27">
        <f t="shared" si="2"/>
        <v>3324.6</v>
      </c>
    </row>
    <row r="28" spans="1:30" x14ac:dyDescent="0.2">
      <c r="A28" t="s">
        <v>43</v>
      </c>
      <c r="B28" s="9"/>
      <c r="C28" s="9"/>
      <c r="D28" s="9"/>
      <c r="E28" s="9">
        <f>AVERAGE(E3:E26)</f>
        <v>269</v>
      </c>
      <c r="F28" s="9">
        <f>AVERAGE(F3:F26)</f>
        <v>728.17499999999995</v>
      </c>
      <c r="G28" s="9">
        <f>AVERAGE(G3:G26)</f>
        <v>347.875</v>
      </c>
      <c r="H28" s="9">
        <f>AVERAGE(H3:H26)</f>
        <v>3734.7</v>
      </c>
      <c r="I28" s="9">
        <f>AVERAGE(I3:I26)</f>
        <v>3726.7</v>
      </c>
      <c r="J28" s="11"/>
      <c r="K28" s="1"/>
      <c r="L28" s="1">
        <f t="shared" ref="L28:R28" si="3">AVERAGE(L3:L26)</f>
        <v>749.3</v>
      </c>
      <c r="M28" s="1">
        <f t="shared" si="3"/>
        <v>374.2</v>
      </c>
      <c r="N28" s="1">
        <f t="shared" si="3"/>
        <v>3324.6</v>
      </c>
      <c r="O28" s="1" t="e">
        <f t="shared" si="3"/>
        <v>#DIV/0!</v>
      </c>
      <c r="P28" s="12" t="e">
        <f t="shared" si="3"/>
        <v>#DIV/0!</v>
      </c>
      <c r="Q28" s="4" t="e">
        <f t="shared" si="3"/>
        <v>#DIV/0!</v>
      </c>
      <c r="R28" s="14" t="e">
        <f t="shared" si="3"/>
        <v>#DIV/0!</v>
      </c>
      <c r="S28" s="11"/>
      <c r="X28" s="9">
        <f>AVERAGE(X6:X26)</f>
        <v>3869.3499999999995</v>
      </c>
      <c r="Y28" s="11"/>
      <c r="Z28" s="11"/>
      <c r="AA28" s="1">
        <f t="shared" ref="AA28:AD28" si="4">AVERAGE(AA3:AA26)</f>
        <v>138.80000000000001</v>
      </c>
      <c r="AB28" s="1">
        <f t="shared" si="4"/>
        <v>749.3</v>
      </c>
      <c r="AC28" s="1">
        <f t="shared" si="4"/>
        <v>374.2</v>
      </c>
      <c r="AD28" s="1">
        <f t="shared" si="4"/>
        <v>3324.6</v>
      </c>
    </row>
    <row r="29" spans="1:30" x14ac:dyDescent="0.2">
      <c r="A29" t="s">
        <v>44</v>
      </c>
      <c r="B29" s="9"/>
      <c r="C29" s="9"/>
      <c r="D29" s="9"/>
      <c r="E29" s="9">
        <f>STDEV(E3:E26)</f>
        <v>24.75924069918138</v>
      </c>
      <c r="F29" s="9">
        <f t="shared" ref="F29:G29" si="5">STDEV(F3:F26)</f>
        <v>89.389088633159446</v>
      </c>
      <c r="G29" s="9">
        <f t="shared" si="5"/>
        <v>13.044634912484119</v>
      </c>
      <c r="H29" s="9">
        <f>STDEV(H3:H26)</f>
        <v>67.864472787067896</v>
      </c>
      <c r="I29" s="9" t="e">
        <f>STDEV(I3:I26)</f>
        <v>#DIV/0!</v>
      </c>
      <c r="J29" s="11"/>
      <c r="K29" s="11"/>
      <c r="L29" s="8"/>
      <c r="M29" s="4" t="e">
        <f t="shared" ref="M29:R29" si="6">STDEV(M3:M26)</f>
        <v>#DIV/0!</v>
      </c>
      <c r="N29" t="e">
        <f t="shared" si="6"/>
        <v>#DIV/0!</v>
      </c>
      <c r="O29" t="e">
        <f t="shared" si="6"/>
        <v>#DIV/0!</v>
      </c>
      <c r="P29" s="12" t="e">
        <f t="shared" si="6"/>
        <v>#DIV/0!</v>
      </c>
      <c r="Q29" s="11" t="e">
        <f t="shared" si="6"/>
        <v>#DIV/0!</v>
      </c>
      <c r="R29" s="13" t="e">
        <f t="shared" si="6"/>
        <v>#DIV/0!</v>
      </c>
      <c r="S29" s="4"/>
      <c r="X29" s="9">
        <f>STDEV(X6:X26)</f>
        <v>94.598431981366915</v>
      </c>
      <c r="Y29" s="11"/>
      <c r="Z29" s="11"/>
      <c r="AA29" s="11"/>
      <c r="AB29" s="8"/>
      <c r="AC29" s="4" t="e">
        <f t="shared" ref="AC29:AD29" si="7">STDEV(AC3:AC26)</f>
        <v>#DIV/0!</v>
      </c>
      <c r="AD29" t="e">
        <f t="shared" si="7"/>
        <v>#DIV/0!</v>
      </c>
    </row>
    <row r="30" spans="1:30" x14ac:dyDescent="0.2">
      <c r="A30" t="s">
        <v>45</v>
      </c>
      <c r="B30" s="9"/>
      <c r="C30" s="9"/>
      <c r="D30" s="9"/>
      <c r="E30" s="9">
        <f t="shared" ref="E30:G30" si="8">E28+E29</f>
        <v>293.75924069918136</v>
      </c>
      <c r="F30" s="9">
        <f t="shared" si="8"/>
        <v>817.56408863315937</v>
      </c>
      <c r="G30" s="9">
        <f t="shared" si="8"/>
        <v>360.91963491248413</v>
      </c>
      <c r="H30" s="9">
        <f>H28+H29</f>
        <v>3802.5644727870676</v>
      </c>
      <c r="I30" s="9" t="e">
        <f>I28+I29</f>
        <v>#DIV/0!</v>
      </c>
      <c r="J30" s="8"/>
      <c r="K30" s="11"/>
      <c r="L30" s="4"/>
      <c r="M30" s="11" t="e">
        <f t="shared" ref="M30:R30" si="9">M28+M29</f>
        <v>#DIV/0!</v>
      </c>
      <c r="N30" s="14" t="e">
        <f t="shared" si="9"/>
        <v>#DIV/0!</v>
      </c>
      <c r="O30" s="11" t="e">
        <f t="shared" si="9"/>
        <v>#DIV/0!</v>
      </c>
      <c r="P30" s="12" t="e">
        <f t="shared" si="9"/>
        <v>#DIV/0!</v>
      </c>
      <c r="Q30" s="11" t="e">
        <f t="shared" si="9"/>
        <v>#DIV/0!</v>
      </c>
      <c r="R30" s="14" t="e">
        <f t="shared" si="9"/>
        <v>#DIV/0!</v>
      </c>
      <c r="S30" s="11"/>
      <c r="T30" s="9" t="e">
        <f>SUM(P30:R30)</f>
        <v>#DIV/0!</v>
      </c>
      <c r="X30" s="9">
        <f>X28+X29</f>
        <v>3963.9484319813664</v>
      </c>
      <c r="Y30" s="11"/>
      <c r="Z30" s="8"/>
      <c r="AA30" s="11"/>
      <c r="AB30" s="4"/>
      <c r="AC30" s="11" t="e">
        <f t="shared" ref="AC30:AD30" si="10">AC28+AC29</f>
        <v>#DIV/0!</v>
      </c>
      <c r="AD30" s="14" t="e">
        <f t="shared" si="10"/>
        <v>#DIV/0!</v>
      </c>
    </row>
    <row r="31" spans="1:30" x14ac:dyDescent="0.2">
      <c r="A31" t="s">
        <v>54</v>
      </c>
      <c r="B31" s="9"/>
      <c r="C31" s="9"/>
      <c r="D31" s="9"/>
      <c r="E31" s="9">
        <f t="shared" ref="E31:G31" si="11">E30</f>
        <v>293.75924069918136</v>
      </c>
      <c r="F31" s="9">
        <f t="shared" si="11"/>
        <v>817.56408863315937</v>
      </c>
      <c r="G31" s="9">
        <f t="shared" si="11"/>
        <v>360.91963491248413</v>
      </c>
      <c r="H31" s="9">
        <f>H30</f>
        <v>3802.5644727870676</v>
      </c>
      <c r="I31" s="9" t="e">
        <f>I30</f>
        <v>#DIV/0!</v>
      </c>
      <c r="K31" s="9"/>
      <c r="T31" t="e">
        <f>ROUNDUP(T30*1.02,0)</f>
        <v>#DIV/0!</v>
      </c>
      <c r="X31" s="9">
        <f>X30</f>
        <v>3963.9484319813664</v>
      </c>
      <c r="AA31" s="9"/>
    </row>
    <row r="33" spans="1:30" x14ac:dyDescent="0.2">
      <c r="A33" t="s">
        <v>205</v>
      </c>
      <c r="B33" s="2"/>
      <c r="C33" s="18" t="s">
        <v>138</v>
      </c>
      <c r="D33" s="18"/>
      <c r="E33" t="s">
        <v>153</v>
      </c>
      <c r="F33" t="s">
        <v>154</v>
      </c>
      <c r="G33" t="s">
        <v>155</v>
      </c>
      <c r="H33" s="2"/>
      <c r="I33" s="2"/>
      <c r="J33" s="18" t="s">
        <v>138</v>
      </c>
      <c r="K33" t="s">
        <v>153</v>
      </c>
      <c r="L33" t="s">
        <v>154</v>
      </c>
      <c r="M33" t="s">
        <v>155</v>
      </c>
      <c r="N33" s="2"/>
      <c r="O33" s="56"/>
      <c r="P33" s="56"/>
      <c r="Q33" s="56"/>
      <c r="R33" s="4"/>
      <c r="S33" s="4"/>
    </row>
    <row r="34" spans="1:30" x14ac:dyDescent="0.2">
      <c r="B34" s="1" t="s">
        <v>164</v>
      </c>
      <c r="C34" s="11" t="s">
        <v>151</v>
      </c>
      <c r="D34" s="11"/>
      <c r="E34">
        <v>101.8</v>
      </c>
      <c r="F34">
        <v>1277.5999999999999</v>
      </c>
      <c r="G34">
        <v>413.7</v>
      </c>
      <c r="H34" s="9">
        <v>3648.5</v>
      </c>
      <c r="I34" s="1" t="s">
        <v>209</v>
      </c>
      <c r="J34" s="11" t="s">
        <v>210</v>
      </c>
      <c r="K34">
        <v>161.1</v>
      </c>
      <c r="L34">
        <v>1037.8</v>
      </c>
      <c r="M34">
        <v>420.2</v>
      </c>
      <c r="N34" s="9">
        <v>3593.3</v>
      </c>
      <c r="O34" s="18"/>
      <c r="P34" s="18"/>
      <c r="Q34" s="18"/>
      <c r="R34" s="25"/>
      <c r="S34" s="25"/>
      <c r="Y34" s="18"/>
      <c r="Z34" s="18"/>
      <c r="AA34" s="18"/>
      <c r="AB34" s="4"/>
      <c r="AC34" s="4"/>
      <c r="AD34" s="18"/>
    </row>
    <row r="35" spans="1:30" x14ac:dyDescent="0.2">
      <c r="C35" s="11" t="s">
        <v>151</v>
      </c>
      <c r="D35" s="11"/>
      <c r="E35" s="11">
        <v>125.5</v>
      </c>
      <c r="F35" s="11">
        <v>1289.3</v>
      </c>
      <c r="G35" s="11">
        <v>556.9</v>
      </c>
      <c r="H35" s="9">
        <v>3817.1</v>
      </c>
      <c r="I35" t="s">
        <v>214</v>
      </c>
      <c r="J35" s="11" t="s">
        <v>210</v>
      </c>
      <c r="K35" s="29">
        <v>104</v>
      </c>
      <c r="L35" s="29">
        <v>1142.2</v>
      </c>
      <c r="M35" s="29">
        <v>372.4</v>
      </c>
      <c r="N35" s="9">
        <v>3593.8</v>
      </c>
      <c r="O35" s="4"/>
      <c r="P35" s="4"/>
      <c r="Q35" s="4"/>
      <c r="R35" s="4"/>
      <c r="S35" s="4"/>
      <c r="Y35" s="20"/>
      <c r="Z35" s="20"/>
      <c r="AA35" s="20"/>
      <c r="AB35" s="4"/>
      <c r="AC35" s="4"/>
      <c r="AD35" s="4"/>
    </row>
    <row r="36" spans="1:30" x14ac:dyDescent="0.2">
      <c r="B36" s="1" t="s">
        <v>203</v>
      </c>
      <c r="C36" s="11" t="s">
        <v>151</v>
      </c>
      <c r="D36" s="11"/>
      <c r="E36" s="11"/>
      <c r="F36" s="11"/>
      <c r="G36" s="11"/>
      <c r="H36" s="9">
        <f>3419.8+291.58</f>
        <v>3711.38</v>
      </c>
      <c r="I36" s="1" t="s">
        <v>248</v>
      </c>
      <c r="J36" s="11" t="s">
        <v>210</v>
      </c>
      <c r="K36" s="11"/>
      <c r="L36" s="11"/>
      <c r="M36" s="11"/>
      <c r="N36" s="9">
        <v>3589.7</v>
      </c>
      <c r="O36" s="4"/>
      <c r="P36" s="4"/>
      <c r="Q36" s="4"/>
      <c r="R36" s="4"/>
      <c r="S36" s="4"/>
      <c r="Y36" s="20"/>
      <c r="Z36" s="22"/>
      <c r="AA36" s="20"/>
      <c r="AB36" s="4"/>
      <c r="AC36" s="4"/>
      <c r="AD36" s="4"/>
    </row>
    <row r="37" spans="1:30" x14ac:dyDescent="0.2">
      <c r="A37">
        <v>0.95</v>
      </c>
      <c r="B37" s="1" t="s">
        <v>203</v>
      </c>
      <c r="C37" s="11" t="s">
        <v>204</v>
      </c>
      <c r="D37" s="11"/>
      <c r="E37" s="11">
        <v>121.3</v>
      </c>
      <c r="F37" s="11">
        <v>1282.9000000000001</v>
      </c>
      <c r="G37" s="11">
        <v>469.3</v>
      </c>
      <c r="H37" s="9">
        <v>3716.7</v>
      </c>
      <c r="I37" s="1"/>
      <c r="J37" s="11"/>
      <c r="K37" s="11"/>
      <c r="L37" s="11"/>
      <c r="M37" s="11"/>
      <c r="N37" s="9"/>
      <c r="O37" s="4"/>
      <c r="P37" s="4"/>
      <c r="Q37" s="4"/>
      <c r="R37" s="4"/>
      <c r="S37" s="4"/>
      <c r="Y37" s="20"/>
      <c r="Z37" s="20"/>
      <c r="AA37" s="20"/>
      <c r="AB37" s="4"/>
      <c r="AC37" s="4"/>
      <c r="AD37" s="4"/>
    </row>
    <row r="38" spans="1:30" x14ac:dyDescent="0.2">
      <c r="A38" s="10">
        <v>1</v>
      </c>
      <c r="B38" s="1" t="s">
        <v>203</v>
      </c>
      <c r="C38" s="11" t="s">
        <v>151</v>
      </c>
      <c r="D38" s="11"/>
      <c r="E38" s="11">
        <v>142.80000000000001</v>
      </c>
      <c r="F38" s="11">
        <v>1256.4000000000001</v>
      </c>
      <c r="G38" s="11">
        <v>460.4</v>
      </c>
      <c r="H38" s="9">
        <v>3705</v>
      </c>
      <c r="I38" s="1"/>
      <c r="J38" s="11"/>
      <c r="K38" s="11"/>
      <c r="L38" s="11"/>
      <c r="M38" s="11"/>
      <c r="N38" s="9"/>
      <c r="O38" s="4"/>
      <c r="P38" s="4"/>
      <c r="Q38" s="4"/>
      <c r="R38" s="4"/>
      <c r="S38" s="4"/>
      <c r="Y38" s="20"/>
      <c r="Z38" s="20"/>
      <c r="AA38" s="20"/>
      <c r="AB38" s="4"/>
      <c r="AC38" s="4"/>
      <c r="AD38" s="4"/>
    </row>
    <row r="39" spans="1:30" x14ac:dyDescent="0.2">
      <c r="A39">
        <v>1</v>
      </c>
      <c r="B39" s="1" t="s">
        <v>208</v>
      </c>
      <c r="C39" s="11" t="s">
        <v>151</v>
      </c>
      <c r="D39" s="11"/>
      <c r="E39" s="11">
        <v>104.8</v>
      </c>
      <c r="F39" s="11">
        <v>1279.4000000000001</v>
      </c>
      <c r="G39" s="11">
        <v>543.9</v>
      </c>
      <c r="H39" s="9">
        <v>3772.1</v>
      </c>
      <c r="I39" s="1"/>
      <c r="J39" s="11"/>
      <c r="K39" s="11"/>
      <c r="L39" s="11"/>
      <c r="M39" s="11"/>
      <c r="N39" s="9"/>
      <c r="O39" s="4"/>
      <c r="P39" s="4"/>
      <c r="Q39" s="31"/>
      <c r="R39" s="4"/>
      <c r="S39" s="4"/>
      <c r="Y39" s="20"/>
      <c r="Z39" s="20"/>
      <c r="AA39" s="20"/>
      <c r="AB39" s="4"/>
      <c r="AC39" s="4"/>
      <c r="AD39" s="4"/>
    </row>
    <row r="40" spans="1:30" x14ac:dyDescent="0.2">
      <c r="B40" s="1"/>
      <c r="C40" s="11"/>
      <c r="D40" s="11"/>
      <c r="E40" s="11">
        <v>343.4</v>
      </c>
      <c r="F40" s="11">
        <v>1254.2</v>
      </c>
      <c r="G40" s="11">
        <v>358.7</v>
      </c>
      <c r="H40" s="9">
        <v>3797.1</v>
      </c>
      <c r="I40" s="1"/>
      <c r="J40" s="11"/>
      <c r="K40" s="11"/>
      <c r="L40" s="11"/>
      <c r="M40" s="11"/>
      <c r="N40" s="9"/>
      <c r="O40" s="4"/>
      <c r="P40" s="4"/>
      <c r="Q40" s="4"/>
      <c r="R40" s="4"/>
      <c r="S40" s="4"/>
      <c r="Y40" s="20"/>
      <c r="Z40" s="20"/>
      <c r="AA40" s="20"/>
      <c r="AB40" s="4"/>
      <c r="AC40" s="4"/>
      <c r="AD40" s="4"/>
    </row>
    <row r="41" spans="1:30" x14ac:dyDescent="0.2">
      <c r="B41" s="1" t="s">
        <v>247</v>
      </c>
      <c r="C41" s="11" t="s">
        <v>162</v>
      </c>
      <c r="D41" s="11"/>
      <c r="E41" s="11">
        <v>377</v>
      </c>
      <c r="F41" s="11">
        <v>408.1</v>
      </c>
      <c r="G41" s="11">
        <v>408.2</v>
      </c>
      <c r="H41" s="9">
        <v>3778</v>
      </c>
      <c r="I41" s="1"/>
      <c r="J41" s="11"/>
      <c r="K41" s="11"/>
      <c r="L41" s="11"/>
      <c r="M41" s="11"/>
      <c r="N41" s="9"/>
      <c r="O41" s="4"/>
      <c r="P41" s="4"/>
      <c r="Q41" s="4"/>
      <c r="R41" s="4"/>
      <c r="S41" s="4"/>
      <c r="Y41" s="20"/>
      <c r="Z41" s="20"/>
      <c r="AA41" s="20"/>
      <c r="AB41" s="4"/>
      <c r="AC41" s="4"/>
      <c r="AD41" s="4"/>
    </row>
    <row r="42" spans="1:30" x14ac:dyDescent="0.2">
      <c r="B42" s="1"/>
      <c r="C42" s="11"/>
      <c r="D42" s="11"/>
      <c r="E42" s="11"/>
      <c r="F42" s="11"/>
      <c r="G42" s="11"/>
      <c r="H42" s="9"/>
      <c r="I42" s="1"/>
      <c r="J42" s="11"/>
      <c r="K42" s="11"/>
      <c r="L42" s="11"/>
      <c r="M42" s="11"/>
      <c r="N42" s="9"/>
      <c r="O42" s="4"/>
      <c r="P42" s="4"/>
      <c r="Q42" s="4"/>
      <c r="R42" s="4"/>
      <c r="S42" s="4"/>
      <c r="Y42" s="20"/>
      <c r="Z42" s="20"/>
      <c r="AA42" s="20"/>
      <c r="AB42" s="4"/>
      <c r="AC42" s="4"/>
      <c r="AD42" s="4"/>
    </row>
    <row r="43" spans="1:30" x14ac:dyDescent="0.2">
      <c r="B43" s="1"/>
      <c r="C43" s="11"/>
      <c r="D43" s="11"/>
      <c r="E43" s="11"/>
      <c r="F43" s="11"/>
      <c r="G43" s="11"/>
      <c r="H43" s="9"/>
      <c r="I43" s="1"/>
      <c r="J43" s="11"/>
      <c r="K43" s="11"/>
      <c r="L43" s="11"/>
      <c r="M43" s="11"/>
      <c r="N43" s="9"/>
      <c r="O43" s="4"/>
      <c r="P43" s="4"/>
      <c r="Q43" s="4"/>
      <c r="R43" s="4"/>
      <c r="S43" s="4"/>
      <c r="Y43" s="20"/>
      <c r="Z43" s="20"/>
      <c r="AA43" s="20"/>
      <c r="AB43" s="4"/>
      <c r="AC43" s="4"/>
      <c r="AD43" s="4"/>
    </row>
    <row r="44" spans="1:30" x14ac:dyDescent="0.2">
      <c r="B44" s="1"/>
      <c r="C44" s="11"/>
      <c r="D44" s="11"/>
      <c r="E44" s="11"/>
      <c r="F44" s="11"/>
      <c r="G44" s="11"/>
      <c r="H44" s="9"/>
      <c r="I44" s="1"/>
      <c r="J44" s="11"/>
      <c r="K44" s="11"/>
      <c r="L44" s="11"/>
      <c r="M44" s="11"/>
      <c r="N44" s="9"/>
      <c r="O44" s="4"/>
      <c r="P44" s="4"/>
      <c r="Q44" s="4"/>
      <c r="R44" s="4"/>
      <c r="S44" s="4"/>
      <c r="Y44" s="20"/>
      <c r="Z44" s="20"/>
      <c r="AA44" s="20"/>
      <c r="AB44" s="4"/>
      <c r="AC44" s="4"/>
      <c r="AD44" s="4"/>
    </row>
    <row r="45" spans="1:30" x14ac:dyDescent="0.2">
      <c r="B45" s="1"/>
      <c r="C45" s="11"/>
      <c r="D45" s="11"/>
      <c r="E45" s="11"/>
      <c r="F45" s="11"/>
      <c r="G45" s="11"/>
      <c r="H45" s="9"/>
      <c r="I45" s="1"/>
      <c r="J45" s="11"/>
      <c r="K45" s="11"/>
      <c r="L45" s="11"/>
      <c r="M45" s="11"/>
      <c r="N45" s="9"/>
      <c r="O45" s="4"/>
      <c r="P45" s="4"/>
      <c r="Q45" s="4"/>
      <c r="R45" s="4"/>
      <c r="S45" s="4"/>
      <c r="Y45" s="20"/>
      <c r="Z45" s="20"/>
      <c r="AA45" s="20"/>
      <c r="AB45" s="4"/>
      <c r="AC45" s="4"/>
      <c r="AD45" s="4"/>
    </row>
    <row r="46" spans="1:30" x14ac:dyDescent="0.2">
      <c r="B46" s="1"/>
      <c r="C46" s="11"/>
      <c r="D46" s="11"/>
      <c r="E46" s="11"/>
      <c r="F46" s="11"/>
      <c r="G46" s="11"/>
      <c r="H46" s="9"/>
      <c r="I46" s="1"/>
      <c r="J46" s="11"/>
      <c r="K46" s="11"/>
      <c r="L46" s="11"/>
      <c r="M46" s="11"/>
      <c r="N46" s="9"/>
      <c r="O46" s="4"/>
      <c r="P46" s="4"/>
      <c r="Q46" s="4"/>
      <c r="R46" s="4"/>
      <c r="S46" s="4"/>
      <c r="Y46" s="20"/>
      <c r="Z46" s="20"/>
      <c r="AA46" s="20"/>
      <c r="AB46" s="4"/>
      <c r="AC46" s="4"/>
      <c r="AD46" s="4"/>
    </row>
    <row r="47" spans="1:30" x14ac:dyDescent="0.2">
      <c r="B47" s="1"/>
      <c r="C47" s="11"/>
      <c r="D47" s="11"/>
      <c r="E47" s="11"/>
      <c r="F47" s="11"/>
      <c r="G47" s="11"/>
      <c r="H47" s="9"/>
      <c r="I47" s="1"/>
      <c r="J47" s="11"/>
      <c r="K47" s="11"/>
      <c r="L47" s="11"/>
      <c r="M47" s="11"/>
      <c r="N47" s="9"/>
      <c r="O47" s="4"/>
      <c r="P47" s="4"/>
      <c r="Q47" s="4"/>
      <c r="R47" s="4"/>
      <c r="S47" s="4"/>
      <c r="Y47" s="20"/>
      <c r="Z47" s="20"/>
      <c r="AA47" s="20"/>
      <c r="AB47" s="4"/>
      <c r="AC47" s="4"/>
      <c r="AD47" s="4"/>
    </row>
    <row r="48" spans="1:30" x14ac:dyDescent="0.2">
      <c r="B48" s="1"/>
      <c r="C48" s="11"/>
      <c r="D48" s="11"/>
      <c r="E48" s="11"/>
      <c r="F48" s="11"/>
      <c r="G48" s="11"/>
      <c r="H48" s="9"/>
      <c r="I48" s="1"/>
      <c r="J48" s="11"/>
      <c r="K48" s="11"/>
      <c r="L48" s="11"/>
      <c r="M48" s="11"/>
      <c r="N48" s="9"/>
      <c r="O48" s="4"/>
      <c r="P48" s="4"/>
      <c r="Q48" s="4"/>
      <c r="R48" s="4"/>
      <c r="S48" s="4"/>
      <c r="Y48" s="20"/>
      <c r="Z48" s="20"/>
      <c r="AA48" s="20"/>
      <c r="AB48" s="4"/>
      <c r="AC48" s="4"/>
      <c r="AD48" s="4"/>
    </row>
    <row r="49" spans="1:30" x14ac:dyDescent="0.2">
      <c r="B49" s="1"/>
      <c r="C49" s="11"/>
      <c r="D49" s="11"/>
      <c r="E49" s="11"/>
      <c r="F49" s="11"/>
      <c r="G49" s="11"/>
      <c r="H49" s="9"/>
      <c r="I49" s="1"/>
      <c r="J49" s="11"/>
      <c r="K49" s="11"/>
      <c r="L49" s="11"/>
      <c r="M49" s="11"/>
      <c r="N49" s="9"/>
      <c r="O49" s="4"/>
      <c r="P49" s="4"/>
      <c r="Q49" s="4"/>
      <c r="R49" s="4"/>
      <c r="S49" s="4"/>
      <c r="Y49" s="20"/>
      <c r="Z49" s="20"/>
      <c r="AA49" s="20"/>
      <c r="AB49" s="4"/>
      <c r="AC49" s="4"/>
      <c r="AD49" s="4"/>
    </row>
    <row r="50" spans="1:30" x14ac:dyDescent="0.2">
      <c r="B50" s="1"/>
      <c r="C50" s="11"/>
      <c r="D50" s="11"/>
      <c r="E50" s="11"/>
      <c r="F50" s="11"/>
      <c r="G50" s="11"/>
      <c r="H50" s="9"/>
      <c r="I50" s="1"/>
      <c r="J50" s="11"/>
      <c r="K50" s="11"/>
      <c r="L50" s="11"/>
      <c r="M50" s="11"/>
      <c r="N50" s="9"/>
      <c r="O50" s="4"/>
      <c r="P50" s="4"/>
      <c r="Q50" s="4"/>
      <c r="R50" s="4"/>
      <c r="S50" s="4"/>
      <c r="Y50" s="20"/>
      <c r="Z50" s="20"/>
      <c r="AA50" s="20"/>
      <c r="AB50" s="4"/>
      <c r="AC50" s="4"/>
      <c r="AD50" s="4"/>
    </row>
    <row r="51" spans="1:30" x14ac:dyDescent="0.2">
      <c r="B51" s="1"/>
      <c r="C51" s="11"/>
      <c r="D51" s="11"/>
      <c r="E51" s="11"/>
      <c r="F51" s="11"/>
      <c r="G51" s="11"/>
      <c r="H51" s="9"/>
      <c r="I51" s="1"/>
      <c r="J51" s="11"/>
      <c r="K51" s="11"/>
      <c r="L51" s="11"/>
      <c r="M51" s="11"/>
      <c r="N51" s="9"/>
      <c r="O51" s="4"/>
      <c r="P51" s="4"/>
      <c r="Q51" s="4"/>
      <c r="R51" s="4"/>
      <c r="S51" s="4"/>
      <c r="Y51" s="20"/>
      <c r="Z51" s="20"/>
      <c r="AA51" s="20"/>
      <c r="AB51" s="4"/>
      <c r="AC51" s="4"/>
      <c r="AD51" s="4"/>
    </row>
    <row r="52" spans="1:30" x14ac:dyDescent="0.2">
      <c r="B52" s="1"/>
      <c r="C52" s="11"/>
      <c r="D52" s="11"/>
      <c r="E52" s="11"/>
      <c r="F52" s="11"/>
      <c r="G52" s="11"/>
      <c r="H52" s="9"/>
      <c r="I52" s="1"/>
      <c r="J52" s="11"/>
      <c r="K52" s="11"/>
      <c r="L52" s="11"/>
      <c r="M52" s="11"/>
      <c r="N52" s="9"/>
      <c r="O52" s="4"/>
      <c r="P52" s="4"/>
      <c r="Q52" s="4"/>
      <c r="R52" s="4"/>
      <c r="S52" s="4"/>
      <c r="Y52" s="20"/>
      <c r="Z52" s="20"/>
      <c r="AA52" s="20"/>
      <c r="AB52" s="4"/>
      <c r="AC52" s="4"/>
      <c r="AD52" s="4"/>
    </row>
    <row r="53" spans="1:30" x14ac:dyDescent="0.2">
      <c r="B53" s="1"/>
      <c r="C53" s="11"/>
      <c r="D53" s="11"/>
      <c r="E53" s="11"/>
      <c r="F53" s="11"/>
      <c r="G53" s="11"/>
      <c r="H53" s="9"/>
      <c r="I53" s="1"/>
      <c r="J53" s="11"/>
      <c r="K53" s="11"/>
      <c r="L53" s="11"/>
      <c r="M53" s="11"/>
      <c r="N53" s="9"/>
      <c r="O53" s="4"/>
      <c r="P53" s="4"/>
      <c r="Q53" s="4"/>
      <c r="R53" s="4"/>
      <c r="S53" s="4"/>
      <c r="Y53" s="20"/>
      <c r="Z53" s="20"/>
      <c r="AA53" s="20"/>
      <c r="AB53" s="4"/>
      <c r="AC53" s="4"/>
      <c r="AD53" s="4"/>
    </row>
    <row r="54" spans="1:30" x14ac:dyDescent="0.2">
      <c r="B54" s="1"/>
      <c r="C54" s="11"/>
      <c r="D54" s="11"/>
      <c r="E54" s="11"/>
      <c r="F54" s="11"/>
      <c r="G54" s="11"/>
      <c r="H54" s="9"/>
      <c r="I54" s="1"/>
      <c r="J54" s="11"/>
      <c r="K54" s="11"/>
      <c r="L54" s="11"/>
      <c r="M54" s="11"/>
      <c r="N54" s="9"/>
      <c r="O54" s="4"/>
      <c r="P54" s="4"/>
      <c r="Q54" s="4"/>
      <c r="R54" s="4"/>
      <c r="S54" s="4"/>
      <c r="Y54" s="20"/>
      <c r="Z54" s="20"/>
      <c r="AA54" s="20"/>
      <c r="AB54" s="4"/>
      <c r="AC54" s="4"/>
      <c r="AD54" s="4"/>
    </row>
    <row r="55" spans="1:30" x14ac:dyDescent="0.2">
      <c r="B55" s="1"/>
      <c r="C55" s="11"/>
      <c r="D55" s="11"/>
      <c r="E55" s="11"/>
      <c r="F55" s="11"/>
      <c r="G55" s="11"/>
      <c r="H55" s="9"/>
      <c r="I55" s="1"/>
      <c r="J55" s="11"/>
      <c r="K55" s="11"/>
      <c r="L55" s="11"/>
      <c r="M55" s="11"/>
      <c r="N55" s="9"/>
      <c r="O55" s="4"/>
      <c r="P55" s="4"/>
      <c r="Q55" s="4"/>
      <c r="R55" s="4"/>
      <c r="S55" s="4"/>
      <c r="Y55" s="20"/>
      <c r="Z55" s="20"/>
      <c r="AA55" s="20"/>
      <c r="AB55" s="4"/>
      <c r="AC55" s="4"/>
      <c r="AD55" s="4"/>
    </row>
    <row r="56" spans="1:30" x14ac:dyDescent="0.2">
      <c r="B56" s="1"/>
      <c r="C56" s="11"/>
      <c r="D56" s="11"/>
      <c r="E56" s="11"/>
      <c r="F56" s="11"/>
      <c r="G56" s="11"/>
      <c r="H56" s="9"/>
      <c r="I56" s="1"/>
      <c r="J56" s="11"/>
      <c r="K56" s="11"/>
      <c r="L56" s="11"/>
      <c r="M56" s="11"/>
      <c r="N56" s="9"/>
      <c r="O56" s="4"/>
      <c r="P56" s="4"/>
      <c r="Q56" s="4"/>
      <c r="R56" s="4"/>
      <c r="S56" s="4"/>
      <c r="Y56" s="20"/>
      <c r="Z56" s="20"/>
      <c r="AA56" s="20"/>
      <c r="AB56" s="4"/>
      <c r="AC56" s="4"/>
      <c r="AD56" s="4"/>
    </row>
    <row r="57" spans="1:30" x14ac:dyDescent="0.2">
      <c r="B57" s="1"/>
      <c r="C57" s="11"/>
      <c r="D57" s="11"/>
      <c r="E57" s="11"/>
      <c r="F57" s="11"/>
      <c r="G57" s="11"/>
      <c r="H57" s="9"/>
      <c r="I57" s="1"/>
      <c r="J57" s="11"/>
      <c r="K57" s="11"/>
      <c r="L57" s="11"/>
      <c r="M57" s="11"/>
      <c r="N57" s="9"/>
      <c r="O57" s="4"/>
      <c r="P57" s="4"/>
      <c r="Q57" s="4"/>
      <c r="R57" s="4"/>
      <c r="S57" s="4"/>
      <c r="Y57" s="20"/>
      <c r="Z57" s="20"/>
      <c r="AA57" s="20"/>
      <c r="AB57" s="4"/>
      <c r="AC57" s="4"/>
      <c r="AD57" s="4"/>
    </row>
    <row r="58" spans="1:30" x14ac:dyDescent="0.2">
      <c r="A58" t="s">
        <v>42</v>
      </c>
      <c r="B58" s="9"/>
      <c r="C58" s="11"/>
      <c r="D58" s="11"/>
      <c r="E58" s="9"/>
      <c r="F58" s="9"/>
      <c r="G58" s="9"/>
      <c r="H58" s="9">
        <f>MAX(H34:H57)</f>
        <v>3817.1</v>
      </c>
      <c r="I58" s="9"/>
      <c r="J58" s="11"/>
      <c r="K58" s="9"/>
      <c r="L58" s="9"/>
      <c r="M58" s="9"/>
      <c r="N58" s="9">
        <f>MAX(N34:N57)</f>
        <v>3593.8</v>
      </c>
      <c r="O58" s="4"/>
      <c r="P58" s="4"/>
      <c r="Q58" s="4"/>
      <c r="R58" s="4"/>
      <c r="S58" s="4"/>
      <c r="Y58" s="4"/>
      <c r="Z58" s="4"/>
      <c r="AA58" s="4"/>
      <c r="AB58" s="4"/>
      <c r="AC58" s="4"/>
      <c r="AD58" s="4"/>
    </row>
    <row r="59" spans="1:30" x14ac:dyDescent="0.2">
      <c r="A59" t="s">
        <v>43</v>
      </c>
      <c r="B59" s="9"/>
      <c r="C59" s="9"/>
      <c r="D59" s="9"/>
      <c r="E59" s="9">
        <f>AVERAGE(E34:E57)</f>
        <v>188.08571428571426</v>
      </c>
      <c r="F59" s="9">
        <f>AVERAGE(F34:F57)</f>
        <v>1149.7</v>
      </c>
      <c r="G59" s="9">
        <f>AVERAGE(G34:G57)</f>
        <v>458.72857142857134</v>
      </c>
      <c r="H59" s="9">
        <f>AVERAGE(H34:H57)</f>
        <v>3743.2349999999997</v>
      </c>
      <c r="I59" s="9"/>
      <c r="J59" s="9"/>
      <c r="K59" s="9">
        <f>AVERAGE(K34:K57)</f>
        <v>132.55000000000001</v>
      </c>
      <c r="L59" s="9">
        <f>AVERAGE(L34:L57)</f>
        <v>1090</v>
      </c>
      <c r="M59" s="9">
        <f>AVERAGE(M34:M57)</f>
        <v>396.29999999999995</v>
      </c>
      <c r="N59" s="9">
        <f>AVERAGE(N34:N57)</f>
        <v>3592.2666666666664</v>
      </c>
      <c r="O59" s="39"/>
      <c r="P59" s="39"/>
      <c r="Q59" s="39"/>
      <c r="R59" s="4"/>
      <c r="S59" s="4"/>
      <c r="Y59" s="23"/>
      <c r="Z59" s="23"/>
      <c r="AA59" s="39"/>
      <c r="AB59" s="39"/>
      <c r="AC59" s="39"/>
      <c r="AD59" s="39"/>
    </row>
    <row r="60" spans="1:30" x14ac:dyDescent="0.2">
      <c r="A60" t="s">
        <v>44</v>
      </c>
      <c r="B60" s="9"/>
      <c r="C60" s="9"/>
      <c r="D60" s="9"/>
      <c r="E60" s="9"/>
      <c r="F60" s="9"/>
      <c r="G60" s="9"/>
      <c r="H60" s="9">
        <f>STDEV(H34:H57)</f>
        <v>56.763610828467478</v>
      </c>
      <c r="I60" s="9"/>
      <c r="J60" s="9"/>
      <c r="K60" s="9"/>
      <c r="L60" s="9"/>
      <c r="M60" s="9"/>
      <c r="N60" s="9">
        <f>STDEV(N34:N57)</f>
        <v>2.2368132093078907</v>
      </c>
      <c r="O60" s="39"/>
      <c r="P60" s="39"/>
      <c r="Q60" s="39"/>
      <c r="R60" s="4"/>
      <c r="S60" s="4"/>
      <c r="Y60" s="23"/>
      <c r="Z60" s="23"/>
      <c r="AA60" s="39"/>
      <c r="AB60" s="39"/>
      <c r="AC60" s="39"/>
      <c r="AD60" s="39"/>
    </row>
    <row r="61" spans="1:30" x14ac:dyDescent="0.2">
      <c r="A61" t="s">
        <v>45</v>
      </c>
      <c r="B61" s="9"/>
      <c r="C61" s="9"/>
      <c r="D61" s="9"/>
      <c r="E61" s="9"/>
      <c r="F61" s="9"/>
      <c r="G61" s="9"/>
      <c r="H61" s="9">
        <f>H59+H60</f>
        <v>3799.998610828467</v>
      </c>
      <c r="I61" s="9"/>
      <c r="J61" s="9"/>
      <c r="K61" s="9"/>
      <c r="L61" s="9"/>
      <c r="M61" s="9"/>
      <c r="N61" s="9">
        <f>N59+N60</f>
        <v>3594.5034798759743</v>
      </c>
      <c r="O61" s="26"/>
      <c r="P61" s="26"/>
      <c r="Q61" s="26"/>
      <c r="R61" s="4"/>
      <c r="S61" s="4"/>
      <c r="Y61" s="10"/>
      <c r="Z61" s="10"/>
      <c r="AA61" s="26"/>
      <c r="AB61" s="26"/>
      <c r="AC61" s="26"/>
      <c r="AD61" s="26"/>
    </row>
    <row r="62" spans="1:30" x14ac:dyDescent="0.2">
      <c r="A62" t="s">
        <v>54</v>
      </c>
      <c r="B62" s="9"/>
      <c r="C62" s="9"/>
      <c r="D62" s="9"/>
      <c r="E62" s="9"/>
      <c r="F62" s="9"/>
      <c r="G62" s="9"/>
      <c r="H62" s="9">
        <f>H61</f>
        <v>3799.998610828467</v>
      </c>
      <c r="I62" s="9"/>
      <c r="J62" s="9"/>
      <c r="K62" s="9"/>
      <c r="L62" s="9"/>
      <c r="M62" s="9"/>
      <c r="N62" s="9"/>
      <c r="O62" s="4"/>
      <c r="P62" s="4"/>
      <c r="Q62" s="4"/>
      <c r="R62" s="4"/>
      <c r="S62" s="4"/>
    </row>
  </sheetData>
  <mergeCells count="1">
    <mergeCell ref="O33:Q3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"/>
  <sheetViews>
    <sheetView workbookViewId="0">
      <selection activeCell="O15" sqref="O15"/>
    </sheetView>
  </sheetViews>
  <sheetFormatPr defaultRowHeight="15" x14ac:dyDescent="0.2"/>
  <sheetData>
    <row r="1" spans="1:14" x14ac:dyDescent="0.2">
      <c r="B1" t="s">
        <v>2</v>
      </c>
      <c r="C1" t="s">
        <v>1</v>
      </c>
    </row>
    <row r="2" spans="1:14" x14ac:dyDescent="0.2">
      <c r="A2" t="s">
        <v>0</v>
      </c>
      <c r="B2">
        <v>320</v>
      </c>
      <c r="C2">
        <v>1.25</v>
      </c>
    </row>
    <row r="3" spans="1:14" x14ac:dyDescent="0.2">
      <c r="A3" t="s">
        <v>3</v>
      </c>
      <c r="B3">
        <v>320</v>
      </c>
      <c r="C3">
        <v>1.5</v>
      </c>
    </row>
    <row r="8" spans="1:14" x14ac:dyDescent="0.2">
      <c r="G8" t="s">
        <v>87</v>
      </c>
      <c r="I8" t="s">
        <v>88</v>
      </c>
    </row>
    <row r="9" spans="1:14" x14ac:dyDescent="0.2">
      <c r="B9" t="s">
        <v>37</v>
      </c>
      <c r="C9" t="s">
        <v>82</v>
      </c>
      <c r="D9" t="s">
        <v>83</v>
      </c>
      <c r="E9" t="s">
        <v>84</v>
      </c>
      <c r="F9" t="s">
        <v>85</v>
      </c>
      <c r="G9" t="s">
        <v>86</v>
      </c>
      <c r="H9" t="s">
        <v>93</v>
      </c>
      <c r="I9" t="s">
        <v>89</v>
      </c>
      <c r="J9" t="s">
        <v>49</v>
      </c>
      <c r="K9" t="s">
        <v>31</v>
      </c>
      <c r="L9" t="s">
        <v>90</v>
      </c>
      <c r="M9" t="s">
        <v>91</v>
      </c>
      <c r="N9" t="s">
        <v>103</v>
      </c>
    </row>
    <row r="10" spans="1:14" x14ac:dyDescent="0.2">
      <c r="A10" t="s">
        <v>81</v>
      </c>
      <c r="B10">
        <v>4.72</v>
      </c>
      <c r="C10">
        <v>0.2</v>
      </c>
      <c r="D10" s="9">
        <v>45</v>
      </c>
      <c r="E10" s="9">
        <v>1700</v>
      </c>
      <c r="F10" t="s">
        <v>92</v>
      </c>
      <c r="G10">
        <v>12.5</v>
      </c>
      <c r="H10" s="9">
        <v>18</v>
      </c>
      <c r="I10">
        <v>0.03</v>
      </c>
      <c r="J10">
        <v>1.8</v>
      </c>
      <c r="K10" s="9">
        <v>300</v>
      </c>
      <c r="L10" s="9">
        <v>1300</v>
      </c>
      <c r="M10" s="9">
        <v>30</v>
      </c>
    </row>
    <row r="11" spans="1:14" x14ac:dyDescent="0.2">
      <c r="A11" t="s">
        <v>102</v>
      </c>
      <c r="B11">
        <v>1.24</v>
      </c>
      <c r="C11">
        <v>0.2</v>
      </c>
      <c r="D11">
        <v>8</v>
      </c>
      <c r="E11">
        <v>1700</v>
      </c>
      <c r="F11">
        <v>2</v>
      </c>
      <c r="G11">
        <v>16.7</v>
      </c>
      <c r="H11" s="9">
        <v>45</v>
      </c>
      <c r="K11" s="9">
        <v>300</v>
      </c>
      <c r="L11" s="9">
        <v>180</v>
      </c>
      <c r="M11" s="9">
        <v>40</v>
      </c>
      <c r="N11">
        <f>L11/(H11*F11)*60*G11</f>
        <v>2004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66"/>
  <sheetViews>
    <sheetView workbookViewId="0">
      <selection activeCell="C14" sqref="C14"/>
    </sheetView>
  </sheetViews>
  <sheetFormatPr defaultRowHeight="15" x14ac:dyDescent="0.2"/>
  <cols>
    <col min="1" max="1" width="13.31640625" bestFit="1" customWidth="1"/>
    <col min="2" max="2" width="13.44921875" customWidth="1"/>
    <col min="3" max="3" width="10.22265625" customWidth="1"/>
    <col min="4" max="5" width="12.23828125" customWidth="1"/>
    <col min="6" max="6" width="11.1640625" customWidth="1"/>
    <col min="7" max="9" width="11.02734375" customWidth="1"/>
    <col min="10" max="10" width="11.703125" bestFit="1" customWidth="1"/>
    <col min="11" max="11" width="11.43359375" bestFit="1" customWidth="1"/>
    <col min="12" max="12" width="8.609375" bestFit="1" customWidth="1"/>
    <col min="13" max="19" width="12.10546875" customWidth="1"/>
    <col min="20" max="20" width="12.64453125" bestFit="1" customWidth="1"/>
    <col min="21" max="21" width="10.22265625" customWidth="1"/>
    <col min="22" max="22" width="10.76171875" bestFit="1" customWidth="1"/>
    <col min="23" max="23" width="16.8125" customWidth="1"/>
    <col min="24" max="24" width="12.23828125" bestFit="1" customWidth="1"/>
    <col min="27" max="27" width="10.76171875" customWidth="1"/>
    <col min="29" max="29" width="12.64453125" bestFit="1" customWidth="1"/>
    <col min="32" max="32" width="13.31640625" bestFit="1" customWidth="1"/>
  </cols>
  <sheetData>
    <row r="1" spans="1:31" ht="41.25" x14ac:dyDescent="0.2">
      <c r="A1" s="2" t="s">
        <v>217</v>
      </c>
      <c r="B1" s="16" t="s">
        <v>69</v>
      </c>
      <c r="C1" s="18" t="s">
        <v>73</v>
      </c>
      <c r="D1" s="18" t="s">
        <v>23</v>
      </c>
      <c r="E1" s="18" t="s">
        <v>202</v>
      </c>
      <c r="F1" s="18" t="s">
        <v>8</v>
      </c>
      <c r="G1" s="18" t="s">
        <v>74</v>
      </c>
      <c r="H1" s="18" t="s">
        <v>215</v>
      </c>
      <c r="I1" s="16" t="s">
        <v>218</v>
      </c>
      <c r="J1" s="18" t="s">
        <v>213</v>
      </c>
      <c r="K1" s="2" t="s">
        <v>211</v>
      </c>
      <c r="L1" s="18" t="s">
        <v>218</v>
      </c>
      <c r="M1" s="2" t="s">
        <v>212</v>
      </c>
      <c r="N1" s="2" t="s">
        <v>138</v>
      </c>
      <c r="O1" s="2" t="s">
        <v>72</v>
      </c>
      <c r="P1" s="2" t="s">
        <v>221</v>
      </c>
      <c r="Q1" s="2" t="s">
        <v>219</v>
      </c>
      <c r="R1" s="2" t="s">
        <v>222</v>
      </c>
      <c r="S1" s="2" t="s">
        <v>223</v>
      </c>
      <c r="T1" s="3" t="s">
        <v>9</v>
      </c>
      <c r="U1" s="42" t="s">
        <v>224</v>
      </c>
      <c r="V1" s="25" t="s">
        <v>101</v>
      </c>
      <c r="W1" s="18" t="s">
        <v>10</v>
      </c>
      <c r="X1" s="19" t="s">
        <v>11</v>
      </c>
      <c r="Y1" s="25" t="s">
        <v>234</v>
      </c>
      <c r="AB1" t="s">
        <v>12</v>
      </c>
    </row>
    <row r="2" spans="1:31" x14ac:dyDescent="0.2">
      <c r="A2">
        <v>150</v>
      </c>
      <c r="B2" s="12"/>
      <c r="C2" s="26">
        <v>800.27</v>
      </c>
      <c r="E2">
        <f>469.2+69.6</f>
        <v>538.79999999999995</v>
      </c>
      <c r="F2">
        <v>10.8</v>
      </c>
      <c r="G2" s="4">
        <v>206.12</v>
      </c>
      <c r="H2" s="13">
        <v>53.7</v>
      </c>
      <c r="I2" s="4"/>
      <c r="J2" s="10">
        <v>80.98</v>
      </c>
      <c r="K2">
        <v>15.38</v>
      </c>
      <c r="T2" s="3">
        <f>277+9.4</f>
        <v>286.39999999999998</v>
      </c>
      <c r="U2" s="4">
        <v>82.7</v>
      </c>
      <c r="V2" s="4">
        <v>1.3</v>
      </c>
      <c r="W2" s="4">
        <v>845.7</v>
      </c>
      <c r="X2" s="13">
        <v>159</v>
      </c>
      <c r="Y2">
        <f>800-664</f>
        <v>136</v>
      </c>
      <c r="AA2" t="s">
        <v>18</v>
      </c>
      <c r="AB2" t="s">
        <v>14</v>
      </c>
      <c r="AC2" t="s">
        <v>15</v>
      </c>
      <c r="AD2" t="s">
        <v>16</v>
      </c>
      <c r="AE2" t="s">
        <v>17</v>
      </c>
    </row>
    <row r="3" spans="1:31" x14ac:dyDescent="0.2">
      <c r="A3">
        <v>150</v>
      </c>
      <c r="B3" s="12"/>
      <c r="C3" s="26">
        <v>807.15</v>
      </c>
      <c r="E3">
        <v>114.2</v>
      </c>
      <c r="G3" s="4">
        <v>206.01</v>
      </c>
      <c r="H3" s="13"/>
      <c r="I3" s="4"/>
      <c r="J3" s="10"/>
      <c r="T3" s="3">
        <f>276.6+9.2</f>
        <v>285.8</v>
      </c>
      <c r="U3" s="4"/>
      <c r="V3" s="4"/>
      <c r="W3" s="4">
        <v>845.5</v>
      </c>
      <c r="X3" s="13">
        <v>159</v>
      </c>
      <c r="AA3">
        <v>4922</v>
      </c>
      <c r="AB3">
        <v>907.1</v>
      </c>
      <c r="AC3">
        <v>8.8000000000000007</v>
      </c>
      <c r="AD3">
        <v>37.799999999999997</v>
      </c>
      <c r="AE3">
        <v>602</v>
      </c>
    </row>
    <row r="4" spans="1:31" x14ac:dyDescent="0.2">
      <c r="B4" s="12"/>
      <c r="C4" s="4"/>
      <c r="G4" s="4">
        <v>195.33</v>
      </c>
      <c r="H4" s="13"/>
      <c r="I4" s="4"/>
      <c r="J4" s="10"/>
      <c r="T4" s="3">
        <v>239</v>
      </c>
      <c r="U4" s="4"/>
      <c r="V4" s="4"/>
      <c r="W4" s="4"/>
      <c r="X4" s="13"/>
    </row>
    <row r="5" spans="1:31" x14ac:dyDescent="0.2">
      <c r="B5" s="12"/>
      <c r="C5" s="4"/>
      <c r="E5" s="4"/>
      <c r="G5" s="4">
        <v>173.73</v>
      </c>
      <c r="I5" s="3">
        <v>55</v>
      </c>
      <c r="J5" s="26">
        <v>30.3</v>
      </c>
      <c r="L5">
        <v>15</v>
      </c>
      <c r="M5">
        <f>2369-1460</f>
        <v>909</v>
      </c>
      <c r="N5" t="s">
        <v>220</v>
      </c>
      <c r="O5">
        <f>1460-756</f>
        <v>704</v>
      </c>
      <c r="P5">
        <v>18.5</v>
      </c>
      <c r="Q5">
        <v>21.72</v>
      </c>
      <c r="T5" s="3">
        <v>278.39999999999998</v>
      </c>
      <c r="U5" s="4"/>
      <c r="V5" s="4"/>
      <c r="W5" s="4"/>
      <c r="X5" s="13"/>
    </row>
    <row r="6" spans="1:31" x14ac:dyDescent="0.2">
      <c r="B6" s="12"/>
      <c r="C6" s="17"/>
      <c r="E6" s="4"/>
      <c r="F6" s="17"/>
      <c r="G6" s="26">
        <v>256.70999999999998</v>
      </c>
      <c r="H6" s="26"/>
      <c r="I6" s="54"/>
      <c r="J6" s="26"/>
      <c r="T6" s="3">
        <v>279.3</v>
      </c>
      <c r="U6" s="17"/>
      <c r="V6" s="4"/>
      <c r="W6" s="4"/>
      <c r="X6" s="13"/>
    </row>
    <row r="7" spans="1:31" x14ac:dyDescent="0.2">
      <c r="B7" s="12"/>
      <c r="C7" s="17"/>
      <c r="D7" s="4"/>
      <c r="E7" s="4"/>
      <c r="F7" s="17"/>
      <c r="G7" s="4">
        <v>263.13</v>
      </c>
      <c r="H7" s="4"/>
      <c r="I7" s="3"/>
      <c r="J7" s="26"/>
      <c r="T7" s="3">
        <v>289.24</v>
      </c>
      <c r="U7" s="4"/>
      <c r="V7" s="4"/>
      <c r="W7" s="4"/>
      <c r="X7" s="13"/>
    </row>
    <row r="8" spans="1:31" x14ac:dyDescent="0.2">
      <c r="B8" s="12"/>
      <c r="D8" s="17"/>
      <c r="E8" s="17"/>
      <c r="F8" s="17"/>
      <c r="G8" s="17">
        <v>257.55</v>
      </c>
      <c r="H8" s="4"/>
      <c r="I8" s="3"/>
      <c r="J8" s="26"/>
      <c r="T8" s="3"/>
      <c r="U8" s="4"/>
      <c r="V8" s="4"/>
      <c r="W8" s="4"/>
      <c r="X8" s="13"/>
    </row>
    <row r="9" spans="1:31" x14ac:dyDescent="0.2">
      <c r="A9">
        <v>255.63300000000001</v>
      </c>
      <c r="B9" s="12"/>
      <c r="C9" s="17">
        <v>742.2</v>
      </c>
      <c r="D9" s="17"/>
      <c r="E9" s="17"/>
      <c r="F9" s="17"/>
      <c r="G9" s="4"/>
      <c r="H9" s="4"/>
      <c r="I9" s="3"/>
      <c r="J9" s="26"/>
      <c r="K9" s="17"/>
      <c r="M9" s="6"/>
      <c r="N9" s="52"/>
      <c r="O9" s="53"/>
      <c r="P9" s="53"/>
      <c r="Q9" s="53"/>
      <c r="R9" s="53"/>
      <c r="S9" s="53"/>
      <c r="T9" s="3"/>
      <c r="U9" s="4"/>
      <c r="V9" s="4"/>
      <c r="W9" s="4"/>
      <c r="X9" s="13"/>
    </row>
    <row r="10" spans="1:31" x14ac:dyDescent="0.2">
      <c r="B10" s="12"/>
      <c r="C10" s="17">
        <v>743.82</v>
      </c>
      <c r="D10" s="17"/>
      <c r="E10" s="17"/>
      <c r="F10" s="17"/>
      <c r="G10" s="4"/>
      <c r="H10" s="4"/>
      <c r="I10" s="3"/>
      <c r="J10" s="26"/>
      <c r="K10" s="17"/>
      <c r="T10" s="3"/>
      <c r="U10" s="4"/>
      <c r="V10" s="4"/>
      <c r="W10" s="4"/>
      <c r="X10" s="13"/>
    </row>
    <row r="11" spans="1:31" x14ac:dyDescent="0.2">
      <c r="B11" s="12"/>
      <c r="C11" s="17"/>
      <c r="D11" s="17"/>
      <c r="E11" s="17"/>
      <c r="F11" s="17"/>
      <c r="G11" s="4"/>
      <c r="H11" s="4"/>
      <c r="I11" s="3"/>
      <c r="J11" s="26"/>
      <c r="T11" s="3"/>
      <c r="U11" s="4"/>
      <c r="V11" s="4"/>
      <c r="W11" s="4"/>
      <c r="X11" s="13"/>
    </row>
    <row r="12" spans="1:31" x14ac:dyDescent="0.2">
      <c r="A12">
        <v>100</v>
      </c>
      <c r="B12" s="12"/>
      <c r="C12" s="17">
        <v>835.18</v>
      </c>
      <c r="D12" s="17"/>
      <c r="E12" s="17"/>
      <c r="F12" s="17"/>
      <c r="G12" s="4"/>
      <c r="H12" s="4"/>
      <c r="I12" s="3"/>
      <c r="J12" s="26"/>
      <c r="T12" s="3"/>
      <c r="U12" s="4"/>
      <c r="V12" s="4"/>
      <c r="W12" s="4"/>
      <c r="X12" s="13"/>
    </row>
    <row r="13" spans="1:31" x14ac:dyDescent="0.2">
      <c r="A13">
        <v>100</v>
      </c>
      <c r="B13" s="12"/>
      <c r="C13" s="17">
        <v>846.82</v>
      </c>
      <c r="D13" s="17"/>
      <c r="E13" s="17"/>
      <c r="F13" s="4"/>
      <c r="G13" s="4"/>
      <c r="H13" s="4"/>
      <c r="I13" s="3"/>
      <c r="J13" s="26"/>
      <c r="T13" s="3"/>
      <c r="U13" s="4"/>
      <c r="V13" s="4"/>
      <c r="W13" s="4"/>
      <c r="X13" s="13"/>
    </row>
    <row r="14" spans="1:31" x14ac:dyDescent="0.2">
      <c r="B14" s="12"/>
      <c r="C14" s="17"/>
      <c r="D14" s="4"/>
      <c r="E14" s="4"/>
      <c r="F14" s="4"/>
      <c r="G14" s="4"/>
      <c r="H14" s="4"/>
      <c r="I14" s="3"/>
      <c r="J14" s="26"/>
      <c r="T14" s="3"/>
      <c r="U14" s="4">
        <v>82.7</v>
      </c>
      <c r="V14" s="4">
        <v>1.3</v>
      </c>
      <c r="W14" s="4"/>
      <c r="X14" s="13"/>
    </row>
    <row r="15" spans="1:31" x14ac:dyDescent="0.2">
      <c r="B15" s="12"/>
      <c r="C15" s="17"/>
      <c r="D15" s="4"/>
      <c r="E15" s="4"/>
      <c r="F15" s="4">
        <v>10.8</v>
      </c>
      <c r="G15" s="4"/>
      <c r="H15" s="4"/>
      <c r="I15" s="3"/>
      <c r="J15" s="26"/>
      <c r="T15" s="3"/>
      <c r="U15" s="4"/>
      <c r="V15" s="4"/>
      <c r="W15" s="4"/>
      <c r="X15" s="13"/>
    </row>
    <row r="16" spans="1:31" x14ac:dyDescent="0.2">
      <c r="B16" s="12"/>
      <c r="C16" s="17"/>
      <c r="D16" s="4"/>
      <c r="E16" s="4"/>
      <c r="F16" s="4"/>
      <c r="G16" s="4"/>
      <c r="H16" s="4"/>
      <c r="I16" s="3"/>
      <c r="J16" s="26"/>
      <c r="T16" s="3"/>
      <c r="U16" s="4"/>
      <c r="V16" s="4"/>
      <c r="W16" s="4"/>
      <c r="X16" s="13"/>
    </row>
    <row r="17" spans="1:31" x14ac:dyDescent="0.2">
      <c r="B17" s="12"/>
      <c r="C17" s="4"/>
      <c r="D17" s="4"/>
      <c r="E17" s="4"/>
      <c r="F17" s="4"/>
      <c r="G17" s="4"/>
      <c r="H17" s="4"/>
      <c r="I17" s="3"/>
      <c r="J17" s="26"/>
      <c r="T17" s="3"/>
      <c r="V17" s="4"/>
      <c r="W17" s="4"/>
      <c r="X17" s="13"/>
    </row>
    <row r="18" spans="1:31" x14ac:dyDescent="0.2">
      <c r="B18" s="12"/>
      <c r="C18" s="4"/>
      <c r="D18" s="4"/>
      <c r="E18" s="4"/>
      <c r="F18" s="4"/>
      <c r="G18" s="4"/>
      <c r="H18" s="4"/>
      <c r="I18" s="3"/>
      <c r="J18" s="26"/>
      <c r="T18" s="3"/>
      <c r="U18" s="4"/>
      <c r="V18" s="4"/>
      <c r="W18" s="4"/>
      <c r="X18" s="13"/>
    </row>
    <row r="19" spans="1:31" x14ac:dyDescent="0.2">
      <c r="B19" s="12"/>
      <c r="C19" s="17"/>
      <c r="D19" s="4"/>
      <c r="E19" s="4"/>
      <c r="F19" s="4"/>
      <c r="G19" s="4"/>
      <c r="H19" s="4"/>
      <c r="I19" s="3"/>
      <c r="J19" s="26"/>
      <c r="T19" s="3">
        <v>268.45999999999998</v>
      </c>
      <c r="U19" s="4">
        <v>17.97</v>
      </c>
      <c r="V19" s="4"/>
      <c r="W19" s="4"/>
      <c r="X19" s="13"/>
    </row>
    <row r="20" spans="1:31" x14ac:dyDescent="0.2">
      <c r="B20" s="12"/>
      <c r="C20" s="4"/>
      <c r="D20" s="4"/>
      <c r="E20" s="4"/>
      <c r="F20" s="4"/>
      <c r="G20" s="4"/>
      <c r="H20" s="4"/>
      <c r="I20" s="3"/>
      <c r="J20" s="26"/>
      <c r="T20" s="3"/>
      <c r="U20" s="4"/>
      <c r="V20" s="4"/>
      <c r="W20" s="4"/>
      <c r="X20" s="13"/>
    </row>
    <row r="21" spans="1:31" x14ac:dyDescent="0.2">
      <c r="B21" s="12"/>
      <c r="C21" s="4"/>
      <c r="D21" s="4"/>
      <c r="E21" s="4"/>
      <c r="F21" s="4"/>
      <c r="G21" s="4"/>
      <c r="H21" s="4"/>
      <c r="I21" s="3"/>
      <c r="J21" s="26"/>
      <c r="T21" s="3"/>
      <c r="U21" s="4"/>
      <c r="V21" s="4"/>
      <c r="W21" s="4"/>
      <c r="X21" s="13"/>
    </row>
    <row r="22" spans="1:31" x14ac:dyDescent="0.2">
      <c r="B22" s="12"/>
      <c r="C22" s="4"/>
      <c r="D22" s="4"/>
      <c r="E22" s="4"/>
      <c r="F22" s="4"/>
      <c r="G22" s="4"/>
      <c r="H22" s="4"/>
      <c r="I22" s="3"/>
      <c r="J22" s="26"/>
      <c r="T22" s="3"/>
      <c r="U22" s="4"/>
      <c r="V22" s="4"/>
      <c r="W22" s="4"/>
      <c r="X22" s="13"/>
    </row>
    <row r="23" spans="1:31" x14ac:dyDescent="0.2">
      <c r="B23" s="12"/>
      <c r="C23" s="4"/>
      <c r="D23" s="4"/>
      <c r="E23" s="4"/>
      <c r="F23" s="4"/>
      <c r="G23" s="4"/>
      <c r="H23" s="4"/>
      <c r="I23" s="3"/>
      <c r="J23" s="26"/>
      <c r="T23" s="3"/>
      <c r="U23" s="4"/>
      <c r="V23" s="4"/>
      <c r="W23" s="4"/>
      <c r="X23" s="13"/>
    </row>
    <row r="24" spans="1:31" x14ac:dyDescent="0.2">
      <c r="B24" s="12"/>
      <c r="C24" s="4"/>
      <c r="D24" s="4"/>
      <c r="E24" s="4"/>
      <c r="F24" s="4"/>
      <c r="G24" s="4"/>
      <c r="H24" s="4"/>
      <c r="I24" s="3"/>
      <c r="J24" s="26"/>
      <c r="T24" s="3"/>
      <c r="U24" s="4"/>
      <c r="V24" s="4"/>
      <c r="W24" s="4"/>
      <c r="X24" s="13"/>
    </row>
    <row r="25" spans="1:31" x14ac:dyDescent="0.2">
      <c r="B25" s="12"/>
      <c r="C25" s="4"/>
      <c r="D25" s="4"/>
      <c r="E25" s="4"/>
      <c r="F25" s="4"/>
      <c r="G25" s="4"/>
      <c r="H25" s="4"/>
      <c r="I25" s="3"/>
      <c r="J25" s="26"/>
      <c r="T25" s="3"/>
      <c r="U25" s="4"/>
      <c r="V25" s="4"/>
      <c r="W25" s="4"/>
      <c r="X25" s="13"/>
    </row>
    <row r="26" spans="1:31" x14ac:dyDescent="0.2">
      <c r="A26" t="s">
        <v>43</v>
      </c>
      <c r="B26" s="12" t="e">
        <f t="shared" ref="B26:J26" si="0">AVERAGE(B2:B25)</f>
        <v>#DIV/0!</v>
      </c>
      <c r="C26" s="11">
        <f t="shared" si="0"/>
        <v>795.90666666666664</v>
      </c>
      <c r="D26" s="11" t="e">
        <f t="shared" si="0"/>
        <v>#DIV/0!</v>
      </c>
      <c r="E26" s="11">
        <f t="shared" si="0"/>
        <v>326.5</v>
      </c>
      <c r="F26" s="11">
        <f t="shared" si="0"/>
        <v>10.8</v>
      </c>
      <c r="G26" s="11">
        <f t="shared" si="0"/>
        <v>222.65428571428575</v>
      </c>
      <c r="H26" s="11">
        <f t="shared" ref="H26" si="1">AVERAGE(H2:H25)</f>
        <v>53.7</v>
      </c>
      <c r="I26" s="12"/>
      <c r="J26" s="26">
        <f t="shared" si="0"/>
        <v>55.64</v>
      </c>
      <c r="K26" s="11">
        <f t="shared" ref="K26" si="2">AVERAGE(K2:K25)</f>
        <v>15.38</v>
      </c>
      <c r="M26" s="11">
        <f>AVERAGE(M2:M25)</f>
        <v>909</v>
      </c>
      <c r="N26" s="11"/>
      <c r="O26" s="11">
        <f t="shared" ref="O26:Y26" si="3">AVERAGE(O2:O25)</f>
        <v>704</v>
      </c>
      <c r="P26" s="11">
        <f t="shared" si="3"/>
        <v>18.5</v>
      </c>
      <c r="Q26" s="11">
        <f t="shared" si="3"/>
        <v>21.72</v>
      </c>
      <c r="R26" s="11" t="e">
        <f t="shared" si="3"/>
        <v>#DIV/0!</v>
      </c>
      <c r="S26" s="11" t="e">
        <f t="shared" si="3"/>
        <v>#DIV/0!</v>
      </c>
      <c r="T26" s="12">
        <f t="shared" si="3"/>
        <v>275.2285714285714</v>
      </c>
      <c r="U26" s="12">
        <f t="shared" si="3"/>
        <v>61.123333333333335</v>
      </c>
      <c r="V26" s="12">
        <f t="shared" si="3"/>
        <v>1.3</v>
      </c>
      <c r="W26" s="4">
        <f t="shared" si="3"/>
        <v>845.6</v>
      </c>
      <c r="X26" s="14">
        <f t="shared" si="3"/>
        <v>159</v>
      </c>
      <c r="Y26" s="14">
        <f t="shared" si="3"/>
        <v>136</v>
      </c>
      <c r="AA26">
        <f>AVERAGE(AA2:AA25)</f>
        <v>4922</v>
      </c>
      <c r="AB26">
        <f>AVERAGE(AB2:AB25)</f>
        <v>907.1</v>
      </c>
      <c r="AC26">
        <f>AVERAGE(AC2:AC25)</f>
        <v>8.8000000000000007</v>
      </c>
      <c r="AD26">
        <f>AVERAGE(AD2:AD25)</f>
        <v>37.799999999999997</v>
      </c>
      <c r="AE26">
        <f>AVERAGE(AE2:AE25)</f>
        <v>602</v>
      </c>
    </row>
    <row r="27" spans="1:31" x14ac:dyDescent="0.2">
      <c r="A27" t="s">
        <v>44</v>
      </c>
      <c r="B27" s="12" t="e">
        <f t="shared" ref="B27:C27" si="4">STDEV(B2:B25)</f>
        <v>#DIV/0!</v>
      </c>
      <c r="C27" s="11">
        <f t="shared" si="4"/>
        <v>44.446462926386666</v>
      </c>
      <c r="D27" s="11" t="e">
        <f>STDEV(D2:D25)</f>
        <v>#DIV/0!</v>
      </c>
      <c r="E27" s="11">
        <f t="shared" ref="E27" si="5">STDEV(E2:E25)</f>
        <v>300.23753929180799</v>
      </c>
      <c r="F27" s="11">
        <f>STDEV(F2:F25)</f>
        <v>0</v>
      </c>
      <c r="G27" s="11">
        <f>STDEV(G2:G25)</f>
        <v>35.838534129780101</v>
      </c>
      <c r="H27" s="11" t="e">
        <f>STDEV(H2:H25)</f>
        <v>#DIV/0!</v>
      </c>
      <c r="I27" s="12"/>
      <c r="J27" s="11" t="e">
        <f>STDEV(J5:J25)</f>
        <v>#DIV/0!</v>
      </c>
      <c r="K27" s="11" t="e">
        <f>STDEV(K5:K25)</f>
        <v>#DIV/0!</v>
      </c>
      <c r="M27" s="4" t="e">
        <f>STDEV(M3:M25)</f>
        <v>#DIV/0!</v>
      </c>
      <c r="N27" s="4"/>
      <c r="O27" s="4" t="e">
        <f>STDEV(O3:O25)</f>
        <v>#DIV/0!</v>
      </c>
      <c r="P27" s="4" t="e">
        <f>STDEV(P3:P25)</f>
        <v>#DIV/0!</v>
      </c>
      <c r="Q27" s="4" t="e">
        <f>STDEV(Q3:Q25)</f>
        <v>#DIV/0!</v>
      </c>
      <c r="R27" s="4" t="e">
        <f>STDEV(R3:R25)</f>
        <v>#DIV/0!</v>
      </c>
      <c r="S27" s="4" t="e">
        <f>STDEV(S3:S25)</f>
        <v>#DIV/0!</v>
      </c>
      <c r="T27" s="12">
        <f t="shared" ref="T27:Y27" si="6">STDEV(T2:T25)</f>
        <v>17.406098000960689</v>
      </c>
      <c r="U27" s="12">
        <f t="shared" si="6"/>
        <v>37.371882924644474</v>
      </c>
      <c r="V27" s="12">
        <f t="shared" si="6"/>
        <v>0</v>
      </c>
      <c r="W27" s="11">
        <f t="shared" si="6"/>
        <v>0.14142135623734164</v>
      </c>
      <c r="X27" s="13">
        <f t="shared" si="6"/>
        <v>0</v>
      </c>
      <c r="Y27" s="13" t="e">
        <f t="shared" si="6"/>
        <v>#DIV/0!</v>
      </c>
      <c r="AA27" t="e">
        <f>STDEV(AA2:AA25)</f>
        <v>#DIV/0!</v>
      </c>
      <c r="AB27" t="e">
        <f>STDEV(AB2:AB25)</f>
        <v>#DIV/0!</v>
      </c>
      <c r="AC27" t="e">
        <f>STDEV(AC2:AC25)</f>
        <v>#DIV/0!</v>
      </c>
      <c r="AD27" t="e">
        <f>STDEV(AD2:AD25)</f>
        <v>#DIV/0!</v>
      </c>
      <c r="AE27" t="e">
        <f>STDEV(AE2:AE25)</f>
        <v>#DIV/0!</v>
      </c>
    </row>
    <row r="28" spans="1:31" x14ac:dyDescent="0.2">
      <c r="A28" t="s">
        <v>45</v>
      </c>
      <c r="B28" s="12" t="e">
        <f t="shared" ref="B28:K28" si="7">B26+B27</f>
        <v>#DIV/0!</v>
      </c>
      <c r="C28" s="11">
        <f t="shared" si="7"/>
        <v>840.35312959305327</v>
      </c>
      <c r="D28" s="11" t="e">
        <f t="shared" si="7"/>
        <v>#DIV/0!</v>
      </c>
      <c r="E28" s="11">
        <f t="shared" ref="E28" si="8">E26+E27</f>
        <v>626.73753929180793</v>
      </c>
      <c r="F28" s="8">
        <f t="shared" si="7"/>
        <v>10.8</v>
      </c>
      <c r="G28" s="11">
        <f t="shared" si="7"/>
        <v>258.49281984406582</v>
      </c>
      <c r="H28" s="11" t="e">
        <f t="shared" ref="H28" si="9">H26+H27</f>
        <v>#DIV/0!</v>
      </c>
      <c r="I28" s="12"/>
      <c r="J28" s="11" t="e">
        <f t="shared" si="7"/>
        <v>#DIV/0!</v>
      </c>
      <c r="K28" s="11" t="e">
        <f t="shared" si="7"/>
        <v>#DIV/0!</v>
      </c>
      <c r="M28" s="11" t="e">
        <f>M26+M27</f>
        <v>#DIV/0!</v>
      </c>
      <c r="N28" s="11"/>
      <c r="O28" s="11" t="e">
        <f t="shared" ref="O28:Y28" si="10">O26+O27</f>
        <v>#DIV/0!</v>
      </c>
      <c r="P28" s="11" t="e">
        <f t="shared" si="10"/>
        <v>#DIV/0!</v>
      </c>
      <c r="Q28" s="11" t="e">
        <f t="shared" si="10"/>
        <v>#DIV/0!</v>
      </c>
      <c r="R28" s="11" t="e">
        <f t="shared" si="10"/>
        <v>#DIV/0!</v>
      </c>
      <c r="S28" s="11" t="e">
        <f t="shared" si="10"/>
        <v>#DIV/0!</v>
      </c>
      <c r="T28" s="12">
        <f t="shared" si="10"/>
        <v>292.6346694295321</v>
      </c>
      <c r="U28" s="12">
        <f t="shared" si="10"/>
        <v>98.495216257977802</v>
      </c>
      <c r="V28" s="12">
        <f t="shared" si="10"/>
        <v>1.3</v>
      </c>
      <c r="W28" s="11">
        <f t="shared" si="10"/>
        <v>845.74142135623731</v>
      </c>
      <c r="X28" s="14">
        <f t="shared" si="10"/>
        <v>159</v>
      </c>
      <c r="Y28" s="14" t="e">
        <f t="shared" si="10"/>
        <v>#DIV/0!</v>
      </c>
    </row>
    <row r="29" spans="1:31" x14ac:dyDescent="0.2">
      <c r="D29" s="9"/>
      <c r="E29" s="9"/>
      <c r="F29" s="9"/>
      <c r="G29" s="9"/>
      <c r="H29" s="9"/>
      <c r="I29" s="9"/>
      <c r="Q29" s="10">
        <f>SUM(J26,K26,M26,O26,Q26)</f>
        <v>1705.74</v>
      </c>
      <c r="R29" s="10"/>
      <c r="S29" s="10"/>
    </row>
    <row r="31" spans="1:31" x14ac:dyDescent="0.2">
      <c r="A31" t="s">
        <v>52</v>
      </c>
      <c r="M31" s="55" t="s">
        <v>55</v>
      </c>
      <c r="N31" s="55"/>
      <c r="O31" s="55"/>
      <c r="P31" s="55"/>
      <c r="Q31" s="55"/>
      <c r="R31" s="55"/>
      <c r="S31" s="55"/>
      <c r="T31" s="55"/>
      <c r="U31" s="55"/>
      <c r="V31" s="55"/>
      <c r="W31" s="55"/>
    </row>
    <row r="32" spans="1:31" x14ac:dyDescent="0.2">
      <c r="M32" s="40"/>
      <c r="N32" s="52"/>
      <c r="O32" s="53"/>
      <c r="P32" s="53"/>
      <c r="Q32" s="53"/>
      <c r="R32" s="53"/>
      <c r="S32" s="53"/>
      <c r="T32" s="40"/>
      <c r="U32" s="40"/>
      <c r="V32" s="40"/>
      <c r="W32" s="40"/>
    </row>
    <row r="33" spans="1:32" x14ac:dyDescent="0.2">
      <c r="M33" s="40"/>
      <c r="N33" s="52"/>
      <c r="O33" s="53"/>
      <c r="P33" s="53"/>
      <c r="Q33" s="53"/>
      <c r="R33" s="53"/>
      <c r="S33" s="53"/>
      <c r="T33" s="40"/>
      <c r="U33" s="40"/>
      <c r="V33" s="40"/>
      <c r="W33" s="40"/>
    </row>
    <row r="34" spans="1:32" x14ac:dyDescent="0.2">
      <c r="M34" s="40"/>
      <c r="N34" s="52"/>
      <c r="O34" s="53"/>
      <c r="P34" s="53"/>
      <c r="Q34" s="53"/>
      <c r="R34" s="53"/>
      <c r="S34" s="53"/>
      <c r="T34" s="40"/>
      <c r="U34" s="40"/>
      <c r="V34" s="40"/>
      <c r="W34" s="40"/>
    </row>
    <row r="35" spans="1:32" ht="27.75" x14ac:dyDescent="0.2">
      <c r="A35" t="s">
        <v>198</v>
      </c>
      <c r="B35" s="57" t="s">
        <v>206</v>
      </c>
      <c r="C35" s="57"/>
      <c r="D35" s="57"/>
      <c r="E35" s="57"/>
      <c r="F35" s="57" t="s">
        <v>207</v>
      </c>
      <c r="G35" s="57"/>
      <c r="H35" s="57"/>
      <c r="I35" s="57"/>
      <c r="J35" s="57"/>
      <c r="K35" s="57"/>
      <c r="L35" t="s">
        <v>71</v>
      </c>
      <c r="R35" t="s">
        <v>225</v>
      </c>
      <c r="V35" s="18"/>
      <c r="W35" s="19"/>
      <c r="X35" s="25" t="s">
        <v>141</v>
      </c>
      <c r="Y35" s="25" t="s">
        <v>64</v>
      </c>
      <c r="Z35" s="25" t="s">
        <v>134</v>
      </c>
      <c r="AA35" s="25" t="s">
        <v>135</v>
      </c>
    </row>
    <row r="36" spans="1:32" ht="27.75" x14ac:dyDescent="0.2">
      <c r="A36" t="s">
        <v>216</v>
      </c>
      <c r="B36" s="46" t="s">
        <v>199</v>
      </c>
      <c r="C36" s="47" t="s">
        <v>67</v>
      </c>
      <c r="D36" s="47" t="s">
        <v>200</v>
      </c>
      <c r="E36" s="48" t="s">
        <v>201</v>
      </c>
      <c r="F36" s="46" t="s">
        <v>199</v>
      </c>
      <c r="G36" s="47" t="s">
        <v>67</v>
      </c>
      <c r="H36" s="47"/>
      <c r="I36" s="47"/>
      <c r="J36" s="47" t="s">
        <v>200</v>
      </c>
      <c r="K36" s="48" t="s">
        <v>201</v>
      </c>
      <c r="L36" s="46" t="s">
        <v>199</v>
      </c>
      <c r="M36" s="47" t="s">
        <v>67</v>
      </c>
      <c r="N36" s="47"/>
      <c r="O36" s="47"/>
      <c r="P36" s="47" t="s">
        <v>200</v>
      </c>
      <c r="Q36" s="48" t="s">
        <v>201</v>
      </c>
      <c r="R36" s="46" t="s">
        <v>199</v>
      </c>
      <c r="S36" s="47" t="s">
        <v>67</v>
      </c>
      <c r="T36" s="47"/>
      <c r="U36" s="47"/>
      <c r="V36" s="47" t="s">
        <v>200</v>
      </c>
      <c r="W36" s="48" t="s">
        <v>201</v>
      </c>
      <c r="X36" s="46" t="s">
        <v>226</v>
      </c>
      <c r="Y36" s="47" t="s">
        <v>227</v>
      </c>
      <c r="Z36" s="47" t="s">
        <v>228</v>
      </c>
      <c r="AA36" s="47" t="s">
        <v>229</v>
      </c>
      <c r="AB36" s="47" t="s">
        <v>230</v>
      </c>
      <c r="AC36" s="48" t="s">
        <v>231</v>
      </c>
      <c r="AD36" s="25" t="s">
        <v>64</v>
      </c>
      <c r="AE36" s="25" t="s">
        <v>232</v>
      </c>
      <c r="AF36" s="25" t="s">
        <v>233</v>
      </c>
    </row>
    <row r="37" spans="1:32" x14ac:dyDescent="0.2">
      <c r="A37">
        <v>250</v>
      </c>
      <c r="B37" s="15">
        <v>5</v>
      </c>
      <c r="C37" s="8">
        <v>49</v>
      </c>
      <c r="D37" s="8">
        <v>19</v>
      </c>
      <c r="E37" s="45">
        <f>B37*3600+C37*60+D37</f>
        <v>20959</v>
      </c>
      <c r="F37" s="8">
        <v>1</v>
      </c>
      <c r="G37" s="8">
        <v>48</v>
      </c>
      <c r="H37" s="8"/>
      <c r="I37" s="8"/>
      <c r="J37" s="8">
        <v>3</v>
      </c>
      <c r="K37" s="45">
        <f>F37*3600+G37*60+J37</f>
        <v>6483</v>
      </c>
      <c r="L37" s="8">
        <v>1</v>
      </c>
      <c r="M37" s="8">
        <v>48</v>
      </c>
      <c r="N37" s="8"/>
      <c r="O37" s="8"/>
      <c r="P37" s="8">
        <v>3</v>
      </c>
      <c r="Q37" s="45">
        <f>L37*3600+M37*60+P37</f>
        <v>6483</v>
      </c>
      <c r="R37" s="8">
        <v>1</v>
      </c>
      <c r="S37" s="8">
        <v>48</v>
      </c>
      <c r="T37" s="8"/>
      <c r="U37" s="8"/>
      <c r="V37" s="8">
        <v>3</v>
      </c>
      <c r="W37" s="45">
        <f>R37*3600+S37*60+V37</f>
        <v>6483</v>
      </c>
      <c r="X37" s="8">
        <v>47018</v>
      </c>
      <c r="Y37" s="8">
        <v>52400</v>
      </c>
      <c r="Z37" s="8">
        <v>56125</v>
      </c>
      <c r="AA37" s="8">
        <v>84235</v>
      </c>
      <c r="AB37" s="8">
        <v>84313</v>
      </c>
      <c r="AC37" s="45">
        <v>84502</v>
      </c>
      <c r="AD37">
        <v>84502</v>
      </c>
      <c r="AE37" s="1">
        <f>AD37-X37</f>
        <v>37484</v>
      </c>
      <c r="AF37" s="23">
        <f>AD37/86400</f>
        <v>0.97803240740740738</v>
      </c>
    </row>
    <row r="38" spans="1:32" x14ac:dyDescent="0.2">
      <c r="A38">
        <v>150</v>
      </c>
      <c r="B38" s="15">
        <v>4</v>
      </c>
      <c r="C38" s="8">
        <v>56</v>
      </c>
      <c r="D38" s="8">
        <v>37</v>
      </c>
      <c r="E38" s="45">
        <f>B38*3600+C38*60+D38</f>
        <v>17797</v>
      </c>
      <c r="F38" s="8"/>
      <c r="G38" s="8"/>
      <c r="H38" s="8"/>
      <c r="I38" s="8"/>
      <c r="J38" s="8"/>
      <c r="K38" s="35"/>
      <c r="L38" s="8"/>
      <c r="M38" s="8"/>
      <c r="N38" s="8"/>
      <c r="O38" s="8"/>
      <c r="P38" s="8"/>
      <c r="Q38" s="35"/>
      <c r="R38" s="8"/>
      <c r="S38" s="8"/>
      <c r="T38" s="8"/>
      <c r="U38" s="8"/>
      <c r="V38" s="8"/>
      <c r="W38" s="35"/>
      <c r="X38" s="8"/>
      <c r="Y38" s="8"/>
      <c r="Z38" s="8"/>
      <c r="AA38" s="8"/>
      <c r="AB38" s="8"/>
      <c r="AC38" s="35"/>
    </row>
    <row r="39" spans="1:32" x14ac:dyDescent="0.2">
      <c r="A39">
        <v>150</v>
      </c>
      <c r="B39" s="15">
        <v>5</v>
      </c>
      <c r="C39" s="8">
        <v>11</v>
      </c>
      <c r="D39" s="8">
        <v>1</v>
      </c>
      <c r="E39" s="45">
        <f>B39*3600+C39*60+D39</f>
        <v>18661</v>
      </c>
      <c r="F39" s="8"/>
      <c r="G39" s="8"/>
      <c r="H39" s="8"/>
      <c r="I39" s="8"/>
      <c r="J39" s="8"/>
      <c r="K39" s="35"/>
      <c r="L39" s="8"/>
      <c r="M39" s="8"/>
      <c r="N39" s="8"/>
      <c r="O39" s="8"/>
      <c r="P39" s="8"/>
      <c r="Q39" s="35"/>
      <c r="R39" s="8"/>
      <c r="S39" s="8"/>
      <c r="T39" s="8"/>
      <c r="U39" s="8"/>
      <c r="V39" s="8"/>
      <c r="W39" s="35"/>
      <c r="X39" s="8"/>
      <c r="Y39" s="8"/>
      <c r="Z39" s="8"/>
      <c r="AA39" s="8"/>
      <c r="AB39" s="8"/>
      <c r="AC39" s="35"/>
    </row>
    <row r="40" spans="1:32" x14ac:dyDescent="0.2">
      <c r="B40" s="15"/>
      <c r="C40" s="8"/>
      <c r="D40" s="8"/>
      <c r="E40" s="35"/>
      <c r="F40" s="8"/>
      <c r="G40" s="8"/>
      <c r="H40" s="8"/>
      <c r="I40" s="8"/>
      <c r="J40" s="8"/>
      <c r="K40" s="35"/>
      <c r="L40" s="8"/>
      <c r="M40" s="8"/>
      <c r="N40" s="8"/>
      <c r="O40" s="8"/>
      <c r="P40" s="8"/>
      <c r="Q40" s="35"/>
      <c r="R40" s="8"/>
      <c r="S40" s="8"/>
      <c r="T40" s="8"/>
      <c r="U40" s="8"/>
      <c r="V40" s="8"/>
      <c r="W40" s="35"/>
      <c r="X40" s="8"/>
      <c r="Y40" s="8"/>
      <c r="Z40" s="8"/>
      <c r="AA40" s="8"/>
      <c r="AB40" s="8"/>
      <c r="AC40" s="35"/>
    </row>
    <row r="41" spans="1:32" x14ac:dyDescent="0.2">
      <c r="B41" s="15"/>
      <c r="C41" s="8"/>
      <c r="D41" s="8"/>
      <c r="E41" s="35"/>
      <c r="F41" s="8"/>
      <c r="G41" s="8"/>
      <c r="H41" s="8"/>
      <c r="I41" s="8"/>
      <c r="J41" s="8"/>
      <c r="K41" s="35"/>
      <c r="L41" s="8"/>
      <c r="M41" s="8"/>
      <c r="N41" s="8"/>
      <c r="O41" s="8"/>
      <c r="P41" s="8"/>
      <c r="Q41" s="35"/>
      <c r="R41" s="8"/>
      <c r="S41" s="8"/>
      <c r="T41" s="8"/>
      <c r="U41" s="8"/>
      <c r="V41" s="8"/>
      <c r="W41" s="35"/>
      <c r="X41" s="8"/>
      <c r="Y41" s="8"/>
      <c r="Z41" s="8"/>
      <c r="AA41" s="8"/>
      <c r="AB41" s="8"/>
      <c r="AC41" s="35"/>
    </row>
    <row r="42" spans="1:32" x14ac:dyDescent="0.2">
      <c r="B42" s="15"/>
      <c r="C42" s="8"/>
      <c r="D42" s="8"/>
      <c r="E42" s="35"/>
      <c r="F42" s="8"/>
      <c r="G42" s="8"/>
      <c r="H42" s="8"/>
      <c r="I42" s="8"/>
      <c r="J42" s="8"/>
      <c r="K42" s="35"/>
      <c r="L42" s="8"/>
      <c r="M42" s="8"/>
      <c r="N42" s="8"/>
      <c r="O42" s="8"/>
      <c r="P42" s="8"/>
      <c r="Q42" s="35"/>
      <c r="R42" s="8"/>
      <c r="S42" s="8"/>
      <c r="T42" s="8"/>
      <c r="U42" s="8"/>
      <c r="V42" s="8"/>
      <c r="W42" s="35"/>
      <c r="X42" s="8"/>
      <c r="Y42" s="8"/>
      <c r="Z42" s="8"/>
      <c r="AA42" s="8"/>
      <c r="AB42" s="8"/>
      <c r="AC42" s="35"/>
    </row>
    <row r="43" spans="1:32" x14ac:dyDescent="0.2">
      <c r="B43" s="15"/>
      <c r="C43" s="8"/>
      <c r="D43" s="8"/>
      <c r="E43" s="35"/>
      <c r="F43" s="8"/>
      <c r="G43" s="8"/>
      <c r="H43" s="8"/>
      <c r="I43" s="8"/>
      <c r="J43" s="8"/>
      <c r="K43" s="35"/>
      <c r="L43" s="8"/>
      <c r="M43" s="8"/>
      <c r="N43" s="8"/>
      <c r="O43" s="8"/>
      <c r="P43" s="8"/>
      <c r="Q43" s="35"/>
      <c r="R43" s="8"/>
      <c r="S43" s="8"/>
      <c r="T43" s="8"/>
      <c r="U43" s="8"/>
      <c r="V43" s="8"/>
      <c r="W43" s="35"/>
      <c r="X43" s="8"/>
      <c r="Y43" s="8"/>
      <c r="Z43" s="8"/>
      <c r="AA43" s="8"/>
      <c r="AB43" s="8"/>
      <c r="AC43" s="35"/>
    </row>
    <row r="44" spans="1:32" x14ac:dyDescent="0.2">
      <c r="B44" s="15"/>
      <c r="C44" s="8"/>
      <c r="D44" s="8"/>
      <c r="E44" s="35"/>
      <c r="F44" s="8"/>
      <c r="G44" s="8"/>
      <c r="H44" s="8"/>
      <c r="I44" s="8"/>
      <c r="J44" s="8"/>
      <c r="K44" s="35"/>
      <c r="L44" s="8"/>
      <c r="M44" s="8"/>
      <c r="N44" s="8"/>
      <c r="O44" s="8"/>
      <c r="P44" s="8"/>
      <c r="Q44" s="35"/>
      <c r="R44" s="8"/>
      <c r="S44" s="8"/>
      <c r="T44" s="8"/>
      <c r="U44" s="8"/>
      <c r="V44" s="8"/>
      <c r="W44" s="35"/>
      <c r="X44" s="8"/>
      <c r="Y44" s="8"/>
      <c r="Z44" s="8"/>
      <c r="AA44" s="8"/>
      <c r="AB44" s="8"/>
      <c r="AC44" s="35"/>
    </row>
    <row r="45" spans="1:32" x14ac:dyDescent="0.2">
      <c r="B45" s="15"/>
      <c r="C45" s="8"/>
      <c r="D45" s="8"/>
      <c r="E45" s="35"/>
      <c r="F45" s="8"/>
      <c r="G45" s="8"/>
      <c r="H45" s="8"/>
      <c r="I45" s="8"/>
      <c r="J45" s="8"/>
      <c r="K45" s="35"/>
      <c r="L45" s="8"/>
      <c r="M45" s="8"/>
      <c r="N45" s="8"/>
      <c r="O45" s="8"/>
      <c r="P45" s="8"/>
      <c r="Q45" s="35"/>
      <c r="R45" s="8"/>
      <c r="S45" s="8"/>
      <c r="T45" s="8"/>
      <c r="U45" s="8"/>
      <c r="V45" s="8"/>
      <c r="W45" s="35"/>
      <c r="X45" s="8"/>
      <c r="Y45" s="8"/>
      <c r="Z45" s="8"/>
      <c r="AA45" s="8"/>
      <c r="AB45" s="8"/>
      <c r="AC45" s="35"/>
    </row>
    <row r="46" spans="1:32" x14ac:dyDescent="0.2">
      <c r="B46" s="15"/>
      <c r="C46" s="8"/>
      <c r="D46" s="8"/>
      <c r="E46" s="35"/>
      <c r="F46" s="8"/>
      <c r="G46" s="8"/>
      <c r="H46" s="8"/>
      <c r="I46" s="8"/>
      <c r="J46" s="8"/>
      <c r="K46" s="35"/>
      <c r="L46" s="8"/>
      <c r="M46" s="8"/>
      <c r="N46" s="8"/>
      <c r="O46" s="8"/>
      <c r="P46" s="8"/>
      <c r="Q46" s="35"/>
      <c r="R46" s="8"/>
      <c r="S46" s="8"/>
      <c r="T46" s="8"/>
      <c r="U46" s="8"/>
      <c r="V46" s="8"/>
      <c r="W46" s="35"/>
      <c r="X46" s="8"/>
      <c r="Y46" s="8"/>
      <c r="Z46" s="8"/>
      <c r="AA46" s="8"/>
      <c r="AB46" s="8"/>
      <c r="AC46" s="35"/>
    </row>
    <row r="47" spans="1:32" x14ac:dyDescent="0.2">
      <c r="B47" s="15"/>
      <c r="C47" s="8"/>
      <c r="D47" s="8"/>
      <c r="E47" s="35"/>
      <c r="F47" s="8"/>
      <c r="G47" s="8"/>
      <c r="H47" s="8"/>
      <c r="I47" s="8"/>
      <c r="J47" s="8"/>
      <c r="K47" s="35"/>
      <c r="L47" s="8"/>
      <c r="M47" s="8"/>
      <c r="N47" s="8"/>
      <c r="O47" s="8"/>
      <c r="P47" s="8"/>
      <c r="Q47" s="35"/>
      <c r="R47" s="8"/>
      <c r="S47" s="8"/>
      <c r="T47" s="8"/>
      <c r="U47" s="8"/>
      <c r="V47" s="8"/>
      <c r="W47" s="35"/>
      <c r="X47" s="8"/>
      <c r="Y47" s="8"/>
      <c r="Z47" s="8"/>
      <c r="AA47" s="8"/>
      <c r="AB47" s="8"/>
      <c r="AC47" s="35"/>
    </row>
    <row r="48" spans="1:32" x14ac:dyDescent="0.2">
      <c r="B48" s="15"/>
      <c r="C48" s="8"/>
      <c r="D48" s="8"/>
      <c r="E48" s="35"/>
      <c r="F48" s="8"/>
      <c r="G48" s="8"/>
      <c r="H48" s="8"/>
      <c r="I48" s="8"/>
      <c r="J48" s="8"/>
      <c r="K48" s="35"/>
      <c r="L48" s="8"/>
      <c r="M48" s="8"/>
      <c r="N48" s="8"/>
      <c r="O48" s="8"/>
      <c r="P48" s="8"/>
      <c r="Q48" s="35"/>
      <c r="R48" s="8"/>
      <c r="S48" s="8"/>
      <c r="T48" s="8"/>
      <c r="U48" s="8"/>
      <c r="V48" s="8"/>
      <c r="W48" s="35"/>
      <c r="X48" s="8"/>
      <c r="Y48" s="8"/>
      <c r="Z48" s="8"/>
      <c r="AA48" s="8"/>
      <c r="AB48" s="8"/>
      <c r="AC48" s="35"/>
    </row>
    <row r="49" spans="1:31" x14ac:dyDescent="0.2">
      <c r="B49" s="15"/>
      <c r="C49" s="8"/>
      <c r="D49" s="8"/>
      <c r="E49" s="35"/>
      <c r="F49" s="8"/>
      <c r="G49" s="8"/>
      <c r="H49" s="8"/>
      <c r="I49" s="8"/>
      <c r="J49" s="8"/>
      <c r="K49" s="35"/>
      <c r="L49" s="8"/>
      <c r="M49" s="8"/>
      <c r="N49" s="8"/>
      <c r="O49" s="8"/>
      <c r="P49" s="8"/>
      <c r="Q49" s="35"/>
      <c r="R49" s="8"/>
      <c r="S49" s="8"/>
      <c r="T49" s="8"/>
      <c r="U49" s="8"/>
      <c r="V49" s="8"/>
      <c r="W49" s="35"/>
      <c r="X49" s="8"/>
      <c r="Y49" s="8"/>
      <c r="Z49" s="8"/>
      <c r="AA49" s="8"/>
      <c r="AB49" s="8"/>
      <c r="AC49" s="35"/>
    </row>
    <row r="50" spans="1:31" x14ac:dyDescent="0.2">
      <c r="B50" s="15"/>
      <c r="C50" s="8"/>
      <c r="D50" s="8"/>
      <c r="E50" s="35"/>
      <c r="F50" s="8"/>
      <c r="G50" s="8"/>
      <c r="H50" s="8"/>
      <c r="I50" s="8"/>
      <c r="J50" s="8"/>
      <c r="K50" s="35"/>
      <c r="L50" s="8"/>
      <c r="M50" s="8"/>
      <c r="N50" s="8"/>
      <c r="O50" s="8"/>
      <c r="P50" s="8"/>
      <c r="Q50" s="35"/>
      <c r="R50" s="8"/>
      <c r="S50" s="8"/>
      <c r="T50" s="8"/>
      <c r="U50" s="8"/>
      <c r="V50" s="8"/>
      <c r="W50" s="35"/>
      <c r="X50" s="8"/>
      <c r="Y50" s="8"/>
      <c r="Z50" s="8"/>
      <c r="AA50" s="8"/>
      <c r="AB50" s="8"/>
      <c r="AC50" s="35"/>
    </row>
    <row r="51" spans="1:31" x14ac:dyDescent="0.2">
      <c r="B51" s="15"/>
      <c r="C51" s="8"/>
      <c r="D51" s="8"/>
      <c r="E51" s="35"/>
      <c r="F51" s="8"/>
      <c r="G51" s="8"/>
      <c r="H51" s="8"/>
      <c r="I51" s="8"/>
      <c r="J51" s="8"/>
      <c r="K51" s="35"/>
      <c r="L51" s="8"/>
      <c r="M51" s="8"/>
      <c r="N51" s="8"/>
      <c r="O51" s="8"/>
      <c r="P51" s="8"/>
      <c r="Q51" s="35"/>
      <c r="R51" s="8"/>
      <c r="S51" s="8"/>
      <c r="T51" s="8"/>
      <c r="U51" s="8"/>
      <c r="V51" s="8"/>
      <c r="W51" s="35"/>
      <c r="X51" s="8"/>
      <c r="Y51" s="8"/>
      <c r="Z51" s="8"/>
      <c r="AA51" s="8"/>
      <c r="AB51" s="8"/>
      <c r="AC51" s="35"/>
    </row>
    <row r="52" spans="1:31" x14ac:dyDescent="0.2">
      <c r="B52" s="15"/>
      <c r="C52" s="8"/>
      <c r="D52" s="8"/>
      <c r="E52" s="35"/>
      <c r="F52" s="8"/>
      <c r="G52" s="8"/>
      <c r="H52" s="8"/>
      <c r="I52" s="8"/>
      <c r="J52" s="8"/>
      <c r="K52" s="35"/>
      <c r="L52" s="8"/>
      <c r="M52" s="8"/>
      <c r="N52" s="8"/>
      <c r="O52" s="8"/>
      <c r="P52" s="8"/>
      <c r="Q52" s="35"/>
      <c r="R52" s="8"/>
      <c r="S52" s="8"/>
      <c r="T52" s="8"/>
      <c r="U52" s="8"/>
      <c r="V52" s="8"/>
      <c r="W52" s="35"/>
      <c r="X52" s="8"/>
      <c r="Y52" s="8"/>
      <c r="Z52" s="8"/>
      <c r="AA52" s="8"/>
      <c r="AB52" s="8"/>
      <c r="AC52" s="35"/>
    </row>
    <row r="53" spans="1:31" x14ac:dyDescent="0.2">
      <c r="B53" s="15"/>
      <c r="C53" s="8"/>
      <c r="D53" s="8"/>
      <c r="E53" s="35"/>
      <c r="F53" s="8"/>
      <c r="G53" s="8"/>
      <c r="H53" s="8"/>
      <c r="I53" s="8"/>
      <c r="J53" s="8"/>
      <c r="K53" s="35"/>
      <c r="L53" s="8"/>
      <c r="M53" s="8"/>
      <c r="N53" s="8"/>
      <c r="O53" s="8"/>
      <c r="P53" s="8"/>
      <c r="Q53" s="35"/>
      <c r="R53" s="8"/>
      <c r="S53" s="8"/>
      <c r="T53" s="8"/>
      <c r="U53" s="8"/>
      <c r="V53" s="8"/>
      <c r="W53" s="35"/>
      <c r="X53" s="8"/>
      <c r="Y53" s="8"/>
      <c r="Z53" s="8"/>
      <c r="AA53" s="8"/>
      <c r="AB53" s="8"/>
      <c r="AC53" s="35"/>
    </row>
    <row r="54" spans="1:31" x14ac:dyDescent="0.2">
      <c r="B54" s="15"/>
      <c r="C54" s="8"/>
      <c r="D54" s="8"/>
      <c r="E54" s="35"/>
      <c r="F54" s="8"/>
      <c r="G54" s="8"/>
      <c r="H54" s="8"/>
      <c r="I54" s="8"/>
      <c r="J54" s="8"/>
      <c r="K54" s="35"/>
      <c r="L54" s="8"/>
      <c r="M54" s="8"/>
      <c r="N54" s="8"/>
      <c r="O54" s="8"/>
      <c r="P54" s="8"/>
      <c r="Q54" s="35"/>
      <c r="R54" s="8"/>
      <c r="S54" s="8"/>
      <c r="T54" s="8"/>
      <c r="U54" s="8"/>
      <c r="V54" s="8"/>
      <c r="W54" s="35"/>
      <c r="X54" s="8"/>
      <c r="Y54" s="8"/>
      <c r="Z54" s="8"/>
      <c r="AA54" s="8"/>
      <c r="AB54" s="8"/>
      <c r="AC54" s="35"/>
    </row>
    <row r="55" spans="1:31" x14ac:dyDescent="0.2">
      <c r="B55" s="15"/>
      <c r="C55" s="8"/>
      <c r="D55" s="8"/>
      <c r="E55" s="35"/>
      <c r="F55" s="8"/>
      <c r="G55" s="8"/>
      <c r="H55" s="8"/>
      <c r="I55" s="8"/>
      <c r="J55" s="8"/>
      <c r="K55" s="35"/>
      <c r="L55" s="8"/>
      <c r="M55" s="8"/>
      <c r="N55" s="8"/>
      <c r="O55" s="8"/>
      <c r="P55" s="8"/>
      <c r="Q55" s="35"/>
      <c r="R55" s="8"/>
      <c r="S55" s="8"/>
      <c r="T55" s="8"/>
      <c r="U55" s="8"/>
      <c r="V55" s="8"/>
      <c r="W55" s="35"/>
      <c r="X55" s="8"/>
      <c r="Y55" s="8"/>
      <c r="Z55" s="8"/>
      <c r="AA55" s="8"/>
      <c r="AB55" s="8"/>
      <c r="AC55" s="35"/>
    </row>
    <row r="56" spans="1:31" x14ac:dyDescent="0.2">
      <c r="B56" s="15"/>
      <c r="C56" s="8"/>
      <c r="D56" s="8"/>
      <c r="E56" s="35"/>
      <c r="F56" s="8"/>
      <c r="G56" s="8"/>
      <c r="H56" s="8"/>
      <c r="I56" s="8"/>
      <c r="J56" s="8"/>
      <c r="K56" s="35"/>
      <c r="L56" s="8"/>
      <c r="M56" s="8"/>
      <c r="N56" s="8"/>
      <c r="O56" s="8"/>
      <c r="P56" s="8"/>
      <c r="Q56" s="35"/>
      <c r="R56" s="8"/>
      <c r="S56" s="8"/>
      <c r="T56" s="8"/>
      <c r="U56" s="8"/>
      <c r="V56" s="8"/>
      <c r="W56" s="35"/>
      <c r="X56" s="8"/>
      <c r="Y56" s="8"/>
      <c r="Z56" s="8"/>
      <c r="AA56" s="8"/>
      <c r="AB56" s="8"/>
      <c r="AC56" s="35"/>
    </row>
    <row r="57" spans="1:31" x14ac:dyDescent="0.2">
      <c r="B57" s="15"/>
      <c r="C57" s="8"/>
      <c r="D57" s="8"/>
      <c r="E57" s="35"/>
      <c r="F57" s="8"/>
      <c r="G57" s="8"/>
      <c r="H57" s="8"/>
      <c r="I57" s="8"/>
      <c r="J57" s="8"/>
      <c r="K57" s="35"/>
      <c r="L57" s="8"/>
      <c r="M57" s="8"/>
      <c r="N57" s="8"/>
      <c r="O57" s="8"/>
      <c r="P57" s="8"/>
      <c r="Q57" s="35"/>
      <c r="R57" s="8"/>
      <c r="S57" s="8"/>
      <c r="T57" s="8"/>
      <c r="U57" s="8"/>
      <c r="V57" s="8"/>
      <c r="W57" s="35"/>
      <c r="X57" s="8"/>
      <c r="Y57" s="8"/>
      <c r="Z57" s="8"/>
      <c r="AA57" s="8"/>
      <c r="AB57" s="8"/>
      <c r="AC57" s="35"/>
    </row>
    <row r="58" spans="1:31" x14ac:dyDescent="0.2">
      <c r="B58" s="15"/>
      <c r="C58" s="8"/>
      <c r="D58" s="8"/>
      <c r="E58" s="35"/>
      <c r="F58" s="8"/>
      <c r="G58" s="8"/>
      <c r="H58" s="8"/>
      <c r="I58" s="8"/>
      <c r="J58" s="8"/>
      <c r="K58" s="35"/>
      <c r="L58" s="8"/>
      <c r="M58" s="8"/>
      <c r="N58" s="8"/>
      <c r="O58" s="8"/>
      <c r="P58" s="8"/>
      <c r="Q58" s="35"/>
      <c r="R58" s="8"/>
      <c r="S58" s="8"/>
      <c r="T58" s="8"/>
      <c r="U58" s="8"/>
      <c r="V58" s="8"/>
      <c r="W58" s="35"/>
      <c r="X58" s="8"/>
      <c r="Y58" s="8"/>
      <c r="Z58" s="8"/>
      <c r="AA58" s="8"/>
      <c r="AB58" s="8"/>
      <c r="AC58" s="35"/>
    </row>
    <row r="59" spans="1:31" x14ac:dyDescent="0.2">
      <c r="B59" s="15"/>
      <c r="C59" s="8"/>
      <c r="D59" s="8"/>
      <c r="E59" s="35"/>
      <c r="F59" s="8"/>
      <c r="G59" s="8"/>
      <c r="H59" s="8"/>
      <c r="I59" s="8"/>
      <c r="J59" s="8"/>
      <c r="K59" s="35"/>
      <c r="L59" s="8"/>
      <c r="M59" s="8"/>
      <c r="N59" s="8"/>
      <c r="O59" s="8"/>
      <c r="P59" s="8"/>
      <c r="Q59" s="35"/>
      <c r="R59" s="8"/>
      <c r="S59" s="8"/>
      <c r="T59" s="8"/>
      <c r="U59" s="8"/>
      <c r="V59" s="8"/>
      <c r="W59" s="35"/>
      <c r="X59" s="8"/>
      <c r="Y59" s="8"/>
      <c r="Z59" s="8"/>
      <c r="AA59" s="8"/>
      <c r="AB59" s="8"/>
      <c r="AC59" s="35"/>
    </row>
    <row r="60" spans="1:31" x14ac:dyDescent="0.2">
      <c r="B60" s="49"/>
      <c r="C60" s="50"/>
      <c r="D60" s="50"/>
      <c r="E60" s="51"/>
      <c r="F60" s="50"/>
      <c r="G60" s="50"/>
      <c r="H60" s="50"/>
      <c r="I60" s="50"/>
      <c r="J60" s="50"/>
      <c r="K60" s="51"/>
      <c r="L60" s="50"/>
      <c r="M60" s="50"/>
      <c r="N60" s="50"/>
      <c r="O60" s="50"/>
      <c r="P60" s="50"/>
      <c r="Q60" s="51"/>
      <c r="R60" s="50"/>
      <c r="S60" s="50"/>
      <c r="T60" s="50"/>
      <c r="U60" s="50"/>
      <c r="V60" s="50"/>
      <c r="W60" s="51"/>
      <c r="X60" s="50"/>
      <c r="Y60" s="50"/>
      <c r="Z60" s="50"/>
      <c r="AA60" s="50"/>
      <c r="AB60" s="50"/>
      <c r="AC60" s="51"/>
    </row>
    <row r="61" spans="1:31" x14ac:dyDescent="0.2">
      <c r="A61" t="s">
        <v>43</v>
      </c>
      <c r="B61" s="1"/>
      <c r="C61" s="1"/>
      <c r="D61" s="1"/>
      <c r="E61" s="1">
        <f>AVERAGE(E37:E60)</f>
        <v>19139</v>
      </c>
      <c r="F61" s="10"/>
      <c r="G61" s="23"/>
      <c r="H61" s="23"/>
      <c r="I61" s="23"/>
      <c r="J61" s="23"/>
      <c r="K61" s="1">
        <f>AVERAGE(K37:K60)</f>
        <v>6483</v>
      </c>
      <c r="L61" s="10">
        <f>AVERAGE(L37:L60)</f>
        <v>1</v>
      </c>
      <c r="M61" s="23"/>
      <c r="N61" s="23"/>
      <c r="O61" s="23"/>
      <c r="P61" s="23"/>
      <c r="Q61" s="23"/>
      <c r="R61" s="23"/>
      <c r="S61" s="23"/>
      <c r="T61" s="10" t="e">
        <f>AVERAGE(T37:T60)</f>
        <v>#DIV/0!</v>
      </c>
      <c r="V61" s="10"/>
      <c r="W61" s="10"/>
      <c r="X61" s="10">
        <f>AVERAGE(X37:X60)</f>
        <v>47018</v>
      </c>
      <c r="Y61" s="10">
        <f t="shared" ref="Y61:AE61" si="11">AVERAGE(Y37:Y60)</f>
        <v>52400</v>
      </c>
      <c r="Z61" s="10">
        <f t="shared" si="11"/>
        <v>56125</v>
      </c>
      <c r="AA61" s="10">
        <f t="shared" si="11"/>
        <v>84235</v>
      </c>
      <c r="AB61" s="10">
        <f t="shared" si="11"/>
        <v>84313</v>
      </c>
      <c r="AC61" s="10">
        <f t="shared" si="11"/>
        <v>84502</v>
      </c>
      <c r="AD61" s="10">
        <f t="shared" si="11"/>
        <v>84502</v>
      </c>
      <c r="AE61" s="10">
        <f t="shared" si="11"/>
        <v>37484</v>
      </c>
    </row>
    <row r="62" spans="1:31" x14ac:dyDescent="0.2">
      <c r="A62" t="s">
        <v>99</v>
      </c>
      <c r="B62" s="10"/>
      <c r="C62" s="10"/>
      <c r="D62" s="10"/>
      <c r="E62" s="10">
        <f>STDEV(E37:E60)</f>
        <v>1634.2961787876761</v>
      </c>
      <c r="F62" s="10"/>
      <c r="G62" s="10"/>
      <c r="H62" s="10"/>
      <c r="I62" s="10"/>
      <c r="J62" s="10"/>
      <c r="K62" s="10" t="e">
        <f>STDEV(K37:K60)</f>
        <v>#DIV/0!</v>
      </c>
      <c r="L62" s="10" t="e">
        <f>STDEV(L37:L60)</f>
        <v>#DIV/0!</v>
      </c>
      <c r="M62" s="10"/>
      <c r="N62" s="10"/>
      <c r="O62" s="10"/>
      <c r="P62" s="10"/>
      <c r="Q62" s="10"/>
      <c r="R62" s="10"/>
      <c r="S62" s="10"/>
      <c r="T62" s="10" t="e">
        <f>STDEV(T37:T60)</f>
        <v>#DIV/0!</v>
      </c>
      <c r="V62" s="10"/>
      <c r="W62" s="10"/>
      <c r="X62" s="10" t="e">
        <f>STDEV(X37:X60)</f>
        <v>#DIV/0!</v>
      </c>
      <c r="Y62" s="10" t="e">
        <f t="shared" ref="Y62:AE62" si="12">STDEV(Y37:Y60)</f>
        <v>#DIV/0!</v>
      </c>
      <c r="Z62" s="10" t="e">
        <f t="shared" si="12"/>
        <v>#DIV/0!</v>
      </c>
      <c r="AA62" s="10" t="e">
        <f t="shared" si="12"/>
        <v>#DIV/0!</v>
      </c>
      <c r="AB62" s="10" t="e">
        <f t="shared" si="12"/>
        <v>#DIV/0!</v>
      </c>
      <c r="AC62" s="10" t="e">
        <f t="shared" si="12"/>
        <v>#DIV/0!</v>
      </c>
      <c r="AD62" s="10" t="e">
        <f t="shared" si="12"/>
        <v>#DIV/0!</v>
      </c>
      <c r="AE62" s="10" t="e">
        <f t="shared" si="12"/>
        <v>#DIV/0!</v>
      </c>
    </row>
    <row r="63" spans="1:31" x14ac:dyDescent="0.2">
      <c r="A63" t="s">
        <v>45</v>
      </c>
      <c r="B63" s="23"/>
      <c r="C63" s="10"/>
      <c r="D63" s="10"/>
      <c r="E63" s="10">
        <f>E61+E62</f>
        <v>20773.296178787677</v>
      </c>
      <c r="F63" s="10"/>
      <c r="G63" s="10"/>
      <c r="H63" s="10"/>
      <c r="I63" s="10"/>
      <c r="J63" s="10"/>
      <c r="K63" s="10" t="e">
        <f t="shared" ref="K63:T63" si="13">K61+K62</f>
        <v>#DIV/0!</v>
      </c>
      <c r="L63" s="10" t="e">
        <f t="shared" ref="L63" si="14">L61+L62</f>
        <v>#DIV/0!</v>
      </c>
      <c r="M63" s="10"/>
      <c r="N63" s="10"/>
      <c r="O63" s="10"/>
      <c r="P63" s="10"/>
      <c r="Q63" s="10"/>
      <c r="R63" s="10"/>
      <c r="S63" s="10"/>
      <c r="T63" s="10" t="e">
        <f t="shared" si="13"/>
        <v>#DIV/0!</v>
      </c>
      <c r="X63" s="10" t="e">
        <f t="shared" ref="X63:AE63" si="15">X61+X62</f>
        <v>#DIV/0!</v>
      </c>
      <c r="Y63" s="10" t="e">
        <f t="shared" si="15"/>
        <v>#DIV/0!</v>
      </c>
      <c r="Z63" s="10" t="e">
        <f t="shared" si="15"/>
        <v>#DIV/0!</v>
      </c>
      <c r="AA63" s="10" t="e">
        <f t="shared" si="15"/>
        <v>#DIV/0!</v>
      </c>
      <c r="AB63" s="10" t="e">
        <f t="shared" si="15"/>
        <v>#DIV/0!</v>
      </c>
      <c r="AC63" s="10" t="e">
        <f t="shared" si="15"/>
        <v>#DIV/0!</v>
      </c>
      <c r="AD63" s="10" t="e">
        <f t="shared" si="15"/>
        <v>#DIV/0!</v>
      </c>
      <c r="AE63" s="10" t="e">
        <f t="shared" si="15"/>
        <v>#DIV/0!</v>
      </c>
    </row>
    <row r="64" spans="1:31" x14ac:dyDescent="0.2">
      <c r="L64" s="10"/>
    </row>
    <row r="65" spans="6:12" x14ac:dyDescent="0.2">
      <c r="F65" s="20"/>
      <c r="G65" s="21"/>
      <c r="H65" s="20"/>
      <c r="I65" s="20"/>
      <c r="J65" s="3"/>
    </row>
    <row r="66" spans="6:12" x14ac:dyDescent="0.2">
      <c r="F66" s="20"/>
      <c r="G66" s="21"/>
      <c r="H66" s="20"/>
      <c r="I66" s="20"/>
      <c r="J66" s="30"/>
      <c r="K66" s="32"/>
      <c r="L66" s="27"/>
    </row>
  </sheetData>
  <mergeCells count="3">
    <mergeCell ref="M31:W31"/>
    <mergeCell ref="B35:E35"/>
    <mergeCell ref="F35:K3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5"/>
  <sheetViews>
    <sheetView workbookViewId="0">
      <selection activeCell="B6" sqref="B6"/>
    </sheetView>
  </sheetViews>
  <sheetFormatPr defaultRowHeight="15" x14ac:dyDescent="0.2"/>
  <cols>
    <col min="1" max="1" width="16.41015625" bestFit="1" customWidth="1"/>
    <col min="3" max="3" width="16.0078125" customWidth="1"/>
    <col min="4" max="4" width="14.796875" bestFit="1" customWidth="1"/>
    <col min="5" max="5" width="19.234375" bestFit="1" customWidth="1"/>
    <col min="6" max="6" width="11.97265625" bestFit="1" customWidth="1"/>
    <col min="7" max="7" width="8.875" bestFit="1" customWidth="1"/>
    <col min="8" max="9" width="9.81640625" bestFit="1" customWidth="1"/>
  </cols>
  <sheetData>
    <row r="1" spans="1:13" x14ac:dyDescent="0.2">
      <c r="C1" s="55" t="s">
        <v>32</v>
      </c>
      <c r="D1" s="55"/>
      <c r="E1" s="55"/>
    </row>
    <row r="2" spans="1:13" x14ac:dyDescent="0.2">
      <c r="B2" t="s">
        <v>30</v>
      </c>
      <c r="C2" s="34" t="str">
        <f>A19</f>
        <v>Communotron 16</v>
      </c>
      <c r="D2" s="33" t="str">
        <f>A20</f>
        <v>Comms DTS-M1</v>
      </c>
      <c r="E2" t="s">
        <v>116</v>
      </c>
      <c r="F2" s="55"/>
      <c r="G2" s="55"/>
      <c r="H2" s="55"/>
      <c r="I2" s="55"/>
    </row>
    <row r="3" spans="1:13" x14ac:dyDescent="0.2">
      <c r="F3" s="5"/>
      <c r="G3" s="5"/>
      <c r="H3" s="5"/>
      <c r="I3" s="5"/>
      <c r="L3" t="s">
        <v>40</v>
      </c>
    </row>
    <row r="4" spans="1:13" x14ac:dyDescent="0.2">
      <c r="A4" t="s">
        <v>26</v>
      </c>
      <c r="B4">
        <v>8</v>
      </c>
      <c r="C4">
        <f t="shared" ref="C4:C12" si="0">B4/$B$19*$C$19</f>
        <v>40</v>
      </c>
      <c r="D4">
        <f t="shared" ref="D4:E11" si="1">$B4/D$16*D$17</f>
        <v>40</v>
      </c>
      <c r="E4">
        <f t="shared" si="1"/>
        <v>32</v>
      </c>
      <c r="L4" t="s">
        <v>24</v>
      </c>
      <c r="M4">
        <v>1750</v>
      </c>
    </row>
    <row r="5" spans="1:13" x14ac:dyDescent="0.2">
      <c r="A5" t="s">
        <v>27</v>
      </c>
      <c r="B5">
        <v>12</v>
      </c>
      <c r="C5">
        <f t="shared" si="0"/>
        <v>60</v>
      </c>
      <c r="D5">
        <f t="shared" si="1"/>
        <v>60</v>
      </c>
      <c r="E5">
        <f t="shared" si="1"/>
        <v>48</v>
      </c>
      <c r="L5" t="s">
        <v>26</v>
      </c>
      <c r="M5">
        <v>10</v>
      </c>
    </row>
    <row r="6" spans="1:13" x14ac:dyDescent="0.2">
      <c r="A6" t="s">
        <v>136</v>
      </c>
      <c r="B6">
        <v>5</v>
      </c>
      <c r="C6">
        <f t="shared" si="0"/>
        <v>25</v>
      </c>
      <c r="D6">
        <f t="shared" si="1"/>
        <v>25</v>
      </c>
      <c r="E6">
        <f t="shared" si="1"/>
        <v>20</v>
      </c>
      <c r="F6" t="s">
        <v>143</v>
      </c>
      <c r="L6" t="s">
        <v>27</v>
      </c>
      <c r="M6">
        <v>30</v>
      </c>
    </row>
    <row r="7" spans="1:13" x14ac:dyDescent="0.2">
      <c r="A7" t="s">
        <v>137</v>
      </c>
      <c r="B7">
        <v>16</v>
      </c>
      <c r="C7">
        <f t="shared" si="0"/>
        <v>80</v>
      </c>
      <c r="D7">
        <f t="shared" si="1"/>
        <v>80</v>
      </c>
      <c r="E7">
        <f t="shared" si="1"/>
        <v>64</v>
      </c>
      <c r="L7" t="s">
        <v>25</v>
      </c>
      <c r="M7">
        <v>225</v>
      </c>
    </row>
    <row r="8" spans="1:13" x14ac:dyDescent="0.2">
      <c r="A8" t="s">
        <v>25</v>
      </c>
      <c r="B8">
        <v>45</v>
      </c>
      <c r="C8">
        <f t="shared" si="0"/>
        <v>225</v>
      </c>
      <c r="D8">
        <f t="shared" si="1"/>
        <v>225</v>
      </c>
      <c r="E8">
        <f t="shared" si="1"/>
        <v>180</v>
      </c>
    </row>
    <row r="9" spans="1:13" x14ac:dyDescent="0.2">
      <c r="A9" t="s">
        <v>24</v>
      </c>
      <c r="B9">
        <v>50</v>
      </c>
      <c r="C9">
        <f t="shared" si="0"/>
        <v>250</v>
      </c>
      <c r="D9">
        <f t="shared" si="1"/>
        <v>250</v>
      </c>
      <c r="E9">
        <f t="shared" si="1"/>
        <v>200</v>
      </c>
      <c r="L9" t="s">
        <v>41</v>
      </c>
      <c r="M9">
        <f>8*60*5-10</f>
        <v>2390</v>
      </c>
    </row>
    <row r="10" spans="1:13" x14ac:dyDescent="0.2">
      <c r="A10" t="s">
        <v>117</v>
      </c>
      <c r="B10">
        <v>400</v>
      </c>
      <c r="C10">
        <f t="shared" si="0"/>
        <v>2000</v>
      </c>
      <c r="D10">
        <f t="shared" si="1"/>
        <v>2000</v>
      </c>
      <c r="E10">
        <f t="shared" si="1"/>
        <v>1600</v>
      </c>
    </row>
    <row r="11" spans="1:13" x14ac:dyDescent="0.2">
      <c r="A11" t="s">
        <v>106</v>
      </c>
      <c r="B11">
        <v>1200</v>
      </c>
      <c r="C11">
        <f t="shared" si="0"/>
        <v>6000</v>
      </c>
      <c r="D11">
        <f t="shared" si="1"/>
        <v>6000</v>
      </c>
      <c r="E11">
        <f t="shared" si="1"/>
        <v>4800</v>
      </c>
    </row>
    <row r="12" spans="1:13" x14ac:dyDescent="0.2">
      <c r="A12" t="s">
        <v>236</v>
      </c>
      <c r="B12">
        <v>32</v>
      </c>
      <c r="C12">
        <f t="shared" si="0"/>
        <v>160</v>
      </c>
      <c r="F12">
        <v>0.5</v>
      </c>
      <c r="G12">
        <v>1.5</v>
      </c>
    </row>
    <row r="13" spans="1:13" x14ac:dyDescent="0.2">
      <c r="A13" t="s">
        <v>237</v>
      </c>
      <c r="B13">
        <v>18</v>
      </c>
    </row>
    <row r="14" spans="1:13" x14ac:dyDescent="0.2">
      <c r="A14" t="s">
        <v>246</v>
      </c>
      <c r="F14">
        <f>6*60</f>
        <v>360</v>
      </c>
    </row>
    <row r="16" spans="1:13" x14ac:dyDescent="0.2">
      <c r="A16" t="s">
        <v>28</v>
      </c>
      <c r="C16" s="9">
        <v>2</v>
      </c>
      <c r="D16" s="9">
        <v>2</v>
      </c>
      <c r="E16">
        <v>2.5</v>
      </c>
    </row>
    <row r="17" spans="1:13" x14ac:dyDescent="0.2">
      <c r="A17" t="s">
        <v>29</v>
      </c>
      <c r="C17">
        <v>10</v>
      </c>
      <c r="D17">
        <v>10</v>
      </c>
      <c r="E17">
        <v>10</v>
      </c>
    </row>
    <row r="18" spans="1:13" x14ac:dyDescent="0.2">
      <c r="B18" t="s">
        <v>238</v>
      </c>
      <c r="C18" t="s">
        <v>29</v>
      </c>
      <c r="D18" t="s">
        <v>239</v>
      </c>
      <c r="E18" t="s">
        <v>240</v>
      </c>
      <c r="F18" t="s">
        <v>241</v>
      </c>
      <c r="G18" t="s">
        <v>242</v>
      </c>
      <c r="M18">
        <f>SUM(M4:M6)</f>
        <v>1790</v>
      </c>
    </row>
    <row r="19" spans="1:13" x14ac:dyDescent="0.2">
      <c r="A19" t="s">
        <v>33</v>
      </c>
      <c r="B19">
        <v>2</v>
      </c>
      <c r="C19">
        <v>10</v>
      </c>
      <c r="D19">
        <v>3.3332999999999999</v>
      </c>
      <c r="E19">
        <v>20</v>
      </c>
      <c r="F19">
        <v>2000000</v>
      </c>
      <c r="G19">
        <f>63.2*1000000</f>
        <v>63200000</v>
      </c>
      <c r="H19">
        <f>316*1000000</f>
        <v>316000000</v>
      </c>
      <c r="I19">
        <f>707*1000000</f>
        <v>707000000</v>
      </c>
    </row>
    <row r="20" spans="1:13" x14ac:dyDescent="0.2">
      <c r="A20" t="s">
        <v>34</v>
      </c>
      <c r="B20">
        <v>2</v>
      </c>
      <c r="C20">
        <v>10</v>
      </c>
      <c r="D20">
        <v>5.7142999999999997</v>
      </c>
      <c r="E20">
        <v>34.299999999999997</v>
      </c>
      <c r="F20">
        <f>8*1000000000</f>
        <v>8000000000</v>
      </c>
    </row>
    <row r="21" spans="1:13" x14ac:dyDescent="0.2">
      <c r="A21" t="s">
        <v>116</v>
      </c>
      <c r="B21">
        <v>2</v>
      </c>
      <c r="C21">
        <v>10</v>
      </c>
      <c r="D21">
        <v>20</v>
      </c>
      <c r="E21">
        <v>200</v>
      </c>
      <c r="F21">
        <f>400*1000000000</f>
        <v>400000000000</v>
      </c>
    </row>
    <row r="22" spans="1:13" x14ac:dyDescent="0.2">
      <c r="A22" t="s">
        <v>243</v>
      </c>
      <c r="B22">
        <v>3</v>
      </c>
      <c r="D22">
        <v>20</v>
      </c>
      <c r="E22">
        <v>133.30000000000001</v>
      </c>
      <c r="F22">
        <f>60*1000000000</f>
        <v>60000000000</v>
      </c>
    </row>
    <row r="23" spans="1:13" x14ac:dyDescent="0.2">
      <c r="A23" t="s">
        <v>194</v>
      </c>
      <c r="B23">
        <v>2</v>
      </c>
      <c r="D23">
        <v>5.7142999999999997</v>
      </c>
      <c r="E23">
        <v>51.4</v>
      </c>
      <c r="F23">
        <f>20*1000000</f>
        <v>20000000</v>
      </c>
    </row>
    <row r="24" spans="1:13" x14ac:dyDescent="0.2">
      <c r="A24" t="s">
        <v>244</v>
      </c>
      <c r="B24">
        <v>4</v>
      </c>
      <c r="D24">
        <v>11.428599999999999</v>
      </c>
      <c r="E24">
        <v>68.599999999999994</v>
      </c>
      <c r="F24">
        <f>400*1000000000</f>
        <v>400000000000</v>
      </c>
    </row>
    <row r="25" spans="1:13" x14ac:dyDescent="0.2">
      <c r="A25" t="s">
        <v>245</v>
      </c>
      <c r="B25">
        <v>2</v>
      </c>
      <c r="D25">
        <v>5.7142999999999997</v>
      </c>
      <c r="E25">
        <v>68.599999999999994</v>
      </c>
      <c r="F25">
        <f>60*1000000000</f>
        <v>60000000000</v>
      </c>
    </row>
    <row r="26" spans="1:13" x14ac:dyDescent="0.2">
      <c r="A26" t="s">
        <v>193</v>
      </c>
      <c r="B26">
        <v>1</v>
      </c>
      <c r="D26">
        <v>2.8571</v>
      </c>
      <c r="E26">
        <v>68.599999999999994</v>
      </c>
      <c r="F26">
        <f>8*1000000000</f>
        <v>8000000000</v>
      </c>
    </row>
    <row r="28" spans="1:13" x14ac:dyDescent="0.2">
      <c r="A28" t="s">
        <v>35</v>
      </c>
    </row>
    <row r="29" spans="1:13" x14ac:dyDescent="0.2">
      <c r="A29" t="s">
        <v>36</v>
      </c>
      <c r="B29" t="s">
        <v>31</v>
      </c>
      <c r="C29" t="s">
        <v>37</v>
      </c>
      <c r="D29" t="s">
        <v>51</v>
      </c>
      <c r="E29" t="s">
        <v>142</v>
      </c>
    </row>
    <row r="30" spans="1:13" x14ac:dyDescent="0.2">
      <c r="A30" t="s">
        <v>38</v>
      </c>
      <c r="B30">
        <v>50</v>
      </c>
      <c r="C30">
        <v>0.05</v>
      </c>
      <c r="E30" s="10">
        <f>B30/C30/1000</f>
        <v>1</v>
      </c>
    </row>
    <row r="31" spans="1:13" x14ac:dyDescent="0.2">
      <c r="A31" t="s">
        <v>39</v>
      </c>
      <c r="B31">
        <v>400</v>
      </c>
      <c r="C31">
        <v>0.3</v>
      </c>
      <c r="D31">
        <f>C31/C30</f>
        <v>5.9999999999999991</v>
      </c>
      <c r="E31" s="10">
        <f>B31/C31/1000</f>
        <v>1.3333333333333335</v>
      </c>
    </row>
    <row r="32" spans="1:13" x14ac:dyDescent="0.2">
      <c r="A32" t="s">
        <v>65</v>
      </c>
      <c r="B32">
        <v>800</v>
      </c>
      <c r="C32">
        <v>0.4</v>
      </c>
      <c r="D32" s="9">
        <f>C32/C31</f>
        <v>1.3333333333333335</v>
      </c>
      <c r="E32" s="10">
        <f>B32/C32/1000</f>
        <v>2</v>
      </c>
    </row>
    <row r="33" spans="1:5" x14ac:dyDescent="0.2">
      <c r="A33" t="s">
        <v>75</v>
      </c>
      <c r="B33">
        <v>3200</v>
      </c>
      <c r="C33">
        <v>1.6</v>
      </c>
      <c r="D33" s="9">
        <f>C33/C32</f>
        <v>4</v>
      </c>
      <c r="E33" s="10">
        <f>B33/C33/1000</f>
        <v>2</v>
      </c>
    </row>
    <row r="34" spans="1:5" x14ac:dyDescent="0.2">
      <c r="A34" t="s">
        <v>77</v>
      </c>
      <c r="B34">
        <v>200</v>
      </c>
      <c r="C34">
        <v>0.1</v>
      </c>
      <c r="D34" s="9"/>
      <c r="E34" s="10">
        <f>B34/C34/1000</f>
        <v>2</v>
      </c>
    </row>
    <row r="35" spans="1:5" x14ac:dyDescent="0.2">
      <c r="D35" s="9"/>
    </row>
    <row r="36" spans="1:5" x14ac:dyDescent="0.2">
      <c r="B36" t="s">
        <v>49</v>
      </c>
    </row>
    <row r="37" spans="1:5" x14ac:dyDescent="0.2">
      <c r="A37" t="s">
        <v>50</v>
      </c>
      <c r="B37" s="9">
        <v>10</v>
      </c>
    </row>
    <row r="38" spans="1:5" x14ac:dyDescent="0.2">
      <c r="A38" t="s">
        <v>48</v>
      </c>
      <c r="B38" s="9">
        <v>5</v>
      </c>
    </row>
    <row r="39" spans="1:5" x14ac:dyDescent="0.2">
      <c r="A39" t="s">
        <v>63</v>
      </c>
      <c r="B39">
        <v>2.5</v>
      </c>
      <c r="C39" s="9"/>
    </row>
    <row r="40" spans="1:5" x14ac:dyDescent="0.2">
      <c r="A40" t="s">
        <v>80</v>
      </c>
      <c r="B40" s="9">
        <v>3</v>
      </c>
    </row>
    <row r="41" spans="1:5" x14ac:dyDescent="0.2">
      <c r="A41" t="s">
        <v>105</v>
      </c>
      <c r="B41">
        <v>16.7</v>
      </c>
    </row>
    <row r="42" spans="1:5" x14ac:dyDescent="0.2">
      <c r="A42" t="s">
        <v>119</v>
      </c>
      <c r="B42" s="9">
        <v>2</v>
      </c>
    </row>
    <row r="44" spans="1:5" x14ac:dyDescent="0.2">
      <c r="A44" t="s">
        <v>121</v>
      </c>
      <c r="B44" t="s">
        <v>122</v>
      </c>
    </row>
    <row r="45" spans="1:5" x14ac:dyDescent="0.2">
      <c r="A45" t="s">
        <v>123</v>
      </c>
      <c r="B45" s="9">
        <v>54</v>
      </c>
    </row>
  </sheetData>
  <sortState xmlns:xlrd2="http://schemas.microsoft.com/office/spreadsheetml/2017/richdata2" ref="A4:E11">
    <sortCondition ref="B4:B11"/>
  </sortState>
  <mergeCells count="3">
    <mergeCell ref="F2:G2"/>
    <mergeCell ref="H2:I2"/>
    <mergeCell ref="C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59"/>
  <sheetViews>
    <sheetView topLeftCell="A19" workbookViewId="0">
      <selection activeCell="H40" sqref="H40"/>
    </sheetView>
  </sheetViews>
  <sheetFormatPr defaultRowHeight="15" x14ac:dyDescent="0.2"/>
  <cols>
    <col min="1" max="1" width="11.703125" customWidth="1"/>
    <col min="2" max="2" width="12.5078125" customWidth="1"/>
    <col min="3" max="3" width="11.296875" customWidth="1"/>
    <col min="4" max="4" width="10.0859375" customWidth="1"/>
    <col min="5" max="5" width="9.55078125" bestFit="1" customWidth="1"/>
    <col min="6" max="6" width="12.5078125" bestFit="1" customWidth="1"/>
    <col min="7" max="7" width="11.703125" customWidth="1"/>
    <col min="8" max="8" width="12.23828125" bestFit="1" customWidth="1"/>
    <col min="9" max="9" width="13.1796875" customWidth="1"/>
    <col min="10" max="10" width="12.10546875" customWidth="1"/>
    <col min="11" max="11" width="12.64453125" bestFit="1" customWidth="1"/>
    <col min="12" max="12" width="11.1640625" customWidth="1"/>
    <col min="13" max="13" width="18.5625" bestFit="1" customWidth="1"/>
  </cols>
  <sheetData>
    <row r="1" spans="2:20" ht="41.25" x14ac:dyDescent="0.2">
      <c r="B1" s="16" t="s">
        <v>69</v>
      </c>
      <c r="C1" s="18" t="s">
        <v>73</v>
      </c>
      <c r="D1" s="18" t="s">
        <v>70</v>
      </c>
      <c r="E1" s="18" t="s">
        <v>8</v>
      </c>
      <c r="F1" s="19" t="s">
        <v>74</v>
      </c>
      <c r="H1" s="3" t="s">
        <v>71</v>
      </c>
      <c r="I1" t="s">
        <v>19</v>
      </c>
      <c r="J1" t="s">
        <v>9</v>
      </c>
      <c r="L1" s="2" t="s">
        <v>128</v>
      </c>
      <c r="M1" t="s">
        <v>11</v>
      </c>
      <c r="Q1" t="s">
        <v>12</v>
      </c>
    </row>
    <row r="2" spans="2:20" x14ac:dyDescent="0.2">
      <c r="C2" s="26">
        <v>818.79</v>
      </c>
      <c r="P2" t="s">
        <v>18</v>
      </c>
      <c r="Q2" t="s">
        <v>14</v>
      </c>
      <c r="R2" t="s">
        <v>15</v>
      </c>
      <c r="S2" t="s">
        <v>16</v>
      </c>
      <c r="T2" t="s">
        <v>17</v>
      </c>
    </row>
    <row r="3" spans="2:20" x14ac:dyDescent="0.2">
      <c r="B3" s="12">
        <v>236.3</v>
      </c>
      <c r="C3" s="26"/>
      <c r="D3" s="11">
        <v>6.6</v>
      </c>
      <c r="E3" s="11">
        <v>1.5</v>
      </c>
      <c r="F3" s="14">
        <v>158.4</v>
      </c>
      <c r="H3" s="3"/>
      <c r="J3">
        <v>159.4</v>
      </c>
      <c r="P3">
        <v>4922</v>
      </c>
      <c r="Q3">
        <v>907.1</v>
      </c>
      <c r="R3">
        <v>8.8000000000000007</v>
      </c>
      <c r="S3">
        <v>37.799999999999997</v>
      </c>
      <c r="T3">
        <v>602</v>
      </c>
    </row>
    <row r="4" spans="2:20" x14ac:dyDescent="0.2">
      <c r="B4" s="12">
        <v>232.7</v>
      </c>
      <c r="C4" s="26"/>
      <c r="D4" s="11">
        <v>5.9</v>
      </c>
      <c r="E4" s="11">
        <v>9.1</v>
      </c>
      <c r="F4" s="14">
        <v>158</v>
      </c>
      <c r="H4" s="3"/>
      <c r="J4">
        <v>158.1</v>
      </c>
    </row>
    <row r="5" spans="2:20" x14ac:dyDescent="0.2">
      <c r="B5" s="12">
        <v>235.6</v>
      </c>
      <c r="C5" s="44"/>
      <c r="D5" s="11">
        <v>0.3</v>
      </c>
      <c r="E5" s="11">
        <v>7.1</v>
      </c>
      <c r="F5" s="14">
        <v>157.5</v>
      </c>
      <c r="H5" s="3">
        <v>281</v>
      </c>
    </row>
    <row r="6" spans="2:20" x14ac:dyDescent="0.2">
      <c r="B6" s="12">
        <v>235.1</v>
      </c>
      <c r="C6" s="26"/>
      <c r="D6" s="11">
        <v>1</v>
      </c>
      <c r="E6" s="11">
        <v>64.8</v>
      </c>
      <c r="F6" s="14">
        <v>157.9</v>
      </c>
      <c r="H6" s="3"/>
    </row>
    <row r="7" spans="2:20" x14ac:dyDescent="0.2">
      <c r="B7" s="12">
        <v>238.6</v>
      </c>
      <c r="C7" s="26"/>
      <c r="D7" s="11">
        <v>0.3</v>
      </c>
      <c r="E7" s="11">
        <v>89</v>
      </c>
      <c r="F7" s="14">
        <v>152.69999999999999</v>
      </c>
      <c r="H7" s="3"/>
    </row>
    <row r="8" spans="2:20" x14ac:dyDescent="0.2">
      <c r="B8" s="12">
        <v>232.1</v>
      </c>
      <c r="C8" s="26"/>
      <c r="D8" s="11">
        <v>1.6</v>
      </c>
      <c r="E8" s="11">
        <v>4.2</v>
      </c>
      <c r="F8" s="14">
        <v>145.1</v>
      </c>
      <c r="H8" s="3"/>
    </row>
    <row r="9" spans="2:20" x14ac:dyDescent="0.2">
      <c r="B9" s="12">
        <v>232.9</v>
      </c>
      <c r="C9" s="26"/>
      <c r="D9" s="11">
        <v>6</v>
      </c>
      <c r="E9" s="11">
        <v>2.9</v>
      </c>
      <c r="F9" s="14">
        <v>158.19999999999999</v>
      </c>
      <c r="H9" s="3"/>
    </row>
    <row r="10" spans="2:20" x14ac:dyDescent="0.2">
      <c r="B10" s="12">
        <v>234.9</v>
      </c>
      <c r="C10" s="26"/>
      <c r="D10" s="11">
        <v>9.4</v>
      </c>
      <c r="E10" s="11"/>
      <c r="F10" s="14"/>
      <c r="H10" s="3"/>
    </row>
    <row r="11" spans="2:20" x14ac:dyDescent="0.2">
      <c r="B11" s="12">
        <v>235.3</v>
      </c>
      <c r="C11" s="26"/>
      <c r="D11" s="11"/>
      <c r="E11" s="11"/>
      <c r="F11" s="14"/>
      <c r="H11" s="3"/>
    </row>
    <row r="12" spans="2:20" x14ac:dyDescent="0.2">
      <c r="B12" s="12">
        <v>235</v>
      </c>
      <c r="C12" s="26"/>
      <c r="D12" s="11"/>
      <c r="E12" s="11"/>
      <c r="F12" s="14"/>
      <c r="H12" s="3"/>
    </row>
    <row r="13" spans="2:20" x14ac:dyDescent="0.2">
      <c r="B13" s="12">
        <v>234.5</v>
      </c>
      <c r="C13" s="26"/>
      <c r="D13" s="11"/>
      <c r="E13" s="11"/>
      <c r="F13" s="14"/>
      <c r="H13" s="3">
        <v>195</v>
      </c>
      <c r="I13">
        <v>237</v>
      </c>
      <c r="J13" s="9">
        <v>160</v>
      </c>
    </row>
    <row r="14" spans="2:20" x14ac:dyDescent="0.2">
      <c r="B14" s="12">
        <v>235.2</v>
      </c>
      <c r="C14" s="26"/>
      <c r="D14" s="11"/>
      <c r="E14" s="11"/>
      <c r="F14" s="14"/>
      <c r="H14" s="3">
        <v>195</v>
      </c>
      <c r="I14">
        <f>281-44</f>
        <v>237</v>
      </c>
      <c r="L14">
        <v>10</v>
      </c>
      <c r="M14">
        <v>10</v>
      </c>
    </row>
    <row r="15" spans="2:20" x14ac:dyDescent="0.2">
      <c r="B15" s="12"/>
      <c r="C15" s="26"/>
      <c r="D15" s="11"/>
      <c r="E15" s="11"/>
      <c r="F15" s="14"/>
      <c r="H15" s="3"/>
      <c r="L15">
        <v>10</v>
      </c>
      <c r="M15">
        <v>10</v>
      </c>
    </row>
    <row r="16" spans="2:20" x14ac:dyDescent="0.2">
      <c r="B16" s="12"/>
      <c r="C16" s="26"/>
      <c r="D16" s="11"/>
      <c r="E16" s="11"/>
      <c r="F16" s="14"/>
      <c r="H16" s="3"/>
    </row>
    <row r="17" spans="1:20" x14ac:dyDescent="0.2">
      <c r="B17" s="12"/>
      <c r="C17" s="26"/>
      <c r="D17" s="11"/>
      <c r="E17" s="11"/>
      <c r="F17" s="14"/>
      <c r="H17" s="3"/>
    </row>
    <row r="18" spans="1:20" x14ac:dyDescent="0.2">
      <c r="B18" s="12"/>
      <c r="C18" s="26"/>
      <c r="D18" s="11"/>
      <c r="E18" s="11"/>
      <c r="F18" s="14"/>
      <c r="H18" s="3"/>
    </row>
    <row r="19" spans="1:20" x14ac:dyDescent="0.2">
      <c r="B19" s="12"/>
      <c r="C19" s="26"/>
      <c r="D19" s="11"/>
      <c r="E19" s="11"/>
      <c r="F19" s="14"/>
      <c r="H19" s="3"/>
    </row>
    <row r="20" spans="1:20" x14ac:dyDescent="0.2">
      <c r="B20" s="12"/>
      <c r="C20" s="26"/>
      <c r="D20" s="11"/>
      <c r="E20" s="11"/>
      <c r="F20" s="14"/>
      <c r="H20" s="3"/>
    </row>
    <row r="21" spans="1:20" x14ac:dyDescent="0.2">
      <c r="B21" s="12"/>
      <c r="C21" s="26"/>
      <c r="D21" s="11"/>
      <c r="E21" s="11"/>
      <c r="F21" s="14"/>
      <c r="H21" s="3"/>
    </row>
    <row r="22" spans="1:20" x14ac:dyDescent="0.2">
      <c r="B22" s="12"/>
      <c r="C22" s="26"/>
      <c r="D22" s="11"/>
      <c r="E22" s="11"/>
      <c r="F22" s="14"/>
      <c r="H22" s="3"/>
    </row>
    <row r="23" spans="1:20" x14ac:dyDescent="0.2">
      <c r="B23" s="12"/>
      <c r="C23" s="26"/>
      <c r="D23" s="11"/>
      <c r="E23" s="11"/>
      <c r="F23" s="14"/>
      <c r="H23" s="3"/>
    </row>
    <row r="24" spans="1:20" x14ac:dyDescent="0.2">
      <c r="B24" s="12"/>
      <c r="C24" s="26"/>
      <c r="D24" s="11"/>
      <c r="E24" s="11"/>
      <c r="F24" s="14"/>
      <c r="H24" s="3"/>
    </row>
    <row r="25" spans="1:20" x14ac:dyDescent="0.2">
      <c r="B25" s="12"/>
      <c r="C25" s="26"/>
      <c r="D25" s="11"/>
      <c r="E25" s="11"/>
      <c r="F25" s="14"/>
      <c r="H25" s="3"/>
    </row>
    <row r="26" spans="1:20" x14ac:dyDescent="0.2">
      <c r="A26" t="s">
        <v>43</v>
      </c>
      <c r="B26" s="11">
        <f>AVERAGE(B3:B25)</f>
        <v>234.85</v>
      </c>
      <c r="C26" s="26">
        <f>AVERAGE(C2:C25)</f>
        <v>818.79</v>
      </c>
      <c r="D26" s="11">
        <f>AVERAGE(D3:D25)</f>
        <v>3.8875000000000002</v>
      </c>
      <c r="E26" s="11">
        <f>AVERAGE(E3:E25)</f>
        <v>25.514285714285712</v>
      </c>
      <c r="F26" s="11">
        <f>AVERAGE(F3:F25)</f>
        <v>155.4</v>
      </c>
      <c r="G26" s="1"/>
      <c r="H26" s="15">
        <f>AVERAGE(H3:H25)</f>
        <v>223.66666666666666</v>
      </c>
      <c r="I26" s="1">
        <f>AVERAGE(I3:I25)</f>
        <v>237</v>
      </c>
      <c r="J26" s="9">
        <f>AVERAGE(J3:J25)</f>
        <v>159.16666666666666</v>
      </c>
      <c r="L26">
        <f t="shared" ref="L26:M26" si="0">AVERAGE(L2:L25)</f>
        <v>10</v>
      </c>
      <c r="M26">
        <f t="shared" si="0"/>
        <v>10</v>
      </c>
      <c r="P26">
        <f>AVERAGE(P2:P25)</f>
        <v>4922</v>
      </c>
      <c r="Q26">
        <f>AVERAGE(Q2:Q25)</f>
        <v>907.1</v>
      </c>
      <c r="R26">
        <f>AVERAGE(R2:R25)</f>
        <v>8.8000000000000007</v>
      </c>
      <c r="S26">
        <f>AVERAGE(S2:S25)</f>
        <v>37.799999999999997</v>
      </c>
      <c r="T26">
        <f>AVERAGE(T2:T25)</f>
        <v>602</v>
      </c>
    </row>
    <row r="27" spans="1:20" x14ac:dyDescent="0.2">
      <c r="A27" t="s">
        <v>44</v>
      </c>
      <c r="B27" s="12">
        <f>STDEV(B3:B25)</f>
        <v>1.738599227173208</v>
      </c>
      <c r="C27" s="26" t="e">
        <f>STDEV(C2:C25)</f>
        <v>#DIV/0!</v>
      </c>
      <c r="D27" s="11">
        <f>STDEV(D3:D25)</f>
        <v>3.4962990637039542</v>
      </c>
      <c r="E27" s="11">
        <f>STDEV(E3:E25)</f>
        <v>35.881073403278066</v>
      </c>
      <c r="F27" s="14">
        <f>STDEV(F3:F25)</f>
        <v>4.9605107263936743</v>
      </c>
      <c r="G27" s="1"/>
      <c r="H27" s="3">
        <f>STDEV(H3:H25)</f>
        <v>49.652123150307766</v>
      </c>
      <c r="I27">
        <f>STDEV(I3:I25)</f>
        <v>0</v>
      </c>
      <c r="J27" s="9">
        <f>STDEV(J3:J25)</f>
        <v>0.9712534856222349</v>
      </c>
      <c r="L27">
        <f t="shared" ref="L27:M27" si="1">STDEV(L2:L25)</f>
        <v>0</v>
      </c>
      <c r="M27">
        <f t="shared" si="1"/>
        <v>0</v>
      </c>
      <c r="P27" t="e">
        <f>STDEV(P2:P25)</f>
        <v>#DIV/0!</v>
      </c>
      <c r="Q27" t="e">
        <f>STDEV(Q2:Q25)</f>
        <v>#DIV/0!</v>
      </c>
      <c r="R27" t="e">
        <f>STDEV(R2:R25)</f>
        <v>#DIV/0!</v>
      </c>
      <c r="S27" t="e">
        <f>STDEV(S2:S25)</f>
        <v>#DIV/0!</v>
      </c>
      <c r="T27" t="e">
        <f>STDEV(T2:T25)</f>
        <v>#DIV/0!</v>
      </c>
    </row>
    <row r="28" spans="1:20" x14ac:dyDescent="0.2">
      <c r="A28" t="s">
        <v>45</v>
      </c>
      <c r="B28" s="12">
        <f t="shared" ref="B28:M28" si="2">B26+B27</f>
        <v>236.58859922717321</v>
      </c>
      <c r="C28" s="26" t="e">
        <f t="shared" si="2"/>
        <v>#DIV/0!</v>
      </c>
      <c r="D28" s="11">
        <f t="shared" si="2"/>
        <v>7.3837990637039539</v>
      </c>
      <c r="E28" s="11">
        <f t="shared" si="2"/>
        <v>61.395359117563778</v>
      </c>
      <c r="F28" s="14">
        <f t="shared" si="2"/>
        <v>160.36051072639367</v>
      </c>
      <c r="G28" s="1"/>
      <c r="H28" s="12">
        <f t="shared" si="2"/>
        <v>273.3187898169744</v>
      </c>
      <c r="I28" s="14">
        <f t="shared" si="2"/>
        <v>237</v>
      </c>
      <c r="J28" s="14">
        <f>J26+J27</f>
        <v>160.1379201522889</v>
      </c>
      <c r="L28" s="14">
        <f t="shared" si="2"/>
        <v>10</v>
      </c>
      <c r="M28" s="14">
        <f t="shared" si="2"/>
        <v>10</v>
      </c>
    </row>
    <row r="29" spans="1:20" x14ac:dyDescent="0.2">
      <c r="A29" t="s">
        <v>54</v>
      </c>
      <c r="C29" s="10" t="e">
        <f>B28+C28</f>
        <v>#DIV/0!</v>
      </c>
      <c r="F29" s="9">
        <f>SUM(D28:F28)</f>
        <v>229.13966890766142</v>
      </c>
      <c r="J29" s="9">
        <f>SUM(H28:J28)</f>
        <v>670.45670996926333</v>
      </c>
      <c r="M29" s="9">
        <f>SUM(J28:M28)</f>
        <v>180.1379201522889</v>
      </c>
    </row>
    <row r="31" spans="1:20" x14ac:dyDescent="0.2">
      <c r="B31" t="s">
        <v>198</v>
      </c>
    </row>
    <row r="32" spans="1:20" ht="41.25" x14ac:dyDescent="0.2">
      <c r="B32" s="19" t="s">
        <v>199</v>
      </c>
      <c r="C32" s="18" t="s">
        <v>67</v>
      </c>
      <c r="D32" s="16" t="s">
        <v>200</v>
      </c>
      <c r="E32" s="18" t="s">
        <v>201</v>
      </c>
      <c r="F32" s="19" t="s">
        <v>112</v>
      </c>
      <c r="G32" s="16" t="s">
        <v>127</v>
      </c>
      <c r="H32" s="16" t="s">
        <v>125</v>
      </c>
      <c r="I32" s="16" t="s">
        <v>126</v>
      </c>
      <c r="J32" s="16" t="s">
        <v>124</v>
      </c>
      <c r="K32" s="18" t="s">
        <v>111</v>
      </c>
      <c r="L32" s="19" t="s">
        <v>112</v>
      </c>
      <c r="M32" s="25" t="s">
        <v>64</v>
      </c>
    </row>
    <row r="33" spans="2:12" x14ac:dyDescent="0.2">
      <c r="B33" s="45">
        <v>50</v>
      </c>
      <c r="C33" s="8">
        <v>36</v>
      </c>
      <c r="D33" s="15">
        <v>51</v>
      </c>
      <c r="E33" s="26">
        <f>B33*3600+C33*60+D33</f>
        <v>182211</v>
      </c>
      <c r="F33" s="35"/>
      <c r="G33" s="39"/>
      <c r="H33" s="23"/>
      <c r="I33" s="35"/>
      <c r="J33" s="3"/>
      <c r="K33" s="4"/>
    </row>
    <row r="34" spans="2:12" x14ac:dyDescent="0.2">
      <c r="B34" s="45"/>
      <c r="C34" s="8" t="str">
        <f t="shared" ref="C34:C56" si="3">IF(B34*1440=0,"",B34*1440)</f>
        <v/>
      </c>
      <c r="D34" s="15"/>
      <c r="E34" s="26" t="str">
        <f>IF(D34-B34&lt;=0,"",D34-B34)</f>
        <v/>
      </c>
      <c r="F34" s="35"/>
      <c r="G34" s="39"/>
      <c r="H34" s="23"/>
      <c r="I34" s="35"/>
      <c r="J34" s="3"/>
      <c r="K34" s="4"/>
      <c r="L34" s="13"/>
    </row>
    <row r="35" spans="2:12" x14ac:dyDescent="0.2">
      <c r="B35" s="45"/>
      <c r="C35" s="8" t="str">
        <f t="shared" si="3"/>
        <v/>
      </c>
      <c r="D35" s="15"/>
      <c r="E35" s="26" t="str">
        <f>IF(D35-B35&lt;=0,"",D35-B35)</f>
        <v/>
      </c>
      <c r="F35" s="35"/>
      <c r="G35" s="39"/>
      <c r="H35" s="23"/>
      <c r="I35" s="35"/>
      <c r="J35" s="3"/>
      <c r="K35" s="4"/>
      <c r="L35" s="13"/>
    </row>
    <row r="36" spans="2:12" x14ac:dyDescent="0.2">
      <c r="B36" s="45"/>
      <c r="C36" s="8" t="str">
        <f>IF(B36*1440=0,"",B36*1440)</f>
        <v/>
      </c>
      <c r="D36" s="15"/>
      <c r="E36" s="26"/>
      <c r="F36" s="35"/>
      <c r="G36" s="39"/>
      <c r="H36" s="23"/>
      <c r="I36" s="35"/>
      <c r="J36" s="39">
        <v>0.41666666666666669</v>
      </c>
      <c r="K36" s="23">
        <f>J36-E36</f>
        <v>0.41666666666666669</v>
      </c>
      <c r="L36" s="35">
        <f>IF(K36*1440=0,"",K36*1440)</f>
        <v>600</v>
      </c>
    </row>
    <row r="37" spans="2:12" x14ac:dyDescent="0.2">
      <c r="B37" s="45"/>
      <c r="C37" s="8" t="str">
        <f t="shared" si="3"/>
        <v/>
      </c>
      <c r="D37" s="15"/>
      <c r="E37" s="26" t="str">
        <f t="shared" ref="E37:E56" si="4">IF(D37-B37&lt;=0,"",D37-B37)</f>
        <v/>
      </c>
      <c r="F37" s="35"/>
      <c r="G37" s="39"/>
      <c r="H37" s="23"/>
      <c r="I37" s="35"/>
      <c r="J37" s="3"/>
      <c r="K37" s="4"/>
      <c r="L37">
        <v>600</v>
      </c>
    </row>
    <row r="38" spans="2:12" x14ac:dyDescent="0.2">
      <c r="B38" s="1"/>
      <c r="C38" s="8" t="str">
        <f t="shared" si="3"/>
        <v/>
      </c>
      <c r="D38" s="15"/>
      <c r="E38" s="26" t="str">
        <f t="shared" si="4"/>
        <v/>
      </c>
      <c r="F38" s="35"/>
      <c r="G38" s="39"/>
      <c r="H38" s="23"/>
      <c r="I38" s="35"/>
      <c r="J38" s="3"/>
      <c r="K38" s="4"/>
      <c r="L38" s="13"/>
    </row>
    <row r="39" spans="2:12" x14ac:dyDescent="0.2">
      <c r="B39" s="45"/>
      <c r="C39" s="8" t="str">
        <f t="shared" si="3"/>
        <v/>
      </c>
      <c r="D39" s="15"/>
      <c r="E39" s="26" t="str">
        <f t="shared" si="4"/>
        <v/>
      </c>
      <c r="F39" s="35"/>
      <c r="G39" s="39"/>
      <c r="H39" s="23"/>
      <c r="I39" s="35"/>
      <c r="J39" s="3"/>
      <c r="K39" s="4"/>
      <c r="L39" s="13"/>
    </row>
    <row r="40" spans="2:12" x14ac:dyDescent="0.2">
      <c r="B40" s="45"/>
      <c r="C40" s="8" t="str">
        <f t="shared" si="3"/>
        <v/>
      </c>
      <c r="D40" s="15"/>
      <c r="E40" s="26" t="str">
        <f t="shared" si="4"/>
        <v/>
      </c>
      <c r="F40" s="35"/>
      <c r="G40" s="39"/>
      <c r="H40" s="23"/>
      <c r="I40" s="35"/>
      <c r="J40" s="3"/>
      <c r="K40" s="4"/>
      <c r="L40" s="13"/>
    </row>
    <row r="41" spans="2:12" x14ac:dyDescent="0.2">
      <c r="B41" s="45"/>
      <c r="C41" s="8" t="str">
        <f t="shared" si="3"/>
        <v/>
      </c>
      <c r="D41" s="15"/>
      <c r="E41" s="26" t="str">
        <f t="shared" si="4"/>
        <v/>
      </c>
      <c r="F41" s="35"/>
      <c r="G41" s="39"/>
      <c r="H41" s="23"/>
      <c r="I41" s="35"/>
      <c r="K41" s="4"/>
      <c r="L41" s="13"/>
    </row>
    <row r="42" spans="2:12" x14ac:dyDescent="0.2">
      <c r="B42" s="45"/>
      <c r="C42" s="8" t="str">
        <f t="shared" si="3"/>
        <v/>
      </c>
      <c r="D42" s="15"/>
      <c r="E42" s="26" t="str">
        <f t="shared" si="4"/>
        <v/>
      </c>
      <c r="F42" s="35"/>
      <c r="G42" s="39"/>
      <c r="H42" s="23"/>
      <c r="I42" s="35"/>
      <c r="J42" s="3"/>
      <c r="K42" s="4"/>
      <c r="L42" s="13"/>
    </row>
    <row r="43" spans="2:12" x14ac:dyDescent="0.2">
      <c r="B43" s="45"/>
      <c r="C43" s="8" t="str">
        <f t="shared" si="3"/>
        <v/>
      </c>
      <c r="D43" s="15"/>
      <c r="E43" s="26" t="str">
        <f t="shared" si="4"/>
        <v/>
      </c>
      <c r="F43" s="35"/>
      <c r="G43" s="39"/>
      <c r="H43" s="23"/>
      <c r="I43" s="35"/>
      <c r="J43" s="3"/>
      <c r="K43" s="4"/>
      <c r="L43" s="13"/>
    </row>
    <row r="44" spans="2:12" x14ac:dyDescent="0.2">
      <c r="B44" s="45"/>
      <c r="C44" s="8" t="str">
        <f t="shared" si="3"/>
        <v/>
      </c>
      <c r="D44" s="15"/>
      <c r="E44" s="26" t="str">
        <f t="shared" si="4"/>
        <v/>
      </c>
      <c r="F44" s="35"/>
      <c r="G44" s="39"/>
      <c r="H44" s="23"/>
      <c r="I44" s="35"/>
      <c r="J44" s="3"/>
      <c r="K44" s="4"/>
      <c r="L44" s="13"/>
    </row>
    <row r="45" spans="2:12" x14ac:dyDescent="0.2">
      <c r="B45" s="45"/>
      <c r="C45" s="8" t="str">
        <f t="shared" si="3"/>
        <v/>
      </c>
      <c r="D45" s="15"/>
      <c r="E45" s="26" t="str">
        <f t="shared" si="4"/>
        <v/>
      </c>
      <c r="F45" s="35"/>
      <c r="G45" s="39"/>
      <c r="H45" s="23"/>
      <c r="I45" s="35"/>
      <c r="J45" s="3"/>
      <c r="K45" s="4"/>
      <c r="L45" s="13"/>
    </row>
    <row r="46" spans="2:12" x14ac:dyDescent="0.2">
      <c r="B46" s="45"/>
      <c r="C46" s="8" t="str">
        <f t="shared" si="3"/>
        <v/>
      </c>
      <c r="D46" s="15"/>
      <c r="E46" s="26" t="str">
        <f t="shared" si="4"/>
        <v/>
      </c>
      <c r="F46" s="35"/>
      <c r="G46" s="39"/>
      <c r="H46" s="23"/>
      <c r="I46" s="35"/>
      <c r="J46" s="3"/>
      <c r="K46" s="4"/>
      <c r="L46" s="13"/>
    </row>
    <row r="47" spans="2:12" x14ac:dyDescent="0.2">
      <c r="B47" s="45"/>
      <c r="C47" s="8" t="str">
        <f t="shared" si="3"/>
        <v/>
      </c>
      <c r="D47" s="15"/>
      <c r="E47" s="26" t="str">
        <f t="shared" si="4"/>
        <v/>
      </c>
      <c r="F47" s="35"/>
      <c r="G47" s="39"/>
      <c r="H47" s="23"/>
      <c r="I47" s="35"/>
      <c r="J47" s="3"/>
      <c r="K47" s="4"/>
      <c r="L47" s="13"/>
    </row>
    <row r="48" spans="2:12" x14ac:dyDescent="0.2">
      <c r="B48" s="45"/>
      <c r="C48" s="8" t="str">
        <f t="shared" si="3"/>
        <v/>
      </c>
      <c r="D48" s="15"/>
      <c r="E48" s="26" t="str">
        <f t="shared" si="4"/>
        <v/>
      </c>
      <c r="F48" s="35"/>
      <c r="G48" s="39"/>
      <c r="H48" s="23"/>
      <c r="I48" s="35"/>
      <c r="J48" s="3"/>
      <c r="K48" s="4"/>
      <c r="L48" s="13"/>
    </row>
    <row r="49" spans="1:12" x14ac:dyDescent="0.2">
      <c r="B49" s="45"/>
      <c r="C49" s="8" t="str">
        <f t="shared" si="3"/>
        <v/>
      </c>
      <c r="D49" s="15"/>
      <c r="E49" s="26" t="str">
        <f t="shared" si="4"/>
        <v/>
      </c>
      <c r="F49" s="35"/>
      <c r="G49" s="39"/>
      <c r="H49" s="23"/>
      <c r="I49" s="35"/>
      <c r="J49" s="3"/>
      <c r="K49" s="4"/>
      <c r="L49" s="13"/>
    </row>
    <row r="50" spans="1:12" x14ac:dyDescent="0.2">
      <c r="B50" s="45"/>
      <c r="C50" s="8" t="str">
        <f t="shared" si="3"/>
        <v/>
      </c>
      <c r="D50" s="15"/>
      <c r="E50" s="26" t="str">
        <f t="shared" si="4"/>
        <v/>
      </c>
      <c r="F50" s="35"/>
      <c r="G50" s="39"/>
      <c r="H50" s="23"/>
      <c r="I50" s="35"/>
      <c r="J50" s="3"/>
      <c r="K50" s="4"/>
      <c r="L50" s="13"/>
    </row>
    <row r="51" spans="1:12" x14ac:dyDescent="0.2">
      <c r="B51" s="45"/>
      <c r="C51" s="8" t="str">
        <f t="shared" si="3"/>
        <v/>
      </c>
      <c r="D51" s="15"/>
      <c r="E51" s="26" t="str">
        <f t="shared" si="4"/>
        <v/>
      </c>
      <c r="F51" s="35"/>
      <c r="G51" s="39"/>
      <c r="H51" s="23"/>
      <c r="I51" s="35"/>
      <c r="J51" s="3"/>
      <c r="K51" s="4"/>
      <c r="L51" s="13"/>
    </row>
    <row r="52" spans="1:12" x14ac:dyDescent="0.2">
      <c r="B52" s="45"/>
      <c r="C52" s="8" t="str">
        <f t="shared" si="3"/>
        <v/>
      </c>
      <c r="D52" s="15"/>
      <c r="E52" s="26" t="str">
        <f t="shared" si="4"/>
        <v/>
      </c>
      <c r="F52" s="35"/>
      <c r="G52" s="39"/>
      <c r="H52" s="23"/>
      <c r="I52" s="35"/>
      <c r="J52" s="3"/>
      <c r="K52" s="4"/>
      <c r="L52" s="13"/>
    </row>
    <row r="53" spans="1:12" x14ac:dyDescent="0.2">
      <c r="B53" s="45"/>
      <c r="C53" s="8" t="str">
        <f t="shared" si="3"/>
        <v/>
      </c>
      <c r="D53" s="15"/>
      <c r="E53" s="26" t="str">
        <f t="shared" si="4"/>
        <v/>
      </c>
      <c r="F53" s="35"/>
      <c r="G53" s="39"/>
      <c r="H53" s="23"/>
      <c r="I53" s="35"/>
      <c r="J53" s="3"/>
      <c r="K53" s="4"/>
      <c r="L53" s="13"/>
    </row>
    <row r="54" spans="1:12" x14ac:dyDescent="0.2">
      <c r="B54" s="45"/>
      <c r="C54" s="8" t="str">
        <f t="shared" si="3"/>
        <v/>
      </c>
      <c r="D54" s="15"/>
      <c r="E54" s="26" t="str">
        <f t="shared" si="4"/>
        <v/>
      </c>
      <c r="F54" s="35"/>
      <c r="G54" s="39"/>
      <c r="H54" s="23"/>
      <c r="I54" s="35"/>
      <c r="J54" s="3"/>
      <c r="K54" s="4"/>
      <c r="L54" s="13"/>
    </row>
    <row r="55" spans="1:12" x14ac:dyDescent="0.2">
      <c r="B55" s="45"/>
      <c r="C55" s="8" t="str">
        <f t="shared" si="3"/>
        <v/>
      </c>
      <c r="D55" s="15"/>
      <c r="E55" s="26" t="str">
        <f t="shared" si="4"/>
        <v/>
      </c>
      <c r="F55" s="35"/>
      <c r="G55" s="39"/>
      <c r="H55" s="23"/>
      <c r="I55" s="35"/>
      <c r="J55" s="3"/>
      <c r="K55" s="4"/>
      <c r="L55" s="13"/>
    </row>
    <row r="56" spans="1:12" x14ac:dyDescent="0.2">
      <c r="B56" s="45"/>
      <c r="C56" s="8" t="str">
        <f t="shared" si="3"/>
        <v/>
      </c>
      <c r="D56" s="15"/>
      <c r="E56" s="26" t="str">
        <f t="shared" si="4"/>
        <v/>
      </c>
      <c r="F56" s="35"/>
      <c r="G56" s="39"/>
      <c r="H56" s="23"/>
      <c r="I56" s="35"/>
      <c r="J56" s="3"/>
      <c r="K56" s="4"/>
      <c r="L56" s="13"/>
    </row>
    <row r="57" spans="1:12" x14ac:dyDescent="0.2">
      <c r="A57" t="s">
        <v>43</v>
      </c>
      <c r="B57" s="1"/>
      <c r="C57" s="1">
        <f>AVERAGE(C33:C56)</f>
        <v>36</v>
      </c>
      <c r="D57" s="1"/>
      <c r="E57" s="1">
        <f>AVERAGE(E33:E56)</f>
        <v>182211</v>
      </c>
      <c r="F57" s="10" t="e">
        <f>AVERAGE(F33:F56)</f>
        <v>#DIV/0!</v>
      </c>
      <c r="G57" s="23"/>
      <c r="H57" s="23"/>
      <c r="I57" s="10" t="e">
        <f>AVERAGE(I33:I56)</f>
        <v>#DIV/0!</v>
      </c>
      <c r="J57" s="23"/>
      <c r="K57" s="23"/>
      <c r="L57" s="10">
        <f>AVERAGE(L33:L56)</f>
        <v>600</v>
      </c>
    </row>
    <row r="58" spans="1:12" x14ac:dyDescent="0.2">
      <c r="A58" t="s">
        <v>99</v>
      </c>
      <c r="B58" s="10"/>
      <c r="C58" s="10" t="e">
        <f>STDEV(C33:C56)</f>
        <v>#DIV/0!</v>
      </c>
      <c r="D58" s="10"/>
      <c r="E58" s="10" t="e">
        <f>STDEV(E33:E56)</f>
        <v>#DIV/0!</v>
      </c>
      <c r="F58" s="10" t="e">
        <f>STDEV(F33:F56)</f>
        <v>#DIV/0!</v>
      </c>
      <c r="G58" s="10"/>
      <c r="H58" s="10"/>
      <c r="I58" s="10" t="e">
        <f>STDEV(I33:I56)</f>
        <v>#DIV/0!</v>
      </c>
      <c r="J58" s="10"/>
      <c r="K58" s="10"/>
      <c r="L58" s="10">
        <f>STDEV(L33:L56)</f>
        <v>0</v>
      </c>
    </row>
    <row r="59" spans="1:12" x14ac:dyDescent="0.2">
      <c r="A59" t="s">
        <v>45</v>
      </c>
      <c r="B59" s="23"/>
      <c r="C59" s="10" t="e">
        <f>C57+C58</f>
        <v>#DIV/0!</v>
      </c>
      <c r="D59" s="10"/>
      <c r="E59" s="10" t="e">
        <f>E57+E58</f>
        <v>#DIV/0!</v>
      </c>
      <c r="F59" s="10" t="e">
        <f t="shared" ref="F59:L59" si="5">F57+F58</f>
        <v>#DIV/0!</v>
      </c>
      <c r="G59" s="10"/>
      <c r="H59" s="10"/>
      <c r="I59" s="10" t="e">
        <f t="shared" si="5"/>
        <v>#DIV/0!</v>
      </c>
      <c r="J59" s="10"/>
      <c r="K59" s="10"/>
      <c r="L59" s="10">
        <f t="shared" si="5"/>
        <v>600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61"/>
  <sheetViews>
    <sheetView workbookViewId="0">
      <selection activeCell="B37" sqref="B37"/>
    </sheetView>
  </sheetViews>
  <sheetFormatPr defaultRowHeight="15" x14ac:dyDescent="0.2"/>
  <cols>
    <col min="1" max="1" width="11.703125" customWidth="1"/>
    <col min="2" max="2" width="12.5078125" customWidth="1"/>
    <col min="3" max="3" width="11.296875" customWidth="1"/>
    <col min="4" max="6" width="9.01171875" customWidth="1"/>
    <col min="7" max="7" width="20.04296875" customWidth="1"/>
    <col min="8" max="8" width="12.23828125" bestFit="1" customWidth="1"/>
    <col min="9" max="9" width="11.43359375" bestFit="1" customWidth="1"/>
    <col min="10" max="10" width="12.10546875" customWidth="1"/>
    <col min="11" max="11" width="12.64453125" bestFit="1" customWidth="1"/>
    <col min="12" max="12" width="30.1328125" bestFit="1" customWidth="1"/>
    <col min="13" max="13" width="18.5625" bestFit="1" customWidth="1"/>
  </cols>
  <sheetData>
    <row r="1" spans="2:20" ht="54.75" x14ac:dyDescent="0.2">
      <c r="B1" s="16" t="s">
        <v>69</v>
      </c>
      <c r="C1" s="18" t="s">
        <v>73</v>
      </c>
      <c r="D1" s="18" t="s">
        <v>70</v>
      </c>
      <c r="E1" s="18" t="s">
        <v>8</v>
      </c>
      <c r="F1" s="19" t="s">
        <v>74</v>
      </c>
      <c r="H1" s="3" t="s">
        <v>71</v>
      </c>
      <c r="I1" t="s">
        <v>19</v>
      </c>
      <c r="J1" s="2" t="s">
        <v>20</v>
      </c>
      <c r="K1" t="s">
        <v>9</v>
      </c>
      <c r="L1" t="s">
        <v>10</v>
      </c>
      <c r="M1" t="s">
        <v>11</v>
      </c>
      <c r="Q1" t="s">
        <v>12</v>
      </c>
    </row>
    <row r="2" spans="2:20" x14ac:dyDescent="0.2">
      <c r="B2" s="12"/>
      <c r="C2" s="11"/>
      <c r="D2" s="11"/>
      <c r="E2" s="11"/>
      <c r="F2" s="14"/>
      <c r="H2" s="3">
        <v>1400</v>
      </c>
      <c r="K2" s="9"/>
      <c r="P2" t="s">
        <v>18</v>
      </c>
      <c r="Q2" t="s">
        <v>14</v>
      </c>
      <c r="R2" t="s">
        <v>15</v>
      </c>
      <c r="S2" t="s">
        <v>16</v>
      </c>
      <c r="T2" t="s">
        <v>17</v>
      </c>
    </row>
    <row r="3" spans="2:20" x14ac:dyDescent="0.2">
      <c r="B3" s="12"/>
      <c r="C3" s="11">
        <v>3880</v>
      </c>
      <c r="D3" s="11"/>
      <c r="E3" s="11"/>
      <c r="F3" s="14"/>
      <c r="H3" s="3"/>
      <c r="P3">
        <v>4922</v>
      </c>
      <c r="Q3">
        <v>907.1</v>
      </c>
      <c r="R3">
        <v>8.8000000000000007</v>
      </c>
      <c r="S3">
        <v>37.799999999999997</v>
      </c>
      <c r="T3">
        <v>602</v>
      </c>
    </row>
    <row r="4" spans="2:20" x14ac:dyDescent="0.2">
      <c r="B4" s="12"/>
      <c r="C4" s="11"/>
      <c r="D4" s="11"/>
      <c r="E4" s="11"/>
      <c r="F4" s="14"/>
      <c r="H4" s="3"/>
    </row>
    <row r="5" spans="2:20" x14ac:dyDescent="0.2">
      <c r="B5" s="12"/>
      <c r="C5" s="29"/>
      <c r="D5" s="11"/>
      <c r="E5" s="11"/>
      <c r="F5" s="14"/>
      <c r="H5" s="3"/>
    </row>
    <row r="6" spans="2:20" x14ac:dyDescent="0.2">
      <c r="B6" s="12"/>
      <c r="C6" s="11"/>
      <c r="D6" s="11"/>
      <c r="E6" s="11"/>
      <c r="F6" s="14"/>
      <c r="H6" s="3"/>
    </row>
    <row r="7" spans="2:20" x14ac:dyDescent="0.2">
      <c r="B7" s="12"/>
      <c r="C7" s="11"/>
      <c r="D7" s="11"/>
      <c r="E7" s="11"/>
      <c r="F7" s="14"/>
      <c r="H7" s="3"/>
    </row>
    <row r="8" spans="2:20" x14ac:dyDescent="0.2">
      <c r="B8" s="12"/>
      <c r="C8" s="11"/>
      <c r="D8" s="11"/>
      <c r="E8" s="11"/>
      <c r="F8" s="14"/>
      <c r="H8" s="3"/>
    </row>
    <row r="9" spans="2:20" x14ac:dyDescent="0.2">
      <c r="B9" s="12"/>
      <c r="C9" s="11"/>
      <c r="D9" s="11"/>
      <c r="E9" s="11"/>
      <c r="F9" s="14"/>
      <c r="H9" s="3"/>
    </row>
    <row r="10" spans="2:20" x14ac:dyDescent="0.2">
      <c r="B10" s="12"/>
      <c r="C10" s="11"/>
      <c r="D10" s="11"/>
      <c r="E10" s="11"/>
      <c r="F10" s="14"/>
      <c r="H10" s="3"/>
    </row>
    <row r="11" spans="2:20" x14ac:dyDescent="0.2">
      <c r="B11" s="12"/>
      <c r="C11" s="11"/>
      <c r="D11" s="11"/>
      <c r="E11" s="11"/>
      <c r="F11" s="14"/>
      <c r="H11" s="3"/>
    </row>
    <row r="12" spans="2:20" x14ac:dyDescent="0.2">
      <c r="B12" s="12"/>
      <c r="C12" s="11"/>
      <c r="D12" s="11"/>
      <c r="E12" s="11"/>
      <c r="F12" s="14"/>
      <c r="H12" s="3"/>
    </row>
    <row r="13" spans="2:20" x14ac:dyDescent="0.2">
      <c r="B13" s="12"/>
      <c r="C13" s="11"/>
      <c r="D13" s="11"/>
      <c r="E13" s="11"/>
      <c r="F13" s="14"/>
      <c r="H13" s="3"/>
    </row>
    <row r="14" spans="2:20" x14ac:dyDescent="0.2">
      <c r="B14" s="12"/>
      <c r="C14" s="11"/>
      <c r="D14" s="11"/>
      <c r="E14" s="11"/>
      <c r="F14" s="14"/>
      <c r="H14" s="3"/>
    </row>
    <row r="15" spans="2:20" x14ac:dyDescent="0.2">
      <c r="B15" s="12"/>
      <c r="C15" s="11"/>
      <c r="D15" s="11"/>
      <c r="E15" s="11"/>
      <c r="F15" s="14"/>
      <c r="H15" s="3"/>
    </row>
    <row r="16" spans="2:20" x14ac:dyDescent="0.2">
      <c r="B16" s="12"/>
      <c r="C16" s="11"/>
      <c r="D16" s="11"/>
      <c r="E16" s="11"/>
      <c r="F16" s="14"/>
      <c r="H16" s="3"/>
    </row>
    <row r="17" spans="1:20" x14ac:dyDescent="0.2">
      <c r="B17" s="12"/>
      <c r="C17" s="11"/>
      <c r="D17" s="11"/>
      <c r="E17" s="11"/>
      <c r="F17" s="14"/>
      <c r="H17" s="3"/>
    </row>
    <row r="18" spans="1:20" x14ac:dyDescent="0.2">
      <c r="B18" s="12"/>
      <c r="C18" s="11"/>
      <c r="D18" s="11"/>
      <c r="E18" s="11"/>
      <c r="F18" s="14"/>
      <c r="H18" s="3"/>
    </row>
    <row r="19" spans="1:20" x14ac:dyDescent="0.2">
      <c r="B19" s="12"/>
      <c r="C19" s="11"/>
      <c r="D19" s="11"/>
      <c r="E19" s="11"/>
      <c r="F19" s="14"/>
      <c r="H19" s="3"/>
    </row>
    <row r="20" spans="1:20" x14ac:dyDescent="0.2">
      <c r="B20" s="12"/>
      <c r="C20" s="11"/>
      <c r="D20" s="11"/>
      <c r="E20" s="11"/>
      <c r="F20" s="14"/>
      <c r="H20" s="3"/>
    </row>
    <row r="21" spans="1:20" x14ac:dyDescent="0.2">
      <c r="B21" s="12"/>
      <c r="C21" s="11"/>
      <c r="D21" s="11"/>
      <c r="E21" s="11"/>
      <c r="F21" s="14"/>
      <c r="H21" s="3"/>
    </row>
    <row r="22" spans="1:20" x14ac:dyDescent="0.2">
      <c r="B22" s="12"/>
      <c r="C22" s="11"/>
      <c r="D22" s="11"/>
      <c r="E22" s="11"/>
      <c r="F22" s="14"/>
      <c r="H22" s="3"/>
    </row>
    <row r="23" spans="1:20" x14ac:dyDescent="0.2">
      <c r="B23" s="12"/>
      <c r="C23" s="11"/>
      <c r="D23" s="11"/>
      <c r="E23" s="11"/>
      <c r="F23" s="14"/>
      <c r="H23" s="3"/>
    </row>
    <row r="24" spans="1:20" x14ac:dyDescent="0.2">
      <c r="B24" s="12"/>
      <c r="C24" s="11"/>
      <c r="D24" s="11"/>
      <c r="E24" s="11"/>
      <c r="F24" s="14"/>
      <c r="H24" s="3"/>
    </row>
    <row r="25" spans="1:20" x14ac:dyDescent="0.2">
      <c r="B25" s="12"/>
      <c r="C25" s="11"/>
      <c r="D25" s="11"/>
      <c r="E25" s="11"/>
      <c r="F25" s="14"/>
      <c r="H25" s="3"/>
    </row>
    <row r="26" spans="1:20" x14ac:dyDescent="0.2">
      <c r="A26" t="s">
        <v>42</v>
      </c>
      <c r="B26" s="11">
        <f>MAX(B2:B25)</f>
        <v>0</v>
      </c>
      <c r="C26" s="11">
        <f>MAX(C2:C25)</f>
        <v>3880</v>
      </c>
      <c r="D26" s="11">
        <f>MAX(D2:D25)</f>
        <v>0</v>
      </c>
      <c r="E26" s="11">
        <f>MAX(E2:E25)</f>
        <v>0</v>
      </c>
      <c r="F26" s="14">
        <f>MAX(F2:F25)</f>
        <v>0</v>
      </c>
      <c r="G26" s="1"/>
      <c r="H26" s="3">
        <f t="shared" ref="H26:M26" si="0">MAX(H2:H25)</f>
        <v>1400</v>
      </c>
      <c r="I26">
        <f t="shared" si="0"/>
        <v>0</v>
      </c>
      <c r="J26">
        <f t="shared" si="0"/>
        <v>0</v>
      </c>
      <c r="K26" s="9">
        <f t="shared" si="0"/>
        <v>0</v>
      </c>
      <c r="L26">
        <f t="shared" si="0"/>
        <v>0</v>
      </c>
      <c r="M26">
        <f t="shared" si="0"/>
        <v>0</v>
      </c>
      <c r="P26">
        <f>MAX(P2:P25)</f>
        <v>4922</v>
      </c>
      <c r="Q26">
        <f>MAX(Q2:Q25)</f>
        <v>907.1</v>
      </c>
      <c r="R26">
        <f>MAX(R2:R25)</f>
        <v>8.8000000000000007</v>
      </c>
      <c r="S26">
        <f>MAX(S2:S25)</f>
        <v>37.799999999999997</v>
      </c>
      <c r="T26">
        <f>MAX(T2:T25)</f>
        <v>602</v>
      </c>
    </row>
    <row r="27" spans="1:20" x14ac:dyDescent="0.2">
      <c r="A27" t="s">
        <v>43</v>
      </c>
      <c r="B27" s="11" t="e">
        <f>AVERAGE(B2:B25)</f>
        <v>#DIV/0!</v>
      </c>
      <c r="C27" s="11">
        <f>AVERAGE(C2:C25)</f>
        <v>3880</v>
      </c>
      <c r="D27" s="11" t="e">
        <f>AVERAGE(D2:D25)</f>
        <v>#DIV/0!</v>
      </c>
      <c r="E27" s="11" t="e">
        <f>AVERAGE(E2:E25)</f>
        <v>#DIV/0!</v>
      </c>
      <c r="F27" s="11" t="e">
        <f>AVERAGE(F2:F25)</f>
        <v>#DIV/0!</v>
      </c>
      <c r="G27" s="1"/>
      <c r="H27" s="15">
        <f t="shared" ref="H27:T27" si="1">AVERAGE(H2:H25)</f>
        <v>1400</v>
      </c>
      <c r="I27" s="1" t="e">
        <f t="shared" si="1"/>
        <v>#DIV/0!</v>
      </c>
      <c r="J27" s="1" t="e">
        <f t="shared" si="1"/>
        <v>#DIV/0!</v>
      </c>
      <c r="K27" s="9" t="e">
        <f t="shared" si="1"/>
        <v>#DIV/0!</v>
      </c>
      <c r="L27" t="e">
        <f t="shared" si="1"/>
        <v>#DIV/0!</v>
      </c>
      <c r="M27" t="e">
        <f t="shared" si="1"/>
        <v>#DIV/0!</v>
      </c>
      <c r="P27">
        <f t="shared" si="1"/>
        <v>4922</v>
      </c>
      <c r="Q27">
        <f t="shared" si="1"/>
        <v>907.1</v>
      </c>
      <c r="R27">
        <f t="shared" si="1"/>
        <v>8.8000000000000007</v>
      </c>
      <c r="S27">
        <f t="shared" si="1"/>
        <v>37.799999999999997</v>
      </c>
      <c r="T27">
        <f t="shared" si="1"/>
        <v>602</v>
      </c>
    </row>
    <row r="28" spans="1:20" x14ac:dyDescent="0.2">
      <c r="A28" t="s">
        <v>44</v>
      </c>
      <c r="B28" s="12" t="e">
        <f>STDEV(B2:B25)</f>
        <v>#DIV/0!</v>
      </c>
      <c r="C28" s="11" t="e">
        <f t="shared" ref="C28:T28" si="2">STDEV(C2:C25)</f>
        <v>#DIV/0!</v>
      </c>
      <c r="D28" s="11" t="e">
        <f t="shared" si="2"/>
        <v>#DIV/0!</v>
      </c>
      <c r="E28" s="11" t="e">
        <f t="shared" si="2"/>
        <v>#DIV/0!</v>
      </c>
      <c r="F28" s="14" t="e">
        <f t="shared" si="2"/>
        <v>#DIV/0!</v>
      </c>
      <c r="G28" s="1"/>
      <c r="H28" s="3" t="e">
        <f t="shared" si="2"/>
        <v>#DIV/0!</v>
      </c>
      <c r="I28" t="e">
        <f t="shared" si="2"/>
        <v>#DIV/0!</v>
      </c>
      <c r="J28" t="e">
        <f t="shared" si="2"/>
        <v>#DIV/0!</v>
      </c>
      <c r="K28" s="9" t="e">
        <f t="shared" si="2"/>
        <v>#DIV/0!</v>
      </c>
      <c r="L28" t="e">
        <f t="shared" si="2"/>
        <v>#DIV/0!</v>
      </c>
      <c r="M28" t="e">
        <f t="shared" si="2"/>
        <v>#DIV/0!</v>
      </c>
      <c r="P28" t="e">
        <f t="shared" si="2"/>
        <v>#DIV/0!</v>
      </c>
      <c r="Q28" t="e">
        <f t="shared" si="2"/>
        <v>#DIV/0!</v>
      </c>
      <c r="R28" t="e">
        <f t="shared" si="2"/>
        <v>#DIV/0!</v>
      </c>
      <c r="S28" t="e">
        <f t="shared" si="2"/>
        <v>#DIV/0!</v>
      </c>
      <c r="T28" t="e">
        <f t="shared" si="2"/>
        <v>#DIV/0!</v>
      </c>
    </row>
    <row r="29" spans="1:20" x14ac:dyDescent="0.2">
      <c r="A29" t="s">
        <v>45</v>
      </c>
      <c r="B29" s="12" t="e">
        <f t="shared" ref="B29:M29" si="3">B27+B28</f>
        <v>#DIV/0!</v>
      </c>
      <c r="C29" s="11" t="e">
        <f t="shared" si="3"/>
        <v>#DIV/0!</v>
      </c>
      <c r="D29" s="11" t="e">
        <f t="shared" si="3"/>
        <v>#DIV/0!</v>
      </c>
      <c r="E29" s="11" t="e">
        <f t="shared" si="3"/>
        <v>#DIV/0!</v>
      </c>
      <c r="F29" s="14" t="e">
        <f t="shared" si="3"/>
        <v>#DIV/0!</v>
      </c>
      <c r="G29" s="1"/>
      <c r="H29" s="12" t="e">
        <f t="shared" si="3"/>
        <v>#DIV/0!</v>
      </c>
      <c r="I29" s="14" t="e">
        <f t="shared" si="3"/>
        <v>#DIV/0!</v>
      </c>
      <c r="J29" s="14" t="e">
        <f t="shared" si="3"/>
        <v>#DIV/0!</v>
      </c>
      <c r="K29" s="14" t="e">
        <f t="shared" si="3"/>
        <v>#DIV/0!</v>
      </c>
      <c r="L29" s="14" t="e">
        <f t="shared" si="3"/>
        <v>#DIV/0!</v>
      </c>
      <c r="M29" s="14" t="e">
        <f t="shared" si="3"/>
        <v>#DIV/0!</v>
      </c>
    </row>
    <row r="30" spans="1:20" x14ac:dyDescent="0.2">
      <c r="A30" t="s">
        <v>54</v>
      </c>
      <c r="F30" s="9">
        <f>SUM(B26:F26)</f>
        <v>3880</v>
      </c>
      <c r="H30">
        <f>H26</f>
        <v>1400</v>
      </c>
    </row>
    <row r="33" spans="2:13" ht="41.25" x14ac:dyDescent="0.2">
      <c r="B33" s="19" t="s">
        <v>109</v>
      </c>
      <c r="C33" s="18" t="s">
        <v>108</v>
      </c>
      <c r="D33" s="16" t="s">
        <v>110</v>
      </c>
      <c r="E33" s="18" t="s">
        <v>111</v>
      </c>
      <c r="F33" s="19" t="s">
        <v>112</v>
      </c>
      <c r="G33" s="16" t="s">
        <v>56</v>
      </c>
      <c r="H33" s="16" t="s">
        <v>56</v>
      </c>
      <c r="I33" s="16" t="s">
        <v>56</v>
      </c>
      <c r="J33" s="25" t="s">
        <v>64</v>
      </c>
      <c r="K33" s="25" t="s">
        <v>64</v>
      </c>
      <c r="L33" s="25" t="s">
        <v>64</v>
      </c>
      <c r="M33" s="25" t="s">
        <v>64</v>
      </c>
    </row>
    <row r="34" spans="2:13" x14ac:dyDescent="0.2">
      <c r="B34" s="37">
        <v>30</v>
      </c>
      <c r="C34" s="26">
        <f>IF(B34*1440=0,"",B34*1440)</f>
        <v>43200</v>
      </c>
      <c r="D34" s="38"/>
      <c r="E34" s="39" t="str">
        <f>IF(D34-B34&lt;=0,"",D34-B34)</f>
        <v/>
      </c>
      <c r="F34" s="35" t="e">
        <f>IF(E34*1440=0,"",E34*1440)</f>
        <v>#VALUE!</v>
      </c>
      <c r="G34" s="39"/>
      <c r="H34" s="23"/>
      <c r="I34" s="35" t="str">
        <f>IF(G34*1440=0,"",G34*1440)</f>
        <v/>
      </c>
      <c r="J34" s="3"/>
      <c r="K34" s="4"/>
    </row>
    <row r="35" spans="2:13" x14ac:dyDescent="0.2">
      <c r="B35" s="37"/>
      <c r="C35" s="26" t="str">
        <f t="shared" ref="C35:C57" si="4">IF(B35*1440=0,"",B35*1440)</f>
        <v/>
      </c>
      <c r="D35" s="38"/>
      <c r="E35" s="39" t="str">
        <f>IF(D35-B35&lt;=0,"",D35-B35)</f>
        <v/>
      </c>
      <c r="F35" s="35"/>
      <c r="G35" s="39"/>
      <c r="H35" s="23"/>
      <c r="I35" s="35" t="str">
        <f t="shared" ref="I35:I57" si="5">IF(G35*1440=0,"",G35*1440)</f>
        <v/>
      </c>
      <c r="J35" s="3"/>
      <c r="K35" s="4"/>
      <c r="L35" s="13"/>
    </row>
    <row r="36" spans="2:13" x14ac:dyDescent="0.2">
      <c r="B36" s="37">
        <v>30</v>
      </c>
      <c r="C36" s="26">
        <f t="shared" si="4"/>
        <v>43200</v>
      </c>
      <c r="D36" s="38"/>
      <c r="E36" s="39" t="str">
        <f>IF(D36-B36&lt;=0,"",D36-B36)</f>
        <v/>
      </c>
      <c r="F36" s="35"/>
      <c r="G36" s="39"/>
      <c r="H36" s="23"/>
      <c r="I36" s="35" t="str">
        <f t="shared" si="5"/>
        <v/>
      </c>
      <c r="J36" s="3"/>
      <c r="K36" s="4"/>
      <c r="L36" s="13"/>
    </row>
    <row r="37" spans="2:13" x14ac:dyDescent="0.2">
      <c r="B37" s="37"/>
      <c r="C37" s="26" t="str">
        <f>IF(B37*1440=0,"",B37*1440)</f>
        <v/>
      </c>
      <c r="D37" s="38"/>
      <c r="E37" s="39"/>
      <c r="F37" s="35"/>
      <c r="G37" s="39"/>
      <c r="H37" s="23"/>
      <c r="I37" s="35" t="str">
        <f>IF(H37*1440=0,"",H37*1440)</f>
        <v/>
      </c>
      <c r="J37" s="3"/>
      <c r="K37" s="4"/>
      <c r="L37" s="13"/>
    </row>
    <row r="38" spans="2:13" x14ac:dyDescent="0.2">
      <c r="B38" s="37"/>
      <c r="C38" s="26" t="str">
        <f t="shared" si="4"/>
        <v/>
      </c>
      <c r="D38" s="38"/>
      <c r="E38" s="39" t="str">
        <f t="shared" ref="E38:E57" si="6">IF(D38-B38&lt;=0,"",D38-B38)</f>
        <v/>
      </c>
      <c r="F38" s="35"/>
      <c r="G38" s="39"/>
      <c r="H38" s="23"/>
      <c r="I38" s="35" t="str">
        <f t="shared" si="5"/>
        <v/>
      </c>
      <c r="J38" s="3"/>
      <c r="K38" s="4"/>
      <c r="L38" s="24">
        <v>0.43003472222222222</v>
      </c>
    </row>
    <row r="39" spans="2:13" x14ac:dyDescent="0.2">
      <c r="B39" s="23"/>
      <c r="C39" s="26" t="str">
        <f t="shared" si="4"/>
        <v/>
      </c>
      <c r="D39" s="38"/>
      <c r="E39" s="39" t="str">
        <f t="shared" si="6"/>
        <v/>
      </c>
      <c r="F39" s="35"/>
      <c r="G39" s="39"/>
      <c r="H39" s="23"/>
      <c r="I39" s="35" t="str">
        <f t="shared" si="5"/>
        <v/>
      </c>
      <c r="J39" s="3"/>
      <c r="K39" s="4"/>
      <c r="L39" s="13"/>
    </row>
    <row r="40" spans="2:13" x14ac:dyDescent="0.2">
      <c r="B40" s="37"/>
      <c r="C40" s="26" t="str">
        <f t="shared" si="4"/>
        <v/>
      </c>
      <c r="D40" s="38"/>
      <c r="E40" s="39" t="str">
        <f t="shared" si="6"/>
        <v/>
      </c>
      <c r="F40" s="35"/>
      <c r="G40" s="39"/>
      <c r="H40" s="23"/>
      <c r="I40" s="35" t="str">
        <f t="shared" si="5"/>
        <v/>
      </c>
      <c r="J40" s="3"/>
      <c r="K40" s="4"/>
      <c r="L40" s="13"/>
    </row>
    <row r="41" spans="2:13" x14ac:dyDescent="0.2">
      <c r="B41" s="37"/>
      <c r="C41" s="26" t="str">
        <f t="shared" si="4"/>
        <v/>
      </c>
      <c r="D41" s="38"/>
      <c r="E41" s="39" t="str">
        <f t="shared" si="6"/>
        <v/>
      </c>
      <c r="F41" s="35"/>
      <c r="G41" s="39"/>
      <c r="H41" s="23"/>
      <c r="I41" s="35" t="str">
        <f t="shared" si="5"/>
        <v/>
      </c>
      <c r="J41" s="3"/>
      <c r="K41" s="4"/>
      <c r="L41" s="13"/>
    </row>
    <row r="42" spans="2:13" x14ac:dyDescent="0.2">
      <c r="B42" s="37"/>
      <c r="C42" s="26" t="str">
        <f t="shared" si="4"/>
        <v/>
      </c>
      <c r="D42" s="38"/>
      <c r="E42" s="39" t="str">
        <f t="shared" si="6"/>
        <v/>
      </c>
      <c r="F42" s="35"/>
      <c r="G42" s="39"/>
      <c r="H42" s="23"/>
      <c r="I42" s="35" t="str">
        <f t="shared" si="5"/>
        <v/>
      </c>
      <c r="J42" s="3"/>
      <c r="K42" s="4"/>
      <c r="L42" s="13"/>
    </row>
    <row r="43" spans="2:13" x14ac:dyDescent="0.2">
      <c r="B43" s="37"/>
      <c r="C43" s="26" t="str">
        <f t="shared" si="4"/>
        <v/>
      </c>
      <c r="D43" s="38"/>
      <c r="E43" s="39" t="str">
        <f t="shared" si="6"/>
        <v/>
      </c>
      <c r="F43" s="35"/>
      <c r="G43" s="39"/>
      <c r="H43" s="23"/>
      <c r="I43" s="35" t="str">
        <f t="shared" si="5"/>
        <v/>
      </c>
      <c r="J43" s="3"/>
      <c r="K43" s="4"/>
      <c r="L43" s="13"/>
    </row>
    <row r="44" spans="2:13" x14ac:dyDescent="0.2">
      <c r="B44" s="37"/>
      <c r="C44" s="26" t="str">
        <f t="shared" si="4"/>
        <v/>
      </c>
      <c r="D44" s="38"/>
      <c r="E44" s="39" t="str">
        <f t="shared" si="6"/>
        <v/>
      </c>
      <c r="F44" s="35"/>
      <c r="G44" s="39"/>
      <c r="H44" s="23"/>
      <c r="I44" s="35" t="str">
        <f t="shared" si="5"/>
        <v/>
      </c>
      <c r="J44" s="3"/>
      <c r="K44" s="4"/>
      <c r="L44" s="13"/>
    </row>
    <row r="45" spans="2:13" x14ac:dyDescent="0.2">
      <c r="B45" s="37"/>
      <c r="C45" s="26" t="str">
        <f t="shared" si="4"/>
        <v/>
      </c>
      <c r="D45" s="38"/>
      <c r="E45" s="39" t="str">
        <f t="shared" si="6"/>
        <v/>
      </c>
      <c r="F45" s="35"/>
      <c r="G45" s="39"/>
      <c r="H45" s="23"/>
      <c r="I45" s="35" t="str">
        <f t="shared" si="5"/>
        <v/>
      </c>
      <c r="J45" s="3"/>
      <c r="K45" s="4"/>
      <c r="L45" s="13"/>
    </row>
    <row r="46" spans="2:13" x14ac:dyDescent="0.2">
      <c r="B46" s="37"/>
      <c r="C46" s="26" t="str">
        <f t="shared" si="4"/>
        <v/>
      </c>
      <c r="D46" s="38"/>
      <c r="E46" s="39" t="str">
        <f t="shared" si="6"/>
        <v/>
      </c>
      <c r="F46" s="35"/>
      <c r="G46" s="39"/>
      <c r="H46" s="23"/>
      <c r="I46" s="35" t="str">
        <f t="shared" si="5"/>
        <v/>
      </c>
      <c r="J46" s="3"/>
      <c r="K46" s="4"/>
      <c r="L46" s="13"/>
    </row>
    <row r="47" spans="2:13" x14ac:dyDescent="0.2">
      <c r="B47" s="37"/>
      <c r="C47" s="26" t="str">
        <f t="shared" si="4"/>
        <v/>
      </c>
      <c r="D47" s="38"/>
      <c r="E47" s="39" t="str">
        <f t="shared" si="6"/>
        <v/>
      </c>
      <c r="F47" s="35"/>
      <c r="G47" s="39"/>
      <c r="H47" s="23"/>
      <c r="I47" s="35" t="str">
        <f t="shared" si="5"/>
        <v/>
      </c>
      <c r="J47" s="3"/>
      <c r="K47" s="4"/>
      <c r="L47" s="13"/>
    </row>
    <row r="48" spans="2:13" x14ac:dyDescent="0.2">
      <c r="B48" s="37"/>
      <c r="C48" s="26" t="str">
        <f t="shared" si="4"/>
        <v/>
      </c>
      <c r="D48" s="38"/>
      <c r="E48" s="39" t="str">
        <f t="shared" si="6"/>
        <v/>
      </c>
      <c r="F48" s="35"/>
      <c r="G48" s="39"/>
      <c r="H48" s="23"/>
      <c r="I48" s="35" t="str">
        <f t="shared" si="5"/>
        <v/>
      </c>
      <c r="J48" s="3"/>
      <c r="K48" s="4"/>
      <c r="L48" s="13"/>
    </row>
    <row r="49" spans="1:12" x14ac:dyDescent="0.2">
      <c r="B49" s="37"/>
      <c r="C49" s="26" t="str">
        <f t="shared" si="4"/>
        <v/>
      </c>
      <c r="D49" s="38"/>
      <c r="E49" s="39" t="str">
        <f t="shared" si="6"/>
        <v/>
      </c>
      <c r="F49" s="35"/>
      <c r="G49" s="39"/>
      <c r="H49" s="23"/>
      <c r="I49" s="35" t="str">
        <f t="shared" si="5"/>
        <v/>
      </c>
      <c r="J49" s="3"/>
      <c r="K49" s="4"/>
      <c r="L49" s="13"/>
    </row>
    <row r="50" spans="1:12" x14ac:dyDescent="0.2">
      <c r="B50" s="37"/>
      <c r="C50" s="26" t="str">
        <f t="shared" si="4"/>
        <v/>
      </c>
      <c r="D50" s="38"/>
      <c r="E50" s="39" t="str">
        <f t="shared" si="6"/>
        <v/>
      </c>
      <c r="F50" s="35"/>
      <c r="G50" s="39"/>
      <c r="H50" s="23"/>
      <c r="I50" s="35" t="str">
        <f t="shared" si="5"/>
        <v/>
      </c>
      <c r="J50" s="3"/>
      <c r="K50" s="4"/>
      <c r="L50" s="13"/>
    </row>
    <row r="51" spans="1:12" x14ac:dyDescent="0.2">
      <c r="B51" s="37"/>
      <c r="C51" s="26" t="str">
        <f t="shared" si="4"/>
        <v/>
      </c>
      <c r="D51" s="38"/>
      <c r="E51" s="39" t="str">
        <f t="shared" si="6"/>
        <v/>
      </c>
      <c r="F51" s="35"/>
      <c r="G51" s="39"/>
      <c r="H51" s="23"/>
      <c r="I51" s="35" t="str">
        <f t="shared" si="5"/>
        <v/>
      </c>
      <c r="J51" s="3"/>
      <c r="K51" s="4"/>
      <c r="L51" s="13"/>
    </row>
    <row r="52" spans="1:12" x14ac:dyDescent="0.2">
      <c r="B52" s="37"/>
      <c r="C52" s="26" t="str">
        <f t="shared" si="4"/>
        <v/>
      </c>
      <c r="D52" s="38"/>
      <c r="E52" s="39" t="str">
        <f t="shared" si="6"/>
        <v/>
      </c>
      <c r="F52" s="35"/>
      <c r="G52" s="39"/>
      <c r="H52" s="23"/>
      <c r="I52" s="35" t="str">
        <f t="shared" si="5"/>
        <v/>
      </c>
      <c r="J52" s="3"/>
      <c r="K52" s="4"/>
      <c r="L52" s="13"/>
    </row>
    <row r="53" spans="1:12" x14ac:dyDescent="0.2">
      <c r="B53" s="37"/>
      <c r="C53" s="26" t="str">
        <f t="shared" si="4"/>
        <v/>
      </c>
      <c r="D53" s="38"/>
      <c r="E53" s="39" t="str">
        <f t="shared" si="6"/>
        <v/>
      </c>
      <c r="F53" s="35"/>
      <c r="G53" s="39"/>
      <c r="H53" s="23"/>
      <c r="I53" s="35" t="str">
        <f t="shared" si="5"/>
        <v/>
      </c>
      <c r="J53" s="3"/>
      <c r="K53" s="4"/>
      <c r="L53" s="13"/>
    </row>
    <row r="54" spans="1:12" x14ac:dyDescent="0.2">
      <c r="B54" s="37"/>
      <c r="C54" s="26" t="str">
        <f t="shared" si="4"/>
        <v/>
      </c>
      <c r="D54" s="38"/>
      <c r="E54" s="39" t="str">
        <f t="shared" si="6"/>
        <v/>
      </c>
      <c r="F54" s="35"/>
      <c r="G54" s="39"/>
      <c r="H54" s="23"/>
      <c r="I54" s="35" t="str">
        <f t="shared" si="5"/>
        <v/>
      </c>
      <c r="J54" s="3"/>
      <c r="K54" s="4"/>
      <c r="L54" s="13"/>
    </row>
    <row r="55" spans="1:12" x14ac:dyDescent="0.2">
      <c r="B55" s="37"/>
      <c r="C55" s="26" t="str">
        <f t="shared" si="4"/>
        <v/>
      </c>
      <c r="D55" s="38"/>
      <c r="E55" s="39" t="str">
        <f t="shared" si="6"/>
        <v/>
      </c>
      <c r="F55" s="35"/>
      <c r="G55" s="39"/>
      <c r="H55" s="23"/>
      <c r="I55" s="35" t="str">
        <f t="shared" si="5"/>
        <v/>
      </c>
      <c r="J55" s="3"/>
      <c r="K55" s="4"/>
      <c r="L55" s="13"/>
    </row>
    <row r="56" spans="1:12" x14ac:dyDescent="0.2">
      <c r="B56" s="37"/>
      <c r="C56" s="26" t="str">
        <f t="shared" si="4"/>
        <v/>
      </c>
      <c r="D56" s="38"/>
      <c r="E56" s="39" t="str">
        <f t="shared" si="6"/>
        <v/>
      </c>
      <c r="F56" s="35"/>
      <c r="G56" s="39"/>
      <c r="H56" s="23"/>
      <c r="I56" s="35" t="str">
        <f t="shared" si="5"/>
        <v/>
      </c>
      <c r="J56" s="3"/>
      <c r="K56" s="4"/>
      <c r="L56" s="13"/>
    </row>
    <row r="57" spans="1:12" x14ac:dyDescent="0.2">
      <c r="B57" s="37"/>
      <c r="C57" s="26" t="str">
        <f t="shared" si="4"/>
        <v/>
      </c>
      <c r="D57" s="38"/>
      <c r="E57" s="39" t="str">
        <f t="shared" si="6"/>
        <v/>
      </c>
      <c r="F57" s="35"/>
      <c r="G57" s="39"/>
      <c r="H57" s="23"/>
      <c r="I57" s="35" t="str">
        <f t="shared" si="5"/>
        <v/>
      </c>
      <c r="J57" s="3"/>
      <c r="K57" s="4"/>
      <c r="L57" s="13"/>
    </row>
    <row r="58" spans="1:12" x14ac:dyDescent="0.2">
      <c r="A58" t="s">
        <v>42</v>
      </c>
      <c r="B58" s="10"/>
      <c r="C58" s="10">
        <f>MAX(C34:C57)</f>
        <v>43200</v>
      </c>
      <c r="D58" s="10"/>
      <c r="F58" s="10" t="e">
        <f>MAX(F34:F57)</f>
        <v>#VALUE!</v>
      </c>
      <c r="G58" s="23"/>
      <c r="H58" s="23"/>
      <c r="I58" s="10">
        <f>MAX(I34:I57)</f>
        <v>0</v>
      </c>
      <c r="J58" s="23">
        <f>MAX(J34:J57)</f>
        <v>0</v>
      </c>
      <c r="K58" s="23">
        <f>MAX(K34:K57)</f>
        <v>0</v>
      </c>
      <c r="L58" s="23">
        <f>MAX(L34:L57)</f>
        <v>0.43003472222222222</v>
      </c>
    </row>
    <row r="59" spans="1:12" x14ac:dyDescent="0.2">
      <c r="A59" t="s">
        <v>43</v>
      </c>
      <c r="B59" s="10"/>
      <c r="C59" s="10">
        <f>AVERAGE(C34:C57)</f>
        <v>43200</v>
      </c>
      <c r="D59" s="10"/>
      <c r="F59" s="10" t="e">
        <f>AVERAGE(F34:F57)</f>
        <v>#VALUE!</v>
      </c>
      <c r="G59" s="23"/>
      <c r="H59" s="23"/>
      <c r="I59" s="10" t="e">
        <f>AVERAGE(I34:I57)</f>
        <v>#DIV/0!</v>
      </c>
      <c r="J59" s="23" t="e">
        <f>AVERAGE(J34:J57)</f>
        <v>#DIV/0!</v>
      </c>
      <c r="K59" s="23" t="e">
        <f>AVERAGE(K34:K57)</f>
        <v>#DIV/0!</v>
      </c>
      <c r="L59" s="23">
        <f>AVERAGE(L34:L57)</f>
        <v>0.43003472222222222</v>
      </c>
    </row>
    <row r="60" spans="1:12" x14ac:dyDescent="0.2">
      <c r="A60" t="s">
        <v>99</v>
      </c>
      <c r="B60" s="10"/>
      <c r="C60" s="10">
        <f>STDEV(C34:C57)</f>
        <v>0</v>
      </c>
      <c r="D60" s="10"/>
      <c r="F60" s="10" t="e">
        <f>STDEV(F34:F57)</f>
        <v>#VALUE!</v>
      </c>
      <c r="G60" s="10"/>
      <c r="H60" s="10"/>
      <c r="I60" s="10" t="e">
        <f>STDEV(I34:I57)</f>
        <v>#DIV/0!</v>
      </c>
      <c r="J60" s="10" t="e">
        <f>J59*1440</f>
        <v>#DIV/0!</v>
      </c>
      <c r="K60" s="10" t="e">
        <f>K59*1440</f>
        <v>#DIV/0!</v>
      </c>
      <c r="L60" s="10">
        <f>L59*1440</f>
        <v>619.25</v>
      </c>
    </row>
    <row r="61" spans="1:12" x14ac:dyDescent="0.2">
      <c r="A61" t="s">
        <v>45</v>
      </c>
      <c r="B61" s="23">
        <f>C61/1440</f>
        <v>30</v>
      </c>
      <c r="C61" s="10">
        <f>C59+C60</f>
        <v>43200</v>
      </c>
      <c r="D61" s="10"/>
      <c r="F61" s="10" t="e">
        <f>F59+F60</f>
        <v>#VALUE!</v>
      </c>
      <c r="I61" s="10" t="e">
        <f>I59+I60</f>
        <v>#DIV/0!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65"/>
  <sheetViews>
    <sheetView workbookViewId="0">
      <selection activeCell="K2" sqref="K2:O6"/>
    </sheetView>
  </sheetViews>
  <sheetFormatPr defaultRowHeight="15" x14ac:dyDescent="0.2"/>
  <cols>
    <col min="2" max="2" width="13.44921875" customWidth="1"/>
    <col min="3" max="3" width="10.22265625" customWidth="1"/>
    <col min="4" max="4" width="12.23828125" customWidth="1"/>
    <col min="5" max="5" width="11.1640625" customWidth="1"/>
    <col min="6" max="6" width="11.02734375" customWidth="1"/>
    <col min="7" max="7" width="12.23828125" bestFit="1" customWidth="1"/>
    <col min="8" max="8" width="11.43359375" bestFit="1" customWidth="1"/>
    <col min="9" max="9" width="11.56640625" customWidth="1"/>
    <col min="10" max="10" width="12.10546875" customWidth="1"/>
    <col min="11" max="11" width="12.64453125" bestFit="1" customWidth="1"/>
    <col min="12" max="13" width="12.64453125" customWidth="1"/>
    <col min="14" max="14" width="16.8125" customWidth="1"/>
    <col min="15" max="15" width="18.5625" bestFit="1" customWidth="1"/>
  </cols>
  <sheetData>
    <row r="1" spans="2:22" ht="41.25" x14ac:dyDescent="0.2">
      <c r="B1" s="16" t="s">
        <v>69</v>
      </c>
      <c r="C1" s="18" t="s">
        <v>73</v>
      </c>
      <c r="D1" s="18" t="s">
        <v>23</v>
      </c>
      <c r="E1" s="18" t="s">
        <v>8</v>
      </c>
      <c r="F1" s="19" t="s">
        <v>74</v>
      </c>
      <c r="G1" s="28" t="s">
        <v>71</v>
      </c>
      <c r="H1" s="33" t="s">
        <v>72</v>
      </c>
      <c r="I1" s="2" t="s">
        <v>20</v>
      </c>
      <c r="K1" s="3" t="s">
        <v>9</v>
      </c>
      <c r="L1" s="4" t="s">
        <v>100</v>
      </c>
      <c r="M1" s="17" t="s">
        <v>101</v>
      </c>
      <c r="N1" s="18" t="s">
        <v>10</v>
      </c>
      <c r="O1" s="13" t="s">
        <v>11</v>
      </c>
      <c r="S1" t="s">
        <v>12</v>
      </c>
    </row>
    <row r="2" spans="2:22" x14ac:dyDescent="0.2">
      <c r="B2">
        <v>8.8000000000000007</v>
      </c>
      <c r="C2">
        <v>907.1</v>
      </c>
      <c r="D2" s="4"/>
      <c r="E2" s="4"/>
      <c r="F2">
        <v>602</v>
      </c>
      <c r="G2" s="12"/>
      <c r="K2" s="3"/>
      <c r="L2" s="4"/>
      <c r="M2" s="4"/>
      <c r="N2" s="4"/>
      <c r="O2" s="13"/>
      <c r="R2" t="s">
        <v>18</v>
      </c>
      <c r="S2" t="s">
        <v>14</v>
      </c>
      <c r="T2" t="s">
        <v>15</v>
      </c>
      <c r="U2" t="s">
        <v>16</v>
      </c>
      <c r="V2" t="s">
        <v>17</v>
      </c>
    </row>
    <row r="3" spans="2:22" x14ac:dyDescent="0.2">
      <c r="B3" s="12"/>
      <c r="C3" s="4"/>
      <c r="D3" s="4"/>
      <c r="E3" s="17"/>
      <c r="F3" s="14"/>
      <c r="G3" s="12"/>
      <c r="K3" s="3"/>
      <c r="L3" s="4"/>
      <c r="M3" s="4"/>
      <c r="N3" s="4"/>
      <c r="O3" s="13"/>
      <c r="R3">
        <v>4922</v>
      </c>
      <c r="S3">
        <v>907.1</v>
      </c>
      <c r="T3">
        <v>8.8000000000000007</v>
      </c>
      <c r="U3">
        <v>37.799999999999997</v>
      </c>
    </row>
    <row r="4" spans="2:22" x14ac:dyDescent="0.2">
      <c r="B4" s="12"/>
      <c r="C4" s="4"/>
      <c r="D4" s="4"/>
      <c r="E4" s="17"/>
      <c r="F4" s="13"/>
      <c r="G4" s="12"/>
      <c r="K4" s="3"/>
      <c r="L4" s="4"/>
      <c r="M4" s="4"/>
      <c r="N4" s="4"/>
      <c r="O4" s="13"/>
    </row>
    <row r="5" spans="2:22" x14ac:dyDescent="0.2">
      <c r="B5" s="12"/>
      <c r="C5" s="4"/>
      <c r="D5" s="17"/>
      <c r="E5" s="17"/>
      <c r="F5" s="13"/>
      <c r="G5" s="12"/>
      <c r="K5" s="3"/>
      <c r="L5" s="4"/>
      <c r="M5" s="4"/>
      <c r="N5" s="4"/>
      <c r="O5" s="13"/>
    </row>
    <row r="6" spans="2:22" x14ac:dyDescent="0.2">
      <c r="B6" s="12"/>
      <c r="C6" s="17"/>
      <c r="D6" s="17"/>
      <c r="E6" s="17"/>
      <c r="F6" s="13"/>
      <c r="G6" s="12"/>
      <c r="H6" s="17"/>
      <c r="K6" s="3"/>
      <c r="L6" s="17"/>
      <c r="M6" s="4"/>
      <c r="N6" s="4"/>
      <c r="O6" s="13"/>
    </row>
    <row r="7" spans="2:22" x14ac:dyDescent="0.2">
      <c r="B7" s="12"/>
      <c r="C7" s="17"/>
      <c r="D7" s="17"/>
      <c r="E7" s="17"/>
      <c r="F7" s="13"/>
      <c r="G7" s="12"/>
      <c r="K7" s="3"/>
      <c r="L7" s="4"/>
      <c r="M7" s="4"/>
      <c r="N7" s="4"/>
      <c r="O7" s="13"/>
    </row>
    <row r="8" spans="2:22" x14ac:dyDescent="0.2">
      <c r="B8" s="12"/>
      <c r="C8" s="17"/>
      <c r="D8" s="17"/>
      <c r="E8" s="4"/>
      <c r="F8" s="13"/>
      <c r="G8" s="12"/>
      <c r="K8" s="3"/>
      <c r="L8" s="4"/>
      <c r="M8" s="4"/>
      <c r="N8" s="4"/>
      <c r="O8" s="13"/>
    </row>
    <row r="9" spans="2:22" x14ac:dyDescent="0.2">
      <c r="B9" s="12"/>
      <c r="C9" s="17"/>
      <c r="D9" s="4"/>
      <c r="E9" s="4"/>
      <c r="F9" s="13"/>
      <c r="G9" s="12"/>
      <c r="I9" s="33"/>
      <c r="K9" s="3"/>
      <c r="L9" s="4"/>
      <c r="M9" s="4"/>
      <c r="N9" s="4"/>
      <c r="O9" s="13"/>
    </row>
    <row r="10" spans="2:22" x14ac:dyDescent="0.2">
      <c r="B10" s="12"/>
      <c r="C10" s="17"/>
      <c r="D10" s="4"/>
      <c r="E10" s="4"/>
      <c r="F10" s="13"/>
      <c r="G10" s="12"/>
      <c r="K10" s="3"/>
      <c r="L10" s="4"/>
      <c r="M10" s="4"/>
      <c r="N10" s="4"/>
      <c r="O10" s="13"/>
    </row>
    <row r="11" spans="2:22" x14ac:dyDescent="0.2">
      <c r="B11" s="12"/>
      <c r="C11" s="17"/>
      <c r="D11" s="4"/>
      <c r="E11" s="4"/>
      <c r="F11" s="13"/>
      <c r="G11" s="12"/>
      <c r="K11" s="3"/>
      <c r="L11" s="4"/>
      <c r="M11" s="4"/>
      <c r="N11" s="4"/>
      <c r="O11" s="13"/>
    </row>
    <row r="12" spans="2:22" x14ac:dyDescent="0.2">
      <c r="B12" s="12"/>
      <c r="C12" s="17"/>
      <c r="D12" s="4"/>
      <c r="E12" s="4"/>
      <c r="F12" s="13"/>
      <c r="G12" s="12"/>
      <c r="K12" s="3"/>
      <c r="L12" s="4"/>
      <c r="M12" s="4"/>
      <c r="N12" s="4"/>
      <c r="O12" s="13"/>
    </row>
    <row r="13" spans="2:22" x14ac:dyDescent="0.2">
      <c r="B13" s="12"/>
      <c r="C13" s="17"/>
      <c r="D13" s="4"/>
      <c r="E13" s="4"/>
      <c r="F13" s="13"/>
      <c r="G13" s="12"/>
      <c r="K13" s="3"/>
      <c r="L13" s="4"/>
      <c r="M13" s="4"/>
      <c r="N13" s="4"/>
      <c r="O13" s="13"/>
    </row>
    <row r="14" spans="2:22" x14ac:dyDescent="0.2">
      <c r="B14" s="12"/>
      <c r="C14" s="4"/>
      <c r="D14" s="4"/>
      <c r="E14" s="4"/>
      <c r="F14" s="13"/>
      <c r="G14" s="12"/>
      <c r="K14" s="3"/>
      <c r="L14" s="4"/>
      <c r="M14" s="4"/>
      <c r="N14" s="4"/>
      <c r="O14" s="13"/>
    </row>
    <row r="15" spans="2:22" x14ac:dyDescent="0.2">
      <c r="B15" s="12"/>
      <c r="C15" s="4"/>
      <c r="D15" s="4"/>
      <c r="E15" s="4"/>
      <c r="F15" s="13"/>
      <c r="G15" s="12"/>
      <c r="K15" s="3"/>
      <c r="L15" s="4"/>
      <c r="M15" s="4"/>
      <c r="N15" s="4"/>
      <c r="O15" s="13"/>
    </row>
    <row r="16" spans="2:22" x14ac:dyDescent="0.2">
      <c r="B16" s="12"/>
      <c r="C16" s="4"/>
      <c r="D16" s="4"/>
      <c r="E16" s="4"/>
      <c r="F16" s="13"/>
      <c r="G16" s="12"/>
      <c r="K16" s="3"/>
      <c r="L16" s="4"/>
      <c r="M16" s="4"/>
      <c r="N16" s="4"/>
      <c r="O16" s="13"/>
    </row>
    <row r="17" spans="1:22" x14ac:dyDescent="0.2">
      <c r="B17" s="12"/>
      <c r="C17" s="4"/>
      <c r="D17" s="4"/>
      <c r="E17" s="4"/>
      <c r="F17" s="13"/>
      <c r="G17" s="12"/>
      <c r="K17" s="3"/>
      <c r="L17" s="4"/>
      <c r="M17" s="4"/>
      <c r="N17" s="4"/>
      <c r="O17" s="13"/>
    </row>
    <row r="18" spans="1:22" x14ac:dyDescent="0.2">
      <c r="B18" s="12"/>
      <c r="C18" s="4"/>
      <c r="D18" s="4"/>
      <c r="E18" s="4"/>
      <c r="F18" s="13"/>
      <c r="G18" s="12"/>
      <c r="K18" s="3"/>
      <c r="L18" s="4"/>
      <c r="M18" s="4"/>
      <c r="N18" s="4"/>
      <c r="O18" s="13"/>
    </row>
    <row r="19" spans="1:22" x14ac:dyDescent="0.2">
      <c r="B19" s="12"/>
      <c r="C19" s="4"/>
      <c r="D19" s="4"/>
      <c r="E19" s="4"/>
      <c r="F19" s="13"/>
      <c r="G19" s="12"/>
      <c r="K19" s="3"/>
      <c r="L19" s="4"/>
      <c r="M19" s="4"/>
      <c r="N19" s="4"/>
      <c r="O19" s="13"/>
    </row>
    <row r="20" spans="1:22" x14ac:dyDescent="0.2">
      <c r="B20" s="12"/>
      <c r="C20" s="4"/>
      <c r="D20" s="4"/>
      <c r="E20" s="4"/>
      <c r="F20" s="13"/>
      <c r="G20" s="12"/>
      <c r="K20" s="3"/>
      <c r="L20" s="4"/>
      <c r="M20" s="4"/>
      <c r="N20" s="4"/>
      <c r="O20" s="13"/>
    </row>
    <row r="21" spans="1:22" x14ac:dyDescent="0.2">
      <c r="B21" s="12"/>
      <c r="C21" s="4"/>
      <c r="D21" s="4"/>
      <c r="E21" s="4"/>
      <c r="F21" s="13"/>
      <c r="G21" s="12"/>
      <c r="K21" s="3"/>
      <c r="L21" s="4"/>
      <c r="M21" s="4"/>
      <c r="N21" s="4"/>
      <c r="O21" s="13"/>
    </row>
    <row r="22" spans="1:22" x14ac:dyDescent="0.2">
      <c r="B22" s="12"/>
      <c r="C22" s="4"/>
      <c r="D22" s="4"/>
      <c r="E22" s="4"/>
      <c r="F22" s="13"/>
      <c r="G22" s="12"/>
      <c r="K22" s="3"/>
      <c r="L22" s="4"/>
      <c r="M22" s="4"/>
      <c r="N22" s="4"/>
      <c r="O22" s="13"/>
    </row>
    <row r="23" spans="1:22" x14ac:dyDescent="0.2">
      <c r="B23" s="12"/>
      <c r="C23" s="4"/>
      <c r="D23" s="4"/>
      <c r="E23" s="4"/>
      <c r="F23" s="13"/>
      <c r="G23" s="12"/>
      <c r="K23" s="3"/>
      <c r="L23" s="4"/>
      <c r="M23" s="4"/>
      <c r="N23" s="4"/>
      <c r="O23" s="13"/>
    </row>
    <row r="24" spans="1:22" x14ac:dyDescent="0.2">
      <c r="B24" s="12"/>
      <c r="C24" s="4"/>
      <c r="D24" s="4"/>
      <c r="E24" s="4"/>
      <c r="F24" s="13"/>
      <c r="G24" s="12"/>
      <c r="K24" s="3"/>
      <c r="L24" s="4"/>
      <c r="M24" s="4"/>
      <c r="N24" s="4"/>
      <c r="O24" s="13"/>
    </row>
    <row r="25" spans="1:22" x14ac:dyDescent="0.2">
      <c r="B25" s="12"/>
      <c r="C25" s="4"/>
      <c r="D25" s="4"/>
      <c r="E25" s="4"/>
      <c r="F25" s="13"/>
      <c r="G25" s="12"/>
      <c r="K25" s="3"/>
      <c r="L25" s="4"/>
      <c r="M25" s="4"/>
      <c r="N25" s="4"/>
      <c r="O25" s="13"/>
    </row>
    <row r="26" spans="1:22" x14ac:dyDescent="0.2">
      <c r="A26" t="s">
        <v>42</v>
      </c>
      <c r="B26" s="12">
        <f>ROUNDUP(MAX(B2:B25),0)</f>
        <v>9</v>
      </c>
      <c r="C26" s="11">
        <f>ROUNDUP(MAX(C2:C25),0)</f>
        <v>908</v>
      </c>
      <c r="D26" s="11">
        <f>MAX(D2:D25)</f>
        <v>0</v>
      </c>
      <c r="E26" s="11">
        <f>MAX(E2:E25)</f>
        <v>0</v>
      </c>
      <c r="F26" s="14">
        <f>ROUNDUP(MAX(F2:F25),0)</f>
        <v>602</v>
      </c>
      <c r="G26" s="12">
        <f>MAX(G2:G25)</f>
        <v>0</v>
      </c>
      <c r="H26" s="9">
        <f>MAX(H2:H25)</f>
        <v>0</v>
      </c>
      <c r="I26">
        <f>MAX(I2:I25)</f>
        <v>0</v>
      </c>
      <c r="K26" s="3">
        <f>MAX(K2:K25)</f>
        <v>0</v>
      </c>
      <c r="L26" s="4"/>
      <c r="M26" s="4"/>
      <c r="N26" s="4">
        <f>MAX(N2:N25)</f>
        <v>0</v>
      </c>
      <c r="O26" s="14">
        <f>MAX(O2:O25)</f>
        <v>0</v>
      </c>
      <c r="R26">
        <f>MAX(R2:R25)</f>
        <v>4922</v>
      </c>
      <c r="S26">
        <f>MAX(S2:S25)</f>
        <v>907.1</v>
      </c>
      <c r="T26">
        <f>MAX(T2:T25)</f>
        <v>8.8000000000000007</v>
      </c>
      <c r="U26">
        <f>MAX(U2:U25)</f>
        <v>37.799999999999997</v>
      </c>
      <c r="V26">
        <f>MAX(V2:V25)</f>
        <v>0</v>
      </c>
    </row>
    <row r="27" spans="1:22" x14ac:dyDescent="0.2">
      <c r="A27" t="s">
        <v>43</v>
      </c>
      <c r="B27" s="12">
        <f>ROUNDUP(AVERAGE(B2:B25),0)</f>
        <v>9</v>
      </c>
      <c r="C27" s="11">
        <f>ROUNDUP(AVERAGE(C2:C25),0)</f>
        <v>908</v>
      </c>
      <c r="D27" s="11" t="e">
        <f>AVERAGE(D2:D25)</f>
        <v>#DIV/0!</v>
      </c>
      <c r="E27" s="11" t="e">
        <f>AVERAGE(E2:E25)</f>
        <v>#DIV/0!</v>
      </c>
      <c r="F27" s="14">
        <f>ROUNDUP(AVERAGE(F2:F25),0)</f>
        <v>602</v>
      </c>
      <c r="G27" s="12" t="e">
        <f>AVERAGE(G2:G25)</f>
        <v>#DIV/0!</v>
      </c>
      <c r="H27" s="9" t="e">
        <f>AVERAGE(H2:H25)</f>
        <v>#DIV/0!</v>
      </c>
      <c r="I27" s="1" t="e">
        <f>AVERAGE(I2:I25)</f>
        <v>#DIV/0!</v>
      </c>
      <c r="K27" s="12" t="e">
        <f t="shared" ref="K27:V27" si="0">AVERAGE(K2:K25)</f>
        <v>#DIV/0!</v>
      </c>
      <c r="L27" s="11"/>
      <c r="M27" s="11"/>
      <c r="N27" s="4" t="e">
        <f t="shared" si="0"/>
        <v>#DIV/0!</v>
      </c>
      <c r="O27" s="14" t="e">
        <f t="shared" si="0"/>
        <v>#DIV/0!</v>
      </c>
      <c r="R27">
        <f t="shared" si="0"/>
        <v>4922</v>
      </c>
      <c r="S27">
        <f t="shared" si="0"/>
        <v>907.1</v>
      </c>
      <c r="T27">
        <f t="shared" si="0"/>
        <v>8.8000000000000007</v>
      </c>
      <c r="U27">
        <f t="shared" si="0"/>
        <v>37.799999999999997</v>
      </c>
      <c r="V27" t="e">
        <f t="shared" si="0"/>
        <v>#DIV/0!</v>
      </c>
    </row>
    <row r="28" spans="1:22" x14ac:dyDescent="0.2">
      <c r="A28" t="s">
        <v>44</v>
      </c>
      <c r="B28" s="12" t="e">
        <f>STDEV(B2:B25)</f>
        <v>#DIV/0!</v>
      </c>
      <c r="C28" s="11" t="e">
        <f t="shared" ref="C28:V28" si="1">STDEV(C2:C25)</f>
        <v>#DIV/0!</v>
      </c>
      <c r="D28" s="11" t="e">
        <f t="shared" si="1"/>
        <v>#DIV/0!</v>
      </c>
      <c r="E28" s="11" t="e">
        <f t="shared" si="1"/>
        <v>#DIV/0!</v>
      </c>
      <c r="F28" s="14" t="e">
        <f>STDEV(F2:F25)</f>
        <v>#DIV/0!</v>
      </c>
      <c r="G28" s="12" t="e">
        <f>STDEV(G2:G25)</f>
        <v>#DIV/0!</v>
      </c>
      <c r="H28" s="9" t="e">
        <f>STDEV(H2:H25)</f>
        <v>#DIV/0!</v>
      </c>
      <c r="I28" t="e">
        <f>STDEV(I2:I25)</f>
        <v>#DIV/0!</v>
      </c>
      <c r="K28" s="12" t="e">
        <f t="shared" si="1"/>
        <v>#DIV/0!</v>
      </c>
      <c r="L28" s="11"/>
      <c r="M28" s="11"/>
      <c r="N28" s="11" t="e">
        <f t="shared" si="1"/>
        <v>#DIV/0!</v>
      </c>
      <c r="O28" s="13" t="e">
        <f t="shared" si="1"/>
        <v>#DIV/0!</v>
      </c>
      <c r="R28" t="e">
        <f t="shared" si="1"/>
        <v>#DIV/0!</v>
      </c>
      <c r="S28" t="e">
        <f t="shared" si="1"/>
        <v>#DIV/0!</v>
      </c>
      <c r="T28" t="e">
        <f t="shared" si="1"/>
        <v>#DIV/0!</v>
      </c>
      <c r="U28" t="e">
        <f t="shared" si="1"/>
        <v>#DIV/0!</v>
      </c>
      <c r="V28" t="e">
        <f t="shared" si="1"/>
        <v>#DIV/0!</v>
      </c>
    </row>
    <row r="29" spans="1:22" x14ac:dyDescent="0.2">
      <c r="A29" t="s">
        <v>45</v>
      </c>
      <c r="B29" s="12" t="e">
        <f t="shared" ref="B29:I29" si="2">B27+B28</f>
        <v>#DIV/0!</v>
      </c>
      <c r="C29" s="11" t="e">
        <f t="shared" si="2"/>
        <v>#DIV/0!</v>
      </c>
      <c r="D29" s="11" t="e">
        <f t="shared" si="2"/>
        <v>#DIV/0!</v>
      </c>
      <c r="E29" s="8" t="e">
        <f t="shared" si="2"/>
        <v>#DIV/0!</v>
      </c>
      <c r="F29" s="14" t="e">
        <f t="shared" si="2"/>
        <v>#DIV/0!</v>
      </c>
      <c r="G29" s="12" t="e">
        <f t="shared" si="2"/>
        <v>#DIV/0!</v>
      </c>
      <c r="H29" s="14" t="e">
        <f t="shared" si="2"/>
        <v>#DIV/0!</v>
      </c>
      <c r="I29" s="11" t="e">
        <f t="shared" si="2"/>
        <v>#DIV/0!</v>
      </c>
      <c r="K29" s="12" t="e">
        <f>K27+K28</f>
        <v>#DIV/0!</v>
      </c>
      <c r="L29" s="11"/>
      <c r="M29" s="11"/>
      <c r="N29" s="11" t="e">
        <f>N27+N28</f>
        <v>#DIV/0!</v>
      </c>
      <c r="O29" s="14" t="e">
        <f>O27+O28</f>
        <v>#DIV/0!</v>
      </c>
      <c r="P29" s="9" t="e">
        <f>SUM(K29:O29)</f>
        <v>#DIV/0!</v>
      </c>
    </row>
    <row r="30" spans="1:22" x14ac:dyDescent="0.2">
      <c r="A30" t="s">
        <v>54</v>
      </c>
      <c r="F30" s="9" t="e">
        <f>SUM(B29:F29)</f>
        <v>#DIV/0!</v>
      </c>
      <c r="P30" t="e">
        <f>ROUNDUP(P29*1.02,0)</f>
        <v>#DIV/0!</v>
      </c>
    </row>
    <row r="32" spans="1:22" x14ac:dyDescent="0.2">
      <c r="A32" t="s">
        <v>52</v>
      </c>
      <c r="J32" s="55" t="s">
        <v>55</v>
      </c>
      <c r="K32" s="55"/>
      <c r="L32" s="55"/>
      <c r="M32" s="55"/>
      <c r="N32" s="55"/>
    </row>
    <row r="33" spans="2:15" ht="41.25" x14ac:dyDescent="0.2">
      <c r="B33" s="19" t="s">
        <v>107</v>
      </c>
      <c r="C33" s="19" t="s">
        <v>108</v>
      </c>
      <c r="D33" s="16" t="s">
        <v>110</v>
      </c>
      <c r="E33" s="18" t="s">
        <v>111</v>
      </c>
      <c r="F33" s="19" t="s">
        <v>112</v>
      </c>
      <c r="G33" t="s">
        <v>19</v>
      </c>
      <c r="H33" t="s">
        <v>19</v>
      </c>
      <c r="I33" t="s">
        <v>19</v>
      </c>
      <c r="J33" s="16" t="s">
        <v>56</v>
      </c>
      <c r="L33" s="18" t="s">
        <v>10</v>
      </c>
      <c r="M33" s="18"/>
      <c r="N33" s="19" t="s">
        <v>11</v>
      </c>
      <c r="O33" s="25" t="s">
        <v>64</v>
      </c>
    </row>
    <row r="34" spans="2:15" x14ac:dyDescent="0.2">
      <c r="B34" s="21">
        <v>0.32959490740740743</v>
      </c>
      <c r="C34" s="26">
        <f>IF(B34*1440=0,"",B34*1440)</f>
        <v>474.61666666666673</v>
      </c>
      <c r="D34" s="38"/>
      <c r="E34" s="39" t="str">
        <f>IF(D34-B34&lt;=0,"",D34-B34)</f>
        <v/>
      </c>
      <c r="F34" s="35"/>
      <c r="G34" s="3"/>
      <c r="J34" s="3"/>
      <c r="K34" s="4"/>
      <c r="L34" s="4"/>
      <c r="M34" s="4"/>
    </row>
    <row r="35" spans="2:15" x14ac:dyDescent="0.2">
      <c r="B35" s="21">
        <v>0.31752314814814814</v>
      </c>
      <c r="C35" s="26">
        <f t="shared" ref="C35:C57" si="3">IF(B35*1440=0,"",B35*1440)</f>
        <v>457.23333333333329</v>
      </c>
      <c r="D35" s="20"/>
      <c r="E35" s="39" t="str">
        <f>IF(D35-B35&lt;=0,"",D35-B35)</f>
        <v/>
      </c>
      <c r="F35" s="35"/>
      <c r="G35" s="3"/>
      <c r="J35" s="3"/>
      <c r="K35" s="4"/>
      <c r="L35" s="4"/>
      <c r="M35" s="4"/>
      <c r="N35" s="13"/>
    </row>
    <row r="36" spans="2:15" x14ac:dyDescent="0.2">
      <c r="B36" s="21">
        <v>0.32743055555555556</v>
      </c>
      <c r="C36" s="26">
        <f t="shared" si="3"/>
        <v>471.5</v>
      </c>
      <c r="D36" s="20"/>
      <c r="E36" s="39" t="str">
        <f>IF(D36-B36&lt;=0,"",D36-B36)</f>
        <v/>
      </c>
      <c r="F36" s="35"/>
      <c r="G36" s="3"/>
      <c r="J36" s="3"/>
      <c r="K36" s="4"/>
      <c r="L36" s="4"/>
      <c r="M36" s="4"/>
      <c r="N36" s="13"/>
    </row>
    <row r="37" spans="2:15" x14ac:dyDescent="0.2">
      <c r="B37" s="21">
        <v>0.31533564814814813</v>
      </c>
      <c r="C37" s="26">
        <f t="shared" si="3"/>
        <v>454.08333333333331</v>
      </c>
      <c r="D37" s="20">
        <v>0.33876157407407409</v>
      </c>
      <c r="E37" s="39">
        <f>IF(D37-B37&lt;=0,"",D37-B37)</f>
        <v>2.3425925925925961E-2</v>
      </c>
      <c r="F37" s="35">
        <f>IF(E37*1440=0,"",E37*1440)</f>
        <v>33.733333333333384</v>
      </c>
      <c r="G37" s="20">
        <v>0.34105324074074073</v>
      </c>
      <c r="H37" s="39">
        <f>IF(G37-D37&lt;=0,"",G37-D37)</f>
        <v>2.2916666666666363E-3</v>
      </c>
      <c r="I37" s="35">
        <f>IF(H37*1440=0,"",H37*1440)</f>
        <v>3.2999999999999563</v>
      </c>
      <c r="J37" s="3"/>
      <c r="K37" s="4"/>
      <c r="L37" s="4"/>
      <c r="M37" s="4"/>
      <c r="N37" s="13"/>
      <c r="O37" s="27">
        <v>0.6834027777777778</v>
      </c>
    </row>
    <row r="38" spans="2:15" x14ac:dyDescent="0.2">
      <c r="B38" s="21"/>
      <c r="C38" s="26" t="str">
        <f t="shared" si="3"/>
        <v/>
      </c>
      <c r="D38" s="20"/>
      <c r="E38" s="20"/>
      <c r="G38" s="3"/>
      <c r="J38" s="3"/>
      <c r="K38" s="4"/>
      <c r="L38" s="4"/>
      <c r="M38" s="4"/>
    </row>
    <row r="39" spans="2:15" x14ac:dyDescent="0.2">
      <c r="C39" s="26" t="str">
        <f t="shared" si="3"/>
        <v/>
      </c>
      <c r="D39" s="20"/>
      <c r="E39" s="20"/>
      <c r="G39" s="3"/>
      <c r="L39" s="4"/>
      <c r="M39" s="4"/>
      <c r="N39" s="13"/>
    </row>
    <row r="40" spans="2:15" x14ac:dyDescent="0.2">
      <c r="B40" s="21"/>
      <c r="C40" s="26" t="str">
        <f t="shared" si="3"/>
        <v/>
      </c>
      <c r="D40" s="20"/>
      <c r="E40" s="20"/>
      <c r="G40" s="3"/>
      <c r="J40" s="3"/>
      <c r="K40" s="4"/>
      <c r="L40" s="4"/>
      <c r="M40" s="4"/>
      <c r="N40" s="13"/>
    </row>
    <row r="41" spans="2:15" x14ac:dyDescent="0.2">
      <c r="B41" s="21"/>
      <c r="C41" s="26" t="str">
        <f t="shared" si="3"/>
        <v/>
      </c>
      <c r="D41" s="20"/>
      <c r="E41" s="20"/>
      <c r="G41" s="3"/>
      <c r="J41" s="3"/>
      <c r="K41" s="4"/>
      <c r="L41" s="4"/>
      <c r="M41" s="4"/>
      <c r="N41" s="13"/>
    </row>
    <row r="42" spans="2:15" x14ac:dyDescent="0.2">
      <c r="B42" s="21"/>
      <c r="C42" s="26" t="str">
        <f t="shared" si="3"/>
        <v/>
      </c>
      <c r="D42" s="20"/>
      <c r="E42" s="20"/>
      <c r="G42" s="30"/>
      <c r="H42" s="32"/>
      <c r="I42" s="27"/>
      <c r="J42" s="3"/>
      <c r="K42" s="4"/>
      <c r="L42" s="4"/>
      <c r="M42" s="4"/>
      <c r="N42" s="13"/>
    </row>
    <row r="43" spans="2:15" x14ac:dyDescent="0.2">
      <c r="B43" s="21"/>
      <c r="C43" s="26" t="str">
        <f t="shared" si="3"/>
        <v/>
      </c>
      <c r="D43" s="20"/>
      <c r="E43" s="20"/>
      <c r="G43" s="3"/>
      <c r="J43" s="3"/>
      <c r="K43" s="4"/>
      <c r="L43" s="4"/>
      <c r="M43" s="4"/>
      <c r="N43" s="13"/>
    </row>
    <row r="44" spans="2:15" x14ac:dyDescent="0.2">
      <c r="B44" s="21"/>
      <c r="C44" s="26" t="str">
        <f t="shared" si="3"/>
        <v/>
      </c>
      <c r="D44" s="20"/>
      <c r="E44" s="20"/>
      <c r="G44" s="3"/>
      <c r="J44" s="3"/>
      <c r="K44" s="4"/>
      <c r="L44" s="4"/>
      <c r="M44" s="4"/>
      <c r="N44" s="13"/>
    </row>
    <row r="45" spans="2:15" x14ac:dyDescent="0.2">
      <c r="B45" s="21"/>
      <c r="C45" s="26" t="str">
        <f t="shared" si="3"/>
        <v/>
      </c>
      <c r="D45" s="20"/>
      <c r="E45" s="20"/>
      <c r="G45" s="3"/>
      <c r="J45" s="3"/>
      <c r="K45" s="4"/>
      <c r="L45" s="4"/>
      <c r="M45" s="4"/>
      <c r="N45" s="13"/>
    </row>
    <row r="46" spans="2:15" x14ac:dyDescent="0.2">
      <c r="B46" s="21"/>
      <c r="C46" s="26" t="str">
        <f t="shared" si="3"/>
        <v/>
      </c>
      <c r="D46" s="20"/>
      <c r="E46" s="20"/>
      <c r="G46" s="3"/>
      <c r="J46" s="3"/>
      <c r="K46" s="4"/>
      <c r="L46" s="4"/>
      <c r="M46" s="4"/>
      <c r="N46" s="13"/>
    </row>
    <row r="47" spans="2:15" x14ac:dyDescent="0.2">
      <c r="B47" s="21"/>
      <c r="C47" s="26" t="str">
        <f t="shared" si="3"/>
        <v/>
      </c>
      <c r="D47" s="20"/>
      <c r="E47" s="20"/>
      <c r="G47" s="3"/>
      <c r="J47" s="3"/>
      <c r="K47" s="4"/>
      <c r="L47" s="4"/>
      <c r="M47" s="4"/>
      <c r="N47" s="13"/>
    </row>
    <row r="48" spans="2:15" x14ac:dyDescent="0.2">
      <c r="B48" s="21"/>
      <c r="C48" s="26" t="str">
        <f t="shared" si="3"/>
        <v/>
      </c>
      <c r="D48" s="20"/>
      <c r="E48" s="20"/>
      <c r="G48" s="3"/>
      <c r="J48" s="3"/>
      <c r="K48" s="4"/>
      <c r="L48" s="4"/>
      <c r="M48" s="4"/>
      <c r="N48" s="24">
        <v>0.43003472222222222</v>
      </c>
    </row>
    <row r="49" spans="1:15" x14ac:dyDescent="0.2">
      <c r="B49" s="21"/>
      <c r="C49" s="26" t="str">
        <f t="shared" si="3"/>
        <v/>
      </c>
      <c r="D49" s="20"/>
      <c r="E49" s="20"/>
      <c r="G49" s="3"/>
      <c r="J49" s="38">
        <v>0.37805555555555559</v>
      </c>
      <c r="K49" s="31">
        <v>0.4529050925925926</v>
      </c>
      <c r="L49" s="4"/>
      <c r="M49" s="4"/>
      <c r="N49" s="13"/>
    </row>
    <row r="50" spans="1:15" x14ac:dyDescent="0.2">
      <c r="B50" s="21"/>
      <c r="C50" s="26" t="str">
        <f t="shared" si="3"/>
        <v/>
      </c>
      <c r="D50" s="20"/>
      <c r="E50" s="20"/>
      <c r="G50" s="3"/>
      <c r="J50" s="3"/>
      <c r="K50" s="4"/>
      <c r="L50" s="4"/>
      <c r="M50" s="4"/>
      <c r="N50" s="13"/>
    </row>
    <row r="51" spans="1:15" x14ac:dyDescent="0.2">
      <c r="B51" s="21"/>
      <c r="C51" s="26" t="str">
        <f t="shared" si="3"/>
        <v/>
      </c>
      <c r="D51" s="20"/>
      <c r="E51" s="20"/>
      <c r="G51" s="3"/>
      <c r="J51" s="3"/>
      <c r="K51" s="4"/>
      <c r="L51" s="4"/>
      <c r="M51" s="4"/>
      <c r="N51" s="13"/>
    </row>
    <row r="52" spans="1:15" x14ac:dyDescent="0.2">
      <c r="B52" s="21"/>
      <c r="C52" s="26" t="str">
        <f t="shared" si="3"/>
        <v/>
      </c>
      <c r="D52" s="20"/>
      <c r="E52" s="20"/>
      <c r="G52" s="3"/>
      <c r="J52" s="3"/>
      <c r="K52" s="4"/>
      <c r="L52" s="4"/>
      <c r="M52" s="4"/>
      <c r="N52" s="13"/>
    </row>
    <row r="53" spans="1:15" x14ac:dyDescent="0.2">
      <c r="B53" s="21"/>
      <c r="C53" s="26" t="str">
        <f t="shared" si="3"/>
        <v/>
      </c>
      <c r="D53" s="20"/>
      <c r="E53" s="20"/>
      <c r="G53" s="3"/>
      <c r="J53" s="3"/>
      <c r="K53" s="4"/>
      <c r="L53" s="4"/>
      <c r="M53" s="4"/>
      <c r="N53" s="13"/>
    </row>
    <row r="54" spans="1:15" x14ac:dyDescent="0.2">
      <c r="B54" s="21"/>
      <c r="C54" s="26" t="str">
        <f t="shared" si="3"/>
        <v/>
      </c>
      <c r="D54" s="20"/>
      <c r="E54" s="20"/>
      <c r="G54" s="3"/>
      <c r="J54" s="3"/>
      <c r="K54" s="4"/>
      <c r="L54" s="4"/>
      <c r="M54" s="4"/>
      <c r="N54" s="13"/>
    </row>
    <row r="55" spans="1:15" x14ac:dyDescent="0.2">
      <c r="B55" s="21"/>
      <c r="C55" s="26" t="str">
        <f t="shared" si="3"/>
        <v/>
      </c>
      <c r="D55" s="20"/>
      <c r="E55" s="20"/>
      <c r="G55" s="3"/>
      <c r="J55" s="3"/>
      <c r="K55" s="4"/>
      <c r="L55" s="4"/>
      <c r="M55" s="4"/>
      <c r="N55" s="13"/>
    </row>
    <row r="56" spans="1:15" x14ac:dyDescent="0.2">
      <c r="B56" s="21"/>
      <c r="C56" s="26" t="str">
        <f t="shared" si="3"/>
        <v/>
      </c>
      <c r="D56" s="20"/>
      <c r="E56" s="20"/>
      <c r="G56" s="3"/>
      <c r="J56" s="3"/>
      <c r="K56" s="4"/>
      <c r="L56" s="4"/>
      <c r="M56" s="4"/>
      <c r="N56" s="13"/>
    </row>
    <row r="57" spans="1:15" x14ac:dyDescent="0.2">
      <c r="B57" s="13"/>
      <c r="C57" s="26" t="str">
        <f t="shared" si="3"/>
        <v/>
      </c>
      <c r="D57" s="4"/>
      <c r="E57" s="4"/>
      <c r="G57" s="3"/>
      <c r="J57" s="3"/>
      <c r="K57" s="4"/>
      <c r="L57" s="4"/>
      <c r="M57" s="4"/>
      <c r="N57" s="13"/>
    </row>
    <row r="58" spans="1:15" x14ac:dyDescent="0.2">
      <c r="A58" t="s">
        <v>42</v>
      </c>
      <c r="B58" s="10"/>
      <c r="C58" s="10">
        <f>MAX(C34:C57)</f>
        <v>474.61666666666673</v>
      </c>
      <c r="D58" s="10"/>
      <c r="E58" s="10"/>
      <c r="G58" s="23">
        <f>MAX(G34:G57)</f>
        <v>0.34105324074074073</v>
      </c>
      <c r="H58" s="23">
        <f>MAX(H34:H57)</f>
        <v>2.2916666666666363E-3</v>
      </c>
      <c r="I58" s="23">
        <f>MAX(I34:I57)</f>
        <v>3.2999999999999563</v>
      </c>
      <c r="J58" s="23">
        <f>MAX(J34:J57)</f>
        <v>0.37805555555555559</v>
      </c>
      <c r="K58" s="23">
        <f>MAX(K34:K57)</f>
        <v>0.4529050925925926</v>
      </c>
      <c r="L58" s="23"/>
      <c r="M58" s="23"/>
      <c r="N58" s="23">
        <f>MAX(N34:N57)</f>
        <v>0.43003472222222222</v>
      </c>
      <c r="O58" s="27">
        <v>0.67708333333333337</v>
      </c>
    </row>
    <row r="59" spans="1:15" x14ac:dyDescent="0.2">
      <c r="A59" t="s">
        <v>43</v>
      </c>
      <c r="B59" s="10"/>
      <c r="C59" s="10">
        <f>AVERAGE(C34:C57)</f>
        <v>464.35833333333329</v>
      </c>
      <c r="D59" s="10"/>
      <c r="E59" s="10"/>
      <c r="G59" s="23">
        <f t="shared" ref="G59:N59" si="4">AVERAGE(G34:G57)</f>
        <v>0.34105324074074073</v>
      </c>
      <c r="H59" s="23">
        <f t="shared" si="4"/>
        <v>2.2916666666666363E-3</v>
      </c>
      <c r="I59" s="23">
        <f t="shared" si="4"/>
        <v>3.2999999999999563</v>
      </c>
      <c r="J59" s="23">
        <f t="shared" si="4"/>
        <v>0.37805555555555559</v>
      </c>
      <c r="K59" s="23">
        <f t="shared" si="4"/>
        <v>0.4529050925925926</v>
      </c>
      <c r="L59" s="23"/>
      <c r="M59" s="23"/>
      <c r="N59" s="23">
        <f t="shared" si="4"/>
        <v>0.43003472222222222</v>
      </c>
    </row>
    <row r="60" spans="1:15" x14ac:dyDescent="0.2">
      <c r="A60" t="s">
        <v>99</v>
      </c>
      <c r="B60" s="10"/>
      <c r="C60" s="10">
        <f>STDEV(C34:C57)</f>
        <v>10.207481823896918</v>
      </c>
      <c r="D60" s="10"/>
      <c r="E60" s="10"/>
      <c r="G60" s="23"/>
      <c r="H60" s="23"/>
      <c r="I60" s="23"/>
      <c r="J60" s="23"/>
      <c r="K60" s="23"/>
      <c r="L60" s="23"/>
      <c r="M60" s="23"/>
      <c r="N60" s="23"/>
    </row>
    <row r="61" spans="1:15" x14ac:dyDescent="0.2">
      <c r="A61" t="s">
        <v>45</v>
      </c>
      <c r="B61" s="10"/>
      <c r="C61" s="10">
        <f>C59+C60</f>
        <v>474.56581515723019</v>
      </c>
      <c r="D61" s="10"/>
      <c r="E61" s="10"/>
      <c r="G61" s="10">
        <f>G59*1440</f>
        <v>491.11666666666667</v>
      </c>
      <c r="H61" s="10">
        <f>H59*1440</f>
        <v>3.2999999999999563</v>
      </c>
      <c r="I61" s="10">
        <f>I59*1440</f>
        <v>4751.9999999999372</v>
      </c>
      <c r="J61" s="10">
        <f>J59*1440</f>
        <v>544.40000000000009</v>
      </c>
      <c r="K61" s="10">
        <f>K59*1440</f>
        <v>652.18333333333339</v>
      </c>
      <c r="L61" s="10"/>
      <c r="M61" s="10"/>
      <c r="N61" s="10">
        <f>N59*1440</f>
        <v>619.25</v>
      </c>
    </row>
    <row r="64" spans="1:15" x14ac:dyDescent="0.2">
      <c r="E64" s="20" t="s">
        <v>104</v>
      </c>
      <c r="F64" s="21"/>
      <c r="G64" s="3"/>
    </row>
    <row r="65" spans="5:9" x14ac:dyDescent="0.2">
      <c r="E65" s="20">
        <v>0.4788425925925926</v>
      </c>
      <c r="F65" s="21">
        <v>0.54640046296296296</v>
      </c>
      <c r="G65" s="30">
        <v>1.3888888888888888E-2</v>
      </c>
      <c r="H65" s="32">
        <v>4.7222222222222221E-2</v>
      </c>
      <c r="I65" s="27">
        <v>0.59679398148148144</v>
      </c>
    </row>
  </sheetData>
  <mergeCells count="1">
    <mergeCell ref="J32:N3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delta v</vt:lpstr>
      <vt:lpstr>Unmanned</vt:lpstr>
      <vt:lpstr>Kerbin</vt:lpstr>
      <vt:lpstr>Engines</vt:lpstr>
      <vt:lpstr>Mun</vt:lpstr>
      <vt:lpstr>Batteries</vt:lpstr>
      <vt:lpstr>Minmus</vt:lpstr>
      <vt:lpstr>Moho</vt:lpstr>
      <vt:lpstr>Duna</vt:lpstr>
      <vt:lpstr>Atmosphere</vt:lpstr>
      <vt:lpstr>Darkness</vt:lpstr>
      <vt:lpstr>Planner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2013-10-16T20:44:30Z</dcterms:created>
  <dcterms:modified xsi:type="dcterms:W3CDTF">2020-06-30T17:03:21Z</dcterms:modified>
</cp:coreProperties>
</file>