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hnmillstead/coding/excel_to_python/associate balance/"/>
    </mc:Choice>
  </mc:AlternateContent>
  <xr:revisionPtr revIDLastSave="0" documentId="13_ncr:1_{8A5B45E0-ED79-994C-A0F4-23E12512ADFC}" xr6:coauthVersionLast="46" xr6:coauthVersionMax="46" xr10:uidLastSave="{00000000-0000-0000-0000-000000000000}"/>
  <bookViews>
    <workbookView xWindow="4920" yWindow="800" windowWidth="29040" windowHeight="15840" tabRatio="884" activeTab="12" xr2:uid="{00000000-000D-0000-FFFF-FFFF00000000}"/>
  </bookViews>
  <sheets>
    <sheet name="Jones Ministry" sheetId="8" r:id="rId1"/>
    <sheet name="Smith Ministry" sheetId="9" r:id="rId2"/>
    <sheet name="Stark Ministry" sheetId="10" r:id="rId3"/>
    <sheet name="Doe Ministry" sheetId="13" r:id="rId4"/>
    <sheet name="Bright Ministry" sheetId="15" r:id="rId5"/>
    <sheet name="Lincoln Ministry" sheetId="16" r:id="rId6"/>
    <sheet name="Martinez Ministry" sheetId="17" r:id="rId7"/>
    <sheet name="Patton Ministry" sheetId="19" r:id="rId8"/>
    <sheet name="Rich Ministry" sheetId="20" r:id="rId9"/>
    <sheet name="Seitz Ministry" sheetId="21" r:id="rId10"/>
    <sheet name="Bhiri Ministry" sheetId="22" r:id="rId11"/>
    <sheet name="Pignatelli Ministry" sheetId="24" r:id="rId12"/>
    <sheet name="Cortez Ministry" sheetId="65" r:id="rId13"/>
    <sheet name="Little Ministry" sheetId="76" r:id="rId14"/>
    <sheet name="Johnson Ministry" sheetId="7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77" l="1"/>
  <c r="G50" i="76"/>
  <c r="G33" i="65"/>
  <c r="G42" i="24"/>
  <c r="G50" i="22"/>
  <c r="G31" i="21"/>
  <c r="G32" i="20"/>
  <c r="G41" i="19"/>
  <c r="G40" i="17"/>
  <c r="G26" i="16"/>
  <c r="G26" i="15"/>
  <c r="G38" i="13"/>
  <c r="G31" i="10"/>
  <c r="G64" i="9"/>
  <c r="G50" i="8"/>
  <c r="J10" i="77" l="1"/>
  <c r="B11" i="77"/>
  <c r="C11" i="77"/>
  <c r="D11" i="77" s="1"/>
  <c r="G11" i="77"/>
  <c r="B12" i="77"/>
  <c r="G12" i="77"/>
  <c r="B14" i="77"/>
  <c r="G14" i="77" s="1"/>
  <c r="I14" i="77" s="1"/>
  <c r="C14" i="77"/>
  <c r="E14" i="77"/>
  <c r="H14" i="77"/>
  <c r="J14" i="77" s="1"/>
  <c r="B15" i="77"/>
  <c r="G15" i="77" s="1"/>
  <c r="I15" i="77" s="1"/>
  <c r="C15" i="77"/>
  <c r="E15" i="77"/>
  <c r="H15" i="77"/>
  <c r="J15" i="77" s="1"/>
  <c r="B17" i="77"/>
  <c r="G17" i="77" s="1"/>
  <c r="B18" i="77"/>
  <c r="G18" i="77" s="1"/>
  <c r="E21" i="77"/>
  <c r="B22" i="77"/>
  <c r="G22" i="77" s="1"/>
  <c r="C22" i="77"/>
  <c r="E22" i="77" s="1"/>
  <c r="H22" i="77"/>
  <c r="B23" i="77"/>
  <c r="G23" i="77" s="1"/>
  <c r="C23" i="77"/>
  <c r="E23" i="77" s="1"/>
  <c r="H23" i="77"/>
  <c r="B24" i="77"/>
  <c r="G24" i="77" s="1"/>
  <c r="E24" i="77"/>
  <c r="D24" i="77"/>
  <c r="J24" i="77"/>
  <c r="B25" i="77"/>
  <c r="B33" i="77" s="1"/>
  <c r="C25" i="77"/>
  <c r="E25" i="77" s="1"/>
  <c r="D25" i="77"/>
  <c r="H25" i="77"/>
  <c r="J26" i="77"/>
  <c r="C27" i="77"/>
  <c r="D27" i="77"/>
  <c r="E27" i="77"/>
  <c r="I27" i="77"/>
  <c r="H27" i="77"/>
  <c r="J27" i="77" s="1"/>
  <c r="B28" i="77"/>
  <c r="D28" i="77" s="1"/>
  <c r="C28" i="77"/>
  <c r="H28" i="77"/>
  <c r="J29" i="77"/>
  <c r="B30" i="77"/>
  <c r="C30" i="77"/>
  <c r="E30" i="77"/>
  <c r="G30" i="77"/>
  <c r="H30" i="77"/>
  <c r="B31" i="77"/>
  <c r="C31" i="77"/>
  <c r="D31" i="77"/>
  <c r="E31" i="77"/>
  <c r="G31" i="77"/>
  <c r="I31" i="77" s="1"/>
  <c r="H31" i="77"/>
  <c r="J31" i="77"/>
  <c r="B38" i="77"/>
  <c r="D38" i="77" s="1"/>
  <c r="E38" i="77"/>
  <c r="G38" i="77"/>
  <c r="H38" i="77"/>
  <c r="I38" i="77" s="1"/>
  <c r="B39" i="77"/>
  <c r="G39" i="77" s="1"/>
  <c r="I39" i="77" s="1"/>
  <c r="C39" i="77"/>
  <c r="E39" i="77"/>
  <c r="H39" i="77"/>
  <c r="J39" i="77" s="1"/>
  <c r="B40" i="77"/>
  <c r="G40" i="77" s="1"/>
  <c r="C40" i="77"/>
  <c r="E40" i="77" s="1"/>
  <c r="B11" i="76"/>
  <c r="D11" i="76" s="1"/>
  <c r="C11" i="76"/>
  <c r="E11" i="76" s="1"/>
  <c r="B14" i="76"/>
  <c r="C14" i="76"/>
  <c r="D14" i="76"/>
  <c r="E14" i="76"/>
  <c r="G14" i="76"/>
  <c r="H14" i="76"/>
  <c r="J14" i="76" s="1"/>
  <c r="I14" i="76"/>
  <c r="B15" i="76"/>
  <c r="G15" i="76" s="1"/>
  <c r="I15" i="76" s="1"/>
  <c r="C15" i="76"/>
  <c r="D15" i="76"/>
  <c r="E15" i="76"/>
  <c r="H15" i="76"/>
  <c r="J15" i="76" s="1"/>
  <c r="E21" i="76"/>
  <c r="J21" i="76"/>
  <c r="B22" i="76"/>
  <c r="B26" i="76" s="1"/>
  <c r="C22" i="76"/>
  <c r="G22" i="76"/>
  <c r="H22" i="76"/>
  <c r="J22" i="76" s="1"/>
  <c r="B23" i="76"/>
  <c r="C23" i="76"/>
  <c r="G23" i="76"/>
  <c r="H23" i="76"/>
  <c r="J23" i="76" s="1"/>
  <c r="B24" i="76"/>
  <c r="D24" i="76" s="1"/>
  <c r="E24" i="76"/>
  <c r="G24" i="76"/>
  <c r="I24" i="76" s="1"/>
  <c r="J24" i="76"/>
  <c r="B25" i="76"/>
  <c r="D25" i="76" s="1"/>
  <c r="E25" i="76"/>
  <c r="J25" i="76"/>
  <c r="C26" i="76"/>
  <c r="E26" i="76" s="1"/>
  <c r="H26" i="76"/>
  <c r="J27" i="76"/>
  <c r="B28" i="76"/>
  <c r="D28" i="76" s="1"/>
  <c r="E28" i="76"/>
  <c r="J28" i="76"/>
  <c r="C29" i="76"/>
  <c r="E29" i="76" s="1"/>
  <c r="J30" i="76"/>
  <c r="B31" i="76"/>
  <c r="D31" i="76"/>
  <c r="E31" i="76"/>
  <c r="G31" i="76"/>
  <c r="I31" i="76" s="1"/>
  <c r="J31" i="76"/>
  <c r="B32" i="76"/>
  <c r="D32" i="76"/>
  <c r="E32" i="76"/>
  <c r="G32" i="76"/>
  <c r="I32" i="76" s="1"/>
  <c r="J32" i="76"/>
  <c r="B33" i="76"/>
  <c r="D33" i="76" s="1"/>
  <c r="C33" i="76"/>
  <c r="E33" i="76"/>
  <c r="G33" i="76"/>
  <c r="I33" i="76" s="1"/>
  <c r="H33" i="76"/>
  <c r="J33" i="76" s="1"/>
  <c r="J34" i="76"/>
  <c r="B35" i="76"/>
  <c r="D35" i="76"/>
  <c r="E35" i="76"/>
  <c r="G35" i="76"/>
  <c r="I35" i="76"/>
  <c r="J35" i="76"/>
  <c r="C36" i="76"/>
  <c r="D36" i="76" s="1"/>
  <c r="B37" i="76"/>
  <c r="C37" i="76"/>
  <c r="E37" i="76" s="1"/>
  <c r="B44" i="76"/>
  <c r="G44" i="76" s="1"/>
  <c r="I44" i="76" s="1"/>
  <c r="D44" i="76"/>
  <c r="E44" i="76"/>
  <c r="J44" i="76"/>
  <c r="C45" i="76"/>
  <c r="E45" i="76" s="1"/>
  <c r="E10" i="65"/>
  <c r="J10" i="65"/>
  <c r="B11" i="65"/>
  <c r="C11" i="65"/>
  <c r="D11" i="65" s="1"/>
  <c r="G11" i="65"/>
  <c r="B12" i="65"/>
  <c r="C12" i="65"/>
  <c r="D12" i="65" s="1"/>
  <c r="G12" i="65"/>
  <c r="B14" i="65"/>
  <c r="G14" i="65" s="1"/>
  <c r="I14" i="65" s="1"/>
  <c r="C14" i="65"/>
  <c r="E14" i="65"/>
  <c r="H14" i="65"/>
  <c r="B15" i="65"/>
  <c r="G15" i="65" s="1"/>
  <c r="I15" i="65" s="1"/>
  <c r="C15" i="65"/>
  <c r="E15" i="65"/>
  <c r="H15" i="65"/>
  <c r="B17" i="65"/>
  <c r="G17" i="65" s="1"/>
  <c r="B18" i="65"/>
  <c r="G18" i="65" s="1"/>
  <c r="B22" i="65"/>
  <c r="D22" i="65"/>
  <c r="E22" i="65"/>
  <c r="G22" i="65"/>
  <c r="I22" i="65"/>
  <c r="J22" i="65"/>
  <c r="B23" i="65"/>
  <c r="D23" i="65" s="1"/>
  <c r="C23" i="65"/>
  <c r="H23" i="65" s="1"/>
  <c r="J23" i="65" s="1"/>
  <c r="E23" i="65"/>
  <c r="C25" i="65"/>
  <c r="D25" i="65" s="1"/>
  <c r="B26" i="65"/>
  <c r="G26" i="65"/>
  <c r="J10" i="24"/>
  <c r="B11" i="24"/>
  <c r="D11" i="24"/>
  <c r="E11" i="24"/>
  <c r="G11" i="24"/>
  <c r="I11" i="24" s="1"/>
  <c r="J11" i="24"/>
  <c r="B12" i="24"/>
  <c r="B17" i="24" s="1"/>
  <c r="C12" i="24"/>
  <c r="D12" i="24"/>
  <c r="E12" i="24"/>
  <c r="G12" i="24"/>
  <c r="I12" i="24" s="1"/>
  <c r="H12" i="24"/>
  <c r="J12" i="24"/>
  <c r="J13" i="24"/>
  <c r="B14" i="24"/>
  <c r="G14" i="24" s="1"/>
  <c r="I14" i="24" s="1"/>
  <c r="D14" i="24"/>
  <c r="E14" i="24"/>
  <c r="J14" i="24"/>
  <c r="B15" i="24"/>
  <c r="G15" i="24" s="1"/>
  <c r="I15" i="24" s="1"/>
  <c r="C15" i="24"/>
  <c r="D15" i="24"/>
  <c r="E15" i="24"/>
  <c r="H15" i="24"/>
  <c r="J15" i="24" s="1"/>
  <c r="C17" i="24"/>
  <c r="E17" i="24"/>
  <c r="H17" i="24"/>
  <c r="J17" i="24" s="1"/>
  <c r="C18" i="24"/>
  <c r="E18" i="24"/>
  <c r="H18" i="24"/>
  <c r="J18" i="24" s="1"/>
  <c r="J21" i="24"/>
  <c r="B22" i="24"/>
  <c r="D22" i="24"/>
  <c r="E22" i="24"/>
  <c r="G22" i="24"/>
  <c r="J22" i="24"/>
  <c r="I22" i="24"/>
  <c r="B23" i="24"/>
  <c r="D23" i="24" s="1"/>
  <c r="E23" i="24"/>
  <c r="J23" i="24"/>
  <c r="B24" i="24"/>
  <c r="D24" i="24"/>
  <c r="E24" i="24"/>
  <c r="G24" i="24"/>
  <c r="I24" i="24" s="1"/>
  <c r="J24" i="24"/>
  <c r="B25" i="24"/>
  <c r="G25" i="24" s="1"/>
  <c r="I25" i="24" s="1"/>
  <c r="E25" i="24"/>
  <c r="J25" i="24"/>
  <c r="C26" i="24"/>
  <c r="C31" i="24" s="1"/>
  <c r="E26" i="24"/>
  <c r="H26" i="24"/>
  <c r="J26" i="24" s="1"/>
  <c r="B28" i="24"/>
  <c r="D28" i="24" s="1"/>
  <c r="E28" i="24"/>
  <c r="G28" i="24"/>
  <c r="I28" i="24"/>
  <c r="J28" i="24"/>
  <c r="B29" i="24"/>
  <c r="D29" i="24" s="1"/>
  <c r="C29" i="24"/>
  <c r="H29" i="24" s="1"/>
  <c r="E29" i="24"/>
  <c r="G29" i="24"/>
  <c r="B36" i="24"/>
  <c r="B37" i="24" s="1"/>
  <c r="E36" i="24"/>
  <c r="G36" i="24"/>
  <c r="I36" i="24" s="1"/>
  <c r="J36" i="24"/>
  <c r="C37" i="24"/>
  <c r="E37" i="24" s="1"/>
  <c r="H37" i="24"/>
  <c r="J37" i="24" s="1"/>
  <c r="C38" i="24"/>
  <c r="E38" i="24" s="1"/>
  <c r="B11" i="22"/>
  <c r="D11" i="22" s="1"/>
  <c r="C11" i="22"/>
  <c r="E11" i="22" s="1"/>
  <c r="B12" i="22"/>
  <c r="D12" i="22" s="1"/>
  <c r="C12" i="22"/>
  <c r="E12" i="22" s="1"/>
  <c r="J13" i="22"/>
  <c r="B14" i="22"/>
  <c r="G14" i="22" s="1"/>
  <c r="I14" i="22" s="1"/>
  <c r="C14" i="22"/>
  <c r="H14" i="22" s="1"/>
  <c r="J14" i="22" s="1"/>
  <c r="D14" i="22"/>
  <c r="E14" i="22"/>
  <c r="B15" i="22"/>
  <c r="G15" i="22" s="1"/>
  <c r="C15" i="22"/>
  <c r="H15" i="22" s="1"/>
  <c r="J15" i="22" s="1"/>
  <c r="D15" i="22"/>
  <c r="E15" i="22"/>
  <c r="J21" i="22"/>
  <c r="B22" i="22"/>
  <c r="C22" i="22"/>
  <c r="G22" i="22"/>
  <c r="H22" i="22"/>
  <c r="J22" i="22" s="1"/>
  <c r="B23" i="22"/>
  <c r="D23" i="22"/>
  <c r="G23" i="22"/>
  <c r="I23" i="22" s="1"/>
  <c r="J23" i="22"/>
  <c r="B24" i="22"/>
  <c r="C24" i="22"/>
  <c r="D24" i="22" s="1"/>
  <c r="G24" i="22"/>
  <c r="H24" i="22"/>
  <c r="J24" i="22" s="1"/>
  <c r="J25" i="22"/>
  <c r="J26" i="22"/>
  <c r="C27" i="22"/>
  <c r="D27" i="22" s="1"/>
  <c r="B28" i="22"/>
  <c r="D28" i="22" s="1"/>
  <c r="C28" i="22"/>
  <c r="E28" i="22" s="1"/>
  <c r="D29" i="22"/>
  <c r="E29" i="22"/>
  <c r="G29" i="22"/>
  <c r="H29" i="22"/>
  <c r="J29" i="22" s="1"/>
  <c r="D30" i="22"/>
  <c r="E30" i="22"/>
  <c r="G30" i="22"/>
  <c r="H30" i="22"/>
  <c r="J30" i="22" s="1"/>
  <c r="C31" i="22"/>
  <c r="D31" i="22"/>
  <c r="E31" i="22"/>
  <c r="G31" i="22"/>
  <c r="H31" i="22"/>
  <c r="J31" i="22" s="1"/>
  <c r="I31" i="22"/>
  <c r="B32" i="22"/>
  <c r="C32" i="22"/>
  <c r="C33" i="22" s="1"/>
  <c r="D32" i="22"/>
  <c r="G32" i="22"/>
  <c r="B33" i="22"/>
  <c r="D33" i="22" s="1"/>
  <c r="B35" i="22"/>
  <c r="D35" i="22" s="1"/>
  <c r="E35" i="22"/>
  <c r="H35" i="22"/>
  <c r="J35" i="22" s="1"/>
  <c r="C36" i="22"/>
  <c r="E36" i="22" s="1"/>
  <c r="D36" i="22"/>
  <c r="G36" i="22"/>
  <c r="C37" i="22"/>
  <c r="E37" i="22" s="1"/>
  <c r="B44" i="22"/>
  <c r="G44" i="22" s="1"/>
  <c r="I44" i="22" s="1"/>
  <c r="D44" i="22"/>
  <c r="E44" i="22"/>
  <c r="H44" i="22"/>
  <c r="J44" i="22"/>
  <c r="B45" i="22"/>
  <c r="G45" i="22" s="1"/>
  <c r="C45" i="22"/>
  <c r="H45" i="22" s="1"/>
  <c r="J45" i="22" s="1"/>
  <c r="D45" i="22"/>
  <c r="E45" i="22"/>
  <c r="B46" i="22"/>
  <c r="G46" i="22" s="1"/>
  <c r="C46" i="22"/>
  <c r="H46" i="22" s="1"/>
  <c r="J46" i="22" s="1"/>
  <c r="J10" i="21"/>
  <c r="B11" i="21"/>
  <c r="C11" i="21"/>
  <c r="D11" i="21" s="1"/>
  <c r="E11" i="21"/>
  <c r="G11" i="21"/>
  <c r="I11" i="21" s="1"/>
  <c r="H11" i="21"/>
  <c r="J11" i="21"/>
  <c r="B12" i="21"/>
  <c r="C12" i="21"/>
  <c r="D12" i="21" s="1"/>
  <c r="E12" i="21"/>
  <c r="G12" i="21"/>
  <c r="I12" i="21" s="1"/>
  <c r="H12" i="21"/>
  <c r="J12" i="21"/>
  <c r="J13" i="21"/>
  <c r="B14" i="21"/>
  <c r="G14" i="21" s="1"/>
  <c r="C14" i="21"/>
  <c r="H14" i="21" s="1"/>
  <c r="J14" i="21" s="1"/>
  <c r="B15" i="21"/>
  <c r="G15" i="21" s="1"/>
  <c r="C15" i="21"/>
  <c r="H15" i="21" s="1"/>
  <c r="J15" i="21" s="1"/>
  <c r="B17" i="21"/>
  <c r="G17" i="21" s="1"/>
  <c r="I17" i="21" s="1"/>
  <c r="C17" i="21"/>
  <c r="H17" i="21" s="1"/>
  <c r="J17" i="21" s="1"/>
  <c r="B18" i="21"/>
  <c r="G18" i="21" s="1"/>
  <c r="I18" i="21" s="1"/>
  <c r="C18" i="21"/>
  <c r="H18" i="21" s="1"/>
  <c r="E21" i="21"/>
  <c r="J21" i="21"/>
  <c r="B22" i="21"/>
  <c r="G22" i="21" s="1"/>
  <c r="C22" i="21"/>
  <c r="H22" i="21" s="1"/>
  <c r="J22" i="21" s="1"/>
  <c r="E22" i="21"/>
  <c r="B23" i="21"/>
  <c r="G23" i="21" s="1"/>
  <c r="C23" i="21"/>
  <c r="H23" i="21" s="1"/>
  <c r="E23" i="21"/>
  <c r="B24" i="21"/>
  <c r="G24" i="21" s="1"/>
  <c r="C24" i="21"/>
  <c r="H24" i="21" s="1"/>
  <c r="J24" i="21" s="1"/>
  <c r="D24" i="21"/>
  <c r="E24" i="21"/>
  <c r="B26" i="21"/>
  <c r="G26" i="21" s="1"/>
  <c r="I26" i="21" s="1"/>
  <c r="C26" i="21"/>
  <c r="H26" i="21" s="1"/>
  <c r="D26" i="21"/>
  <c r="E26" i="21"/>
  <c r="B28" i="21"/>
  <c r="G28" i="21" s="1"/>
  <c r="B29" i="21"/>
  <c r="G29" i="21" s="1"/>
  <c r="J10" i="20"/>
  <c r="B11" i="20"/>
  <c r="D11" i="20"/>
  <c r="E11" i="20"/>
  <c r="G11" i="20"/>
  <c r="I11" i="20"/>
  <c r="J11" i="20"/>
  <c r="B12" i="20"/>
  <c r="G12" i="20" s="1"/>
  <c r="I12" i="20" s="1"/>
  <c r="C12" i="20"/>
  <c r="D12" i="20"/>
  <c r="E12" i="20"/>
  <c r="H12" i="20"/>
  <c r="J12" i="20"/>
  <c r="J13" i="20"/>
  <c r="B14" i="20"/>
  <c r="G14" i="20" s="1"/>
  <c r="I14" i="20" s="1"/>
  <c r="D14" i="20"/>
  <c r="E14" i="20"/>
  <c r="J14" i="20"/>
  <c r="B15" i="20"/>
  <c r="G15" i="20" s="1"/>
  <c r="I15" i="20" s="1"/>
  <c r="C15" i="20"/>
  <c r="D15" i="20"/>
  <c r="E15" i="20"/>
  <c r="H15" i="20"/>
  <c r="J15" i="20" s="1"/>
  <c r="C17" i="20"/>
  <c r="E17" i="20"/>
  <c r="H17" i="20"/>
  <c r="J17" i="20" s="1"/>
  <c r="C18" i="20"/>
  <c r="C23" i="20" s="1"/>
  <c r="E18" i="20"/>
  <c r="H18" i="20"/>
  <c r="J18" i="20" s="1"/>
  <c r="D21" i="20"/>
  <c r="E21" i="20"/>
  <c r="G21" i="20"/>
  <c r="I21" i="20" s="1"/>
  <c r="H21" i="20"/>
  <c r="J21" i="20" s="1"/>
  <c r="B26" i="20"/>
  <c r="D26" i="20" s="1"/>
  <c r="E26" i="20"/>
  <c r="G26" i="20"/>
  <c r="H26" i="20"/>
  <c r="J26" i="20" s="1"/>
  <c r="I26" i="20"/>
  <c r="B27" i="20"/>
  <c r="D27" i="20" s="1"/>
  <c r="C27" i="20"/>
  <c r="E27" i="20"/>
  <c r="H27" i="20"/>
  <c r="J27" i="20" s="1"/>
  <c r="B28" i="20"/>
  <c r="D28" i="20" s="1"/>
  <c r="C28" i="20"/>
  <c r="E28" i="20" s="1"/>
  <c r="J10" i="19"/>
  <c r="B11" i="19"/>
  <c r="D11" i="19" s="1"/>
  <c r="C11" i="19"/>
  <c r="E11" i="19" s="1"/>
  <c r="B12" i="19"/>
  <c r="D12" i="19" s="1"/>
  <c r="C12" i="19"/>
  <c r="E12" i="19" s="1"/>
  <c r="B14" i="19"/>
  <c r="G14" i="19" s="1"/>
  <c r="I14" i="19" s="1"/>
  <c r="C14" i="19"/>
  <c r="H14" i="19" s="1"/>
  <c r="D14" i="19"/>
  <c r="E14" i="19"/>
  <c r="B15" i="19"/>
  <c r="G15" i="19" s="1"/>
  <c r="I15" i="19" s="1"/>
  <c r="C15" i="19"/>
  <c r="H15" i="19" s="1"/>
  <c r="D15" i="19"/>
  <c r="E15" i="19"/>
  <c r="E21" i="19"/>
  <c r="J21" i="19"/>
  <c r="B22" i="19"/>
  <c r="C22" i="19"/>
  <c r="C25" i="19" s="1"/>
  <c r="E22" i="19"/>
  <c r="G22" i="19"/>
  <c r="H22" i="19"/>
  <c r="J22" i="19" s="1"/>
  <c r="C23" i="19"/>
  <c r="E23" i="19" s="1"/>
  <c r="G23" i="19"/>
  <c r="H23" i="19"/>
  <c r="J23" i="19" s="1"/>
  <c r="B24" i="19"/>
  <c r="C24" i="19"/>
  <c r="E24" i="19" s="1"/>
  <c r="G24" i="19"/>
  <c r="H24" i="19"/>
  <c r="J24" i="19" s="1"/>
  <c r="B25" i="19"/>
  <c r="G25" i="19" s="1"/>
  <c r="J26" i="19"/>
  <c r="B27" i="19"/>
  <c r="D27" i="19" s="1"/>
  <c r="E27" i="19"/>
  <c r="J27" i="19"/>
  <c r="C28" i="19"/>
  <c r="E28" i="19" s="1"/>
  <c r="B35" i="19"/>
  <c r="G35" i="19" s="1"/>
  <c r="I35" i="19" s="1"/>
  <c r="D35" i="19"/>
  <c r="E35" i="19"/>
  <c r="J35" i="19"/>
  <c r="C36" i="19"/>
  <c r="E36" i="19" s="1"/>
  <c r="C37" i="19"/>
  <c r="E37" i="19" s="1"/>
  <c r="B11" i="17"/>
  <c r="C11" i="17"/>
  <c r="D11" i="17" s="1"/>
  <c r="G11" i="17"/>
  <c r="B12" i="17"/>
  <c r="C12" i="17"/>
  <c r="D12" i="17" s="1"/>
  <c r="G12" i="17"/>
  <c r="D13" i="17"/>
  <c r="E13" i="17"/>
  <c r="G13" i="17"/>
  <c r="H13" i="17"/>
  <c r="I13" i="17"/>
  <c r="J13" i="17"/>
  <c r="C14" i="17"/>
  <c r="H14" i="17" s="1"/>
  <c r="J14" i="17" s="1"/>
  <c r="D14" i="17"/>
  <c r="G14" i="17"/>
  <c r="B15" i="17"/>
  <c r="B20" i="17" s="1"/>
  <c r="C15" i="17"/>
  <c r="H15" i="17" s="1"/>
  <c r="J15" i="17" s="1"/>
  <c r="G15" i="17"/>
  <c r="I15" i="17" s="1"/>
  <c r="J16" i="17"/>
  <c r="B17" i="17"/>
  <c r="C17" i="17"/>
  <c r="D17" i="17" s="1"/>
  <c r="G17" i="17"/>
  <c r="B18" i="17"/>
  <c r="C18" i="17"/>
  <c r="D18" i="17" s="1"/>
  <c r="G18" i="17"/>
  <c r="J24" i="17"/>
  <c r="B25" i="17"/>
  <c r="C25" i="17"/>
  <c r="H25" i="17"/>
  <c r="B26" i="17"/>
  <c r="C26" i="17"/>
  <c r="H26" i="17"/>
  <c r="B27" i="17"/>
  <c r="D27" i="17" s="1"/>
  <c r="C27" i="17"/>
  <c r="H27" i="17"/>
  <c r="B29" i="17"/>
  <c r="D29" i="17" s="1"/>
  <c r="C29" i="17"/>
  <c r="H29" i="17"/>
  <c r="B34" i="17"/>
  <c r="D34" i="17" s="1"/>
  <c r="E34" i="17"/>
  <c r="J34" i="17"/>
  <c r="C35" i="17"/>
  <c r="E35" i="17" s="1"/>
  <c r="C36" i="17"/>
  <c r="E36" i="17" s="1"/>
  <c r="B11" i="16"/>
  <c r="D11" i="16"/>
  <c r="E11" i="16"/>
  <c r="G11" i="16"/>
  <c r="I11" i="16"/>
  <c r="J11" i="16"/>
  <c r="B12" i="16"/>
  <c r="C12" i="16"/>
  <c r="D12" i="16"/>
  <c r="E12" i="16"/>
  <c r="G12" i="16"/>
  <c r="H12" i="16"/>
  <c r="I12" i="16"/>
  <c r="J12" i="16"/>
  <c r="J13" i="16"/>
  <c r="B14" i="16"/>
  <c r="B15" i="16" s="1"/>
  <c r="D14" i="16"/>
  <c r="E14" i="16"/>
  <c r="J14" i="16"/>
  <c r="C15" i="16"/>
  <c r="E15" i="16" s="1"/>
  <c r="H15" i="16"/>
  <c r="J15" i="16" s="1"/>
  <c r="C17" i="16"/>
  <c r="E17" i="16" s="1"/>
  <c r="H17" i="16"/>
  <c r="J17" i="16" s="1"/>
  <c r="C18" i="16"/>
  <c r="C23" i="16" s="1"/>
  <c r="H18" i="16"/>
  <c r="J18" i="16" s="1"/>
  <c r="D21" i="16"/>
  <c r="E21" i="16"/>
  <c r="G21" i="16"/>
  <c r="I21" i="16" s="1"/>
  <c r="H21" i="16"/>
  <c r="J21" i="16"/>
  <c r="J10" i="15"/>
  <c r="B11" i="15"/>
  <c r="G11" i="15" s="1"/>
  <c r="I11" i="15" s="1"/>
  <c r="D11" i="15"/>
  <c r="E11" i="15"/>
  <c r="J11" i="15"/>
  <c r="C12" i="15"/>
  <c r="E12" i="15" s="1"/>
  <c r="J13" i="15"/>
  <c r="B14" i="15"/>
  <c r="B15" i="15" s="1"/>
  <c r="E14" i="15"/>
  <c r="G14" i="15"/>
  <c r="I14" i="15" s="1"/>
  <c r="J14" i="15"/>
  <c r="C15" i="15"/>
  <c r="E15" i="15" s="1"/>
  <c r="H15" i="15"/>
  <c r="J15" i="15" s="1"/>
  <c r="D21" i="15"/>
  <c r="E21" i="15"/>
  <c r="G21" i="15"/>
  <c r="H21" i="15"/>
  <c r="I21" i="15"/>
  <c r="J21" i="15"/>
  <c r="B11" i="13"/>
  <c r="C11" i="13"/>
  <c r="D11" i="13" s="1"/>
  <c r="E11" i="13"/>
  <c r="G11" i="13"/>
  <c r="H11" i="13"/>
  <c r="J11" i="13" s="1"/>
  <c r="I11" i="13"/>
  <c r="B12" i="13"/>
  <c r="C12" i="13"/>
  <c r="D12" i="13" s="1"/>
  <c r="E12" i="13"/>
  <c r="G12" i="13"/>
  <c r="H12" i="13"/>
  <c r="J12" i="13" s="1"/>
  <c r="I12" i="13"/>
  <c r="B14" i="13"/>
  <c r="G14" i="13" s="1"/>
  <c r="C14" i="13"/>
  <c r="H14" i="13" s="1"/>
  <c r="J14" i="13" s="1"/>
  <c r="B15" i="13"/>
  <c r="G15" i="13" s="1"/>
  <c r="C15" i="13"/>
  <c r="H15" i="13" s="1"/>
  <c r="J15" i="13" s="1"/>
  <c r="B17" i="13"/>
  <c r="G17" i="13" s="1"/>
  <c r="C17" i="13"/>
  <c r="H17" i="13" s="1"/>
  <c r="J17" i="13" s="1"/>
  <c r="B18" i="13"/>
  <c r="G18" i="13" s="1"/>
  <c r="I18" i="13" s="1"/>
  <c r="C18" i="13"/>
  <c r="H18" i="13" s="1"/>
  <c r="J21" i="13"/>
  <c r="B22" i="13"/>
  <c r="B25" i="13" s="1"/>
  <c r="C22" i="13"/>
  <c r="C25" i="13" s="1"/>
  <c r="E22" i="13"/>
  <c r="B23" i="13"/>
  <c r="D23" i="13"/>
  <c r="E23" i="13"/>
  <c r="G23" i="13"/>
  <c r="I23" i="13" s="1"/>
  <c r="J23" i="13"/>
  <c r="B24" i="13"/>
  <c r="C24" i="13"/>
  <c r="H24" i="13" s="1"/>
  <c r="J24" i="13" s="1"/>
  <c r="E24" i="13"/>
  <c r="G24" i="13"/>
  <c r="B32" i="13"/>
  <c r="B33" i="13" s="1"/>
  <c r="D32" i="13"/>
  <c r="E32" i="13"/>
  <c r="G32" i="13"/>
  <c r="I32" i="13" s="1"/>
  <c r="H32" i="13"/>
  <c r="J32" i="13" s="1"/>
  <c r="C33" i="13"/>
  <c r="E33" i="13"/>
  <c r="H33" i="13"/>
  <c r="J33" i="13" s="1"/>
  <c r="C34" i="13"/>
  <c r="E34" i="13"/>
  <c r="H34" i="13"/>
  <c r="J34" i="13" s="1"/>
  <c r="J10" i="10"/>
  <c r="B11" i="10"/>
  <c r="G11" i="10" s="1"/>
  <c r="I11" i="10" s="1"/>
  <c r="D11" i="10"/>
  <c r="E11" i="10"/>
  <c r="J11" i="10"/>
  <c r="C12" i="10"/>
  <c r="E12" i="10" s="1"/>
  <c r="J13" i="10"/>
  <c r="B14" i="10"/>
  <c r="D14" i="10" s="1"/>
  <c r="E14" i="10"/>
  <c r="G14" i="10"/>
  <c r="I14" i="10" s="1"/>
  <c r="J14" i="10"/>
  <c r="B15" i="10"/>
  <c r="D15" i="10" s="1"/>
  <c r="C15" i="10"/>
  <c r="E15" i="10"/>
  <c r="G15" i="10"/>
  <c r="I15" i="10" s="1"/>
  <c r="H15" i="10"/>
  <c r="J15" i="10" s="1"/>
  <c r="J21" i="10"/>
  <c r="B22" i="10"/>
  <c r="G22" i="10" s="1"/>
  <c r="I22" i="10" s="1"/>
  <c r="D22" i="10"/>
  <c r="E22" i="10"/>
  <c r="J22" i="10"/>
  <c r="B23" i="10"/>
  <c r="D23" i="10" s="1"/>
  <c r="E23" i="10"/>
  <c r="J23" i="10"/>
  <c r="C24" i="10"/>
  <c r="E24" i="10" s="1"/>
  <c r="J10" i="9"/>
  <c r="B11" i="9"/>
  <c r="C11" i="9"/>
  <c r="D11" i="9"/>
  <c r="E11" i="9"/>
  <c r="G11" i="9"/>
  <c r="H11" i="9"/>
  <c r="J11" i="9" s="1"/>
  <c r="I11" i="9"/>
  <c r="B12" i="9"/>
  <c r="C12" i="9"/>
  <c r="D12" i="9"/>
  <c r="E12" i="9"/>
  <c r="G12" i="9"/>
  <c r="H12" i="9"/>
  <c r="J12" i="9" s="1"/>
  <c r="I12" i="9"/>
  <c r="J13" i="9"/>
  <c r="C14" i="9"/>
  <c r="H14" i="9" s="1"/>
  <c r="B15" i="9"/>
  <c r="D15" i="9" s="1"/>
  <c r="C15" i="9"/>
  <c r="H15" i="9" s="1"/>
  <c r="J16" i="9"/>
  <c r="B17" i="9"/>
  <c r="D17" i="9" s="1"/>
  <c r="C17" i="9"/>
  <c r="H17" i="9" s="1"/>
  <c r="E17" i="9"/>
  <c r="B18" i="9"/>
  <c r="D18" i="9" s="1"/>
  <c r="C18" i="9"/>
  <c r="H18" i="9" s="1"/>
  <c r="E18" i="9"/>
  <c r="B20" i="9"/>
  <c r="B21" i="9"/>
  <c r="B25" i="9"/>
  <c r="C25" i="9"/>
  <c r="E25" i="9"/>
  <c r="G25" i="9"/>
  <c r="H25" i="9"/>
  <c r="J25" i="9" s="1"/>
  <c r="B26" i="9"/>
  <c r="C26" i="9"/>
  <c r="E26" i="9"/>
  <c r="G26" i="9"/>
  <c r="H26" i="9"/>
  <c r="J26" i="9" s="1"/>
  <c r="B27" i="9"/>
  <c r="C27" i="9"/>
  <c r="D27" i="9"/>
  <c r="E27" i="9"/>
  <c r="G27" i="9"/>
  <c r="I27" i="9" s="1"/>
  <c r="H27" i="9"/>
  <c r="J27" i="9" s="1"/>
  <c r="J28" i="9"/>
  <c r="C29" i="9"/>
  <c r="D29" i="9" s="1"/>
  <c r="H29" i="9"/>
  <c r="I29" i="9" s="1"/>
  <c r="B30" i="9"/>
  <c r="G30" i="9" s="1"/>
  <c r="I30" i="9" s="1"/>
  <c r="C30" i="9"/>
  <c r="E30" i="9" s="1"/>
  <c r="H30" i="9"/>
  <c r="J31" i="9"/>
  <c r="C32" i="9"/>
  <c r="D32" i="9" s="1"/>
  <c r="E32" i="9"/>
  <c r="C33" i="9"/>
  <c r="D33" i="9" s="1"/>
  <c r="C34" i="9"/>
  <c r="D34" i="9"/>
  <c r="E34" i="9"/>
  <c r="H34" i="9"/>
  <c r="I34" i="9" s="1"/>
  <c r="C35" i="9"/>
  <c r="D35" i="9"/>
  <c r="E35" i="9"/>
  <c r="H35" i="9"/>
  <c r="I35" i="9"/>
  <c r="J35" i="9"/>
  <c r="C36" i="9"/>
  <c r="D36" i="9"/>
  <c r="E36" i="9"/>
  <c r="I36" i="9"/>
  <c r="H36" i="9"/>
  <c r="J36" i="9"/>
  <c r="C37" i="9"/>
  <c r="D37" i="9" s="1"/>
  <c r="G37" i="9"/>
  <c r="I37" i="9" s="1"/>
  <c r="H37" i="9"/>
  <c r="J37" i="9" s="1"/>
  <c r="B38" i="9"/>
  <c r="G38" i="9" s="1"/>
  <c r="C38" i="9"/>
  <c r="H38" i="9" s="1"/>
  <c r="J38" i="9" s="1"/>
  <c r="D39" i="9"/>
  <c r="E39" i="9"/>
  <c r="G39" i="9"/>
  <c r="H39" i="9"/>
  <c r="I39" i="9"/>
  <c r="J39" i="9"/>
  <c r="C40" i="9"/>
  <c r="D40" i="9" s="1"/>
  <c r="E40" i="9"/>
  <c r="G40" i="9"/>
  <c r="B41" i="9"/>
  <c r="D41" i="9" s="1"/>
  <c r="C41" i="9"/>
  <c r="H41" i="9" s="1"/>
  <c r="J41" i="9" s="1"/>
  <c r="D42" i="9"/>
  <c r="E42" i="9"/>
  <c r="G42" i="9"/>
  <c r="H42" i="9"/>
  <c r="C43" i="9"/>
  <c r="D43" i="9"/>
  <c r="E43" i="9"/>
  <c r="G43" i="9"/>
  <c r="H43" i="9"/>
  <c r="I43" i="9"/>
  <c r="J43" i="9"/>
  <c r="C44" i="9"/>
  <c r="D44" i="9"/>
  <c r="E44" i="9"/>
  <c r="G44" i="9"/>
  <c r="I44" i="9" s="1"/>
  <c r="H44" i="9"/>
  <c r="J44" i="9"/>
  <c r="C45" i="9"/>
  <c r="D45" i="9" s="1"/>
  <c r="G45" i="9"/>
  <c r="H45" i="9"/>
  <c r="C46" i="9"/>
  <c r="H46" i="9" s="1"/>
  <c r="G46" i="9"/>
  <c r="B47" i="9"/>
  <c r="G47" i="9" s="1"/>
  <c r="C47" i="9"/>
  <c r="H47" i="9" s="1"/>
  <c r="J47" i="9" s="1"/>
  <c r="D48" i="9"/>
  <c r="E48" i="9"/>
  <c r="G48" i="9"/>
  <c r="I48" i="9" s="1"/>
  <c r="H48" i="9"/>
  <c r="J48" i="9" s="1"/>
  <c r="D49" i="9"/>
  <c r="E49" i="9"/>
  <c r="G49" i="9"/>
  <c r="H49" i="9"/>
  <c r="I49" i="9" s="1"/>
  <c r="C50" i="9"/>
  <c r="D50" i="9"/>
  <c r="E50" i="9"/>
  <c r="G50" i="9"/>
  <c r="H50" i="9"/>
  <c r="I50" i="9" s="1"/>
  <c r="B51" i="9"/>
  <c r="G51" i="9" s="1"/>
  <c r="C51" i="9"/>
  <c r="E51" i="9" s="1"/>
  <c r="D51" i="9"/>
  <c r="B52" i="9"/>
  <c r="G52" i="9" s="1"/>
  <c r="C52" i="9"/>
  <c r="E52" i="9" s="1"/>
  <c r="D52" i="9"/>
  <c r="C54" i="9"/>
  <c r="H54" i="9" s="1"/>
  <c r="C55" i="9"/>
  <c r="H55" i="9" s="1"/>
  <c r="D55" i="9"/>
  <c r="E55" i="9"/>
  <c r="C56" i="9"/>
  <c r="D56" i="9" s="1"/>
  <c r="E56" i="9"/>
  <c r="B57" i="9"/>
  <c r="B11" i="8"/>
  <c r="G11" i="8" s="1"/>
  <c r="C11" i="8"/>
  <c r="E11" i="8" s="1"/>
  <c r="J13" i="8"/>
  <c r="B14" i="8"/>
  <c r="G14" i="8" s="1"/>
  <c r="I14" i="8" s="1"/>
  <c r="C14" i="8"/>
  <c r="H14" i="8" s="1"/>
  <c r="J14" i="8" s="1"/>
  <c r="J21" i="8"/>
  <c r="B22" i="8"/>
  <c r="G22" i="8" s="1"/>
  <c r="C22" i="8"/>
  <c r="E22" i="8" s="1"/>
  <c r="B23" i="8"/>
  <c r="G23" i="8" s="1"/>
  <c r="C23" i="8"/>
  <c r="E23" i="8" s="1"/>
  <c r="J25" i="8"/>
  <c r="J26" i="8"/>
  <c r="C27" i="8"/>
  <c r="D27" i="8" s="1"/>
  <c r="B28" i="8"/>
  <c r="G28" i="8" s="1"/>
  <c r="J29" i="8"/>
  <c r="C30" i="8"/>
  <c r="H30" i="8" s="1"/>
  <c r="C31" i="8"/>
  <c r="D31" i="8" s="1"/>
  <c r="E31" i="8"/>
  <c r="C32" i="8"/>
  <c r="E32" i="8" s="1"/>
  <c r="D32" i="8"/>
  <c r="G32" i="8"/>
  <c r="C33" i="8"/>
  <c r="D33" i="8" s="1"/>
  <c r="G33" i="8"/>
  <c r="C34" i="8"/>
  <c r="D34" i="8" s="1"/>
  <c r="G34" i="8"/>
  <c r="H34" i="8"/>
  <c r="J34" i="8" s="1"/>
  <c r="B35" i="8"/>
  <c r="G35" i="8" s="1"/>
  <c r="D36" i="8"/>
  <c r="E36" i="8"/>
  <c r="G36" i="8"/>
  <c r="I36" i="8" s="1"/>
  <c r="H36" i="8"/>
  <c r="J36" i="8" s="1"/>
  <c r="D37" i="8"/>
  <c r="E37" i="8"/>
  <c r="G37" i="8"/>
  <c r="H37" i="8"/>
  <c r="J37" i="8" s="1"/>
  <c r="I37" i="8"/>
  <c r="C38" i="8"/>
  <c r="D38" i="8" s="1"/>
  <c r="G38" i="8"/>
  <c r="B39" i="8"/>
  <c r="C39" i="8"/>
  <c r="E39" i="8" s="1"/>
  <c r="C42" i="8"/>
  <c r="D42" i="8" s="1"/>
  <c r="G42" i="8"/>
  <c r="B43" i="8"/>
  <c r="G43" i="8" s="1"/>
  <c r="I24" i="77" l="1"/>
  <c r="H40" i="77"/>
  <c r="J40" i="77" s="1"/>
  <c r="I40" i="77"/>
  <c r="D37" i="76"/>
  <c r="C39" i="76"/>
  <c r="H39" i="76" s="1"/>
  <c r="H38" i="24"/>
  <c r="J38" i="24" s="1"/>
  <c r="E46" i="22"/>
  <c r="D46" i="22"/>
  <c r="E33" i="22"/>
  <c r="H33" i="22"/>
  <c r="J33" i="22" s="1"/>
  <c r="H32" i="22"/>
  <c r="G33" i="22"/>
  <c r="I33" i="22" s="1"/>
  <c r="E32" i="22"/>
  <c r="I29" i="22"/>
  <c r="I30" i="22"/>
  <c r="I24" i="22"/>
  <c r="H28" i="20"/>
  <c r="J28" i="20" s="1"/>
  <c r="D15" i="17"/>
  <c r="J50" i="9"/>
  <c r="E41" i="9"/>
  <c r="H52" i="9"/>
  <c r="J52" i="9" s="1"/>
  <c r="H51" i="9"/>
  <c r="J51" i="9" s="1"/>
  <c r="I45" i="9"/>
  <c r="I42" i="9"/>
  <c r="I38" i="9"/>
  <c r="E38" i="9"/>
  <c r="C43" i="8"/>
  <c r="D39" i="8"/>
  <c r="E34" i="8"/>
  <c r="C15" i="8"/>
  <c r="H15" i="8" s="1"/>
  <c r="J15" i="8" s="1"/>
  <c r="C12" i="8"/>
  <c r="C28" i="8"/>
  <c r="D28" i="8" s="1"/>
  <c r="D22" i="8"/>
  <c r="B15" i="8"/>
  <c r="G15" i="8" s="1"/>
  <c r="B12" i="8"/>
  <c r="H42" i="8"/>
  <c r="J42" i="8" s="1"/>
  <c r="H11" i="8"/>
  <c r="I11" i="8" s="1"/>
  <c r="C24" i="8"/>
  <c r="E24" i="8" s="1"/>
  <c r="H33" i="8"/>
  <c r="J33" i="8" s="1"/>
  <c r="E42" i="8"/>
  <c r="H27" i="8"/>
  <c r="B24" i="8"/>
  <c r="G24" i="8" s="1"/>
  <c r="E33" i="8"/>
  <c r="D30" i="8"/>
  <c r="D11" i="8"/>
  <c r="E27" i="8"/>
  <c r="D23" i="8"/>
  <c r="C40" i="8"/>
  <c r="E40" i="8" s="1"/>
  <c r="B40" i="8"/>
  <c r="D40" i="8" s="1"/>
  <c r="I34" i="8"/>
  <c r="E28" i="8"/>
  <c r="G33" i="77"/>
  <c r="J22" i="77"/>
  <c r="J25" i="77"/>
  <c r="J23" i="77"/>
  <c r="C12" i="77"/>
  <c r="D40" i="77"/>
  <c r="D39" i="77"/>
  <c r="C33" i="77"/>
  <c r="G25" i="77"/>
  <c r="I25" i="77" s="1"/>
  <c r="D15" i="77"/>
  <c r="D14" i="77"/>
  <c r="B35" i="77"/>
  <c r="J30" i="77"/>
  <c r="J38" i="77"/>
  <c r="G28" i="77"/>
  <c r="I28" i="77" s="1"/>
  <c r="J13" i="77"/>
  <c r="H11" i="77"/>
  <c r="E28" i="77"/>
  <c r="J21" i="77"/>
  <c r="E11" i="77"/>
  <c r="I36" i="76"/>
  <c r="D26" i="76"/>
  <c r="G26" i="76"/>
  <c r="I26" i="76" s="1"/>
  <c r="B45" i="76"/>
  <c r="G25" i="76"/>
  <c r="I25" i="76" s="1"/>
  <c r="E23" i="76"/>
  <c r="E22" i="76"/>
  <c r="B12" i="76"/>
  <c r="C12" i="76"/>
  <c r="B29" i="76"/>
  <c r="H37" i="76"/>
  <c r="J37" i="76" s="1"/>
  <c r="H36" i="76"/>
  <c r="J36" i="76" s="1"/>
  <c r="H29" i="76"/>
  <c r="J29" i="76" s="1"/>
  <c r="H11" i="76"/>
  <c r="J11" i="76" s="1"/>
  <c r="H45" i="76"/>
  <c r="J45" i="76" s="1"/>
  <c r="G37" i="76"/>
  <c r="G28" i="76"/>
  <c r="I28" i="76" s="1"/>
  <c r="G11" i="76"/>
  <c r="E36" i="76"/>
  <c r="C46" i="76"/>
  <c r="J15" i="65"/>
  <c r="J14" i="65"/>
  <c r="B30" i="65"/>
  <c r="B28" i="65"/>
  <c r="J24" i="65"/>
  <c r="D15" i="65"/>
  <c r="D14" i="65"/>
  <c r="G23" i="65"/>
  <c r="I23" i="65" s="1"/>
  <c r="C17" i="65"/>
  <c r="H25" i="65"/>
  <c r="H12" i="65"/>
  <c r="H11" i="65"/>
  <c r="C26" i="65"/>
  <c r="E25" i="65"/>
  <c r="J21" i="65"/>
  <c r="E12" i="65"/>
  <c r="E11" i="65"/>
  <c r="C33" i="24"/>
  <c r="E31" i="24"/>
  <c r="H31" i="24"/>
  <c r="J31" i="24" s="1"/>
  <c r="J29" i="24"/>
  <c r="I29" i="24"/>
  <c r="B18" i="24"/>
  <c r="D17" i="24"/>
  <c r="G17" i="24"/>
  <c r="I17" i="24" s="1"/>
  <c r="B38" i="24"/>
  <c r="D37" i="24"/>
  <c r="G37" i="24"/>
  <c r="I37" i="24" s="1"/>
  <c r="D25" i="24"/>
  <c r="B26" i="24"/>
  <c r="D36" i="24"/>
  <c r="G23" i="24"/>
  <c r="I23" i="24" s="1"/>
  <c r="J27" i="24"/>
  <c r="I46" i="22"/>
  <c r="I45" i="22"/>
  <c r="I15" i="22"/>
  <c r="C39" i="22"/>
  <c r="B37" i="22"/>
  <c r="B39" i="22" s="1"/>
  <c r="E24" i="22"/>
  <c r="E23" i="22"/>
  <c r="E22" i="22"/>
  <c r="C17" i="22"/>
  <c r="B17" i="22"/>
  <c r="H28" i="22"/>
  <c r="J28" i="22" s="1"/>
  <c r="H27" i="22"/>
  <c r="H12" i="22"/>
  <c r="H11" i="22"/>
  <c r="J11" i="22" s="1"/>
  <c r="H37" i="22"/>
  <c r="J37" i="22" s="1"/>
  <c r="H36" i="22"/>
  <c r="G35" i="22"/>
  <c r="I35" i="22" s="1"/>
  <c r="G28" i="22"/>
  <c r="G12" i="22"/>
  <c r="I12" i="22" s="1"/>
  <c r="G11" i="22"/>
  <c r="E27" i="22"/>
  <c r="I14" i="21"/>
  <c r="J18" i="21"/>
  <c r="I24" i="21"/>
  <c r="J26" i="21"/>
  <c r="J23" i="21"/>
  <c r="I15" i="21"/>
  <c r="E18" i="21"/>
  <c r="E17" i="21"/>
  <c r="E15" i="21"/>
  <c r="E14" i="21"/>
  <c r="D18" i="21"/>
  <c r="D17" i="21"/>
  <c r="D15" i="21"/>
  <c r="D14" i="21"/>
  <c r="C28" i="21"/>
  <c r="C30" i="20"/>
  <c r="E23" i="20"/>
  <c r="H23" i="20"/>
  <c r="J23" i="20" s="1"/>
  <c r="G28" i="20"/>
  <c r="I28" i="20" s="1"/>
  <c r="G27" i="20"/>
  <c r="I27" i="20" s="1"/>
  <c r="B17" i="20"/>
  <c r="J14" i="19"/>
  <c r="D25" i="19"/>
  <c r="C30" i="19"/>
  <c r="H25" i="19"/>
  <c r="E25" i="19"/>
  <c r="J15" i="19"/>
  <c r="B28" i="19"/>
  <c r="B36" i="19"/>
  <c r="C17" i="19"/>
  <c r="B17" i="19"/>
  <c r="H28" i="19"/>
  <c r="J28" i="19" s="1"/>
  <c r="H12" i="19"/>
  <c r="J12" i="19" s="1"/>
  <c r="H11" i="19"/>
  <c r="J11" i="19" s="1"/>
  <c r="H37" i="19"/>
  <c r="J37" i="19" s="1"/>
  <c r="H36" i="19"/>
  <c r="J36" i="19" s="1"/>
  <c r="G27" i="19"/>
  <c r="I27" i="19" s="1"/>
  <c r="G12" i="19"/>
  <c r="G11" i="19"/>
  <c r="J26" i="17"/>
  <c r="B21" i="17"/>
  <c r="G20" i="17"/>
  <c r="I14" i="17"/>
  <c r="J27" i="17"/>
  <c r="B35" i="17"/>
  <c r="H18" i="17"/>
  <c r="H17" i="17"/>
  <c r="E15" i="17"/>
  <c r="E14" i="17"/>
  <c r="E18" i="17"/>
  <c r="E17" i="17"/>
  <c r="H36" i="17"/>
  <c r="J36" i="17" s="1"/>
  <c r="H35" i="17"/>
  <c r="J35" i="17" s="1"/>
  <c r="G29" i="17"/>
  <c r="I29" i="17" s="1"/>
  <c r="G27" i="17"/>
  <c r="I27" i="17" s="1"/>
  <c r="G26" i="17"/>
  <c r="G25" i="17"/>
  <c r="H12" i="17"/>
  <c r="H11" i="17"/>
  <c r="G34" i="17"/>
  <c r="I34" i="17" s="1"/>
  <c r="E29" i="17"/>
  <c r="E27" i="17"/>
  <c r="E26" i="17"/>
  <c r="E25" i="17"/>
  <c r="C20" i="17"/>
  <c r="D20" i="17" s="1"/>
  <c r="E12" i="17"/>
  <c r="E11" i="17"/>
  <c r="C24" i="16"/>
  <c r="E23" i="16"/>
  <c r="H23" i="16"/>
  <c r="J23" i="16" s="1"/>
  <c r="B17" i="16"/>
  <c r="D15" i="16"/>
  <c r="G15" i="16"/>
  <c r="I15" i="16" s="1"/>
  <c r="G14" i="16"/>
  <c r="I14" i="16" s="1"/>
  <c r="E18" i="16"/>
  <c r="J10" i="16"/>
  <c r="D15" i="15"/>
  <c r="G15" i="15"/>
  <c r="I15" i="15" s="1"/>
  <c r="B12" i="15"/>
  <c r="D14" i="15"/>
  <c r="C17" i="15"/>
  <c r="H12" i="15"/>
  <c r="J12" i="15" s="1"/>
  <c r="I14" i="13"/>
  <c r="J18" i="13"/>
  <c r="C27" i="13"/>
  <c r="E25" i="13"/>
  <c r="H25" i="13"/>
  <c r="J25" i="13" s="1"/>
  <c r="B27" i="13"/>
  <c r="D25" i="13"/>
  <c r="G25" i="13"/>
  <c r="I17" i="13"/>
  <c r="B34" i="13"/>
  <c r="D33" i="13"/>
  <c r="G33" i="13"/>
  <c r="I33" i="13" s="1"/>
  <c r="I15" i="13"/>
  <c r="H22" i="13"/>
  <c r="J22" i="13" s="1"/>
  <c r="E18" i="13"/>
  <c r="E17" i="13"/>
  <c r="E15" i="13"/>
  <c r="E14" i="13"/>
  <c r="G22" i="13"/>
  <c r="D18" i="13"/>
  <c r="D17" i="13"/>
  <c r="D15" i="13"/>
  <c r="D14" i="13"/>
  <c r="J10" i="13"/>
  <c r="C29" i="13"/>
  <c r="B12" i="10"/>
  <c r="H24" i="10"/>
  <c r="J24" i="10" s="1"/>
  <c r="C17" i="10"/>
  <c r="C26" i="10"/>
  <c r="B24" i="10"/>
  <c r="G23" i="10"/>
  <c r="I23" i="10" s="1"/>
  <c r="H12" i="10"/>
  <c r="J12" i="10" s="1"/>
  <c r="I14" i="9"/>
  <c r="J14" i="9"/>
  <c r="I55" i="9"/>
  <c r="J55" i="9"/>
  <c r="I47" i="9"/>
  <c r="I54" i="9"/>
  <c r="J54" i="9"/>
  <c r="I46" i="9"/>
  <c r="J46" i="9"/>
  <c r="J17" i="9"/>
  <c r="J30" i="9"/>
  <c r="E45" i="9"/>
  <c r="E37" i="9"/>
  <c r="E29" i="9"/>
  <c r="G15" i="9"/>
  <c r="I15" i="9" s="1"/>
  <c r="H56" i="9"/>
  <c r="J56" i="9" s="1"/>
  <c r="E54" i="9"/>
  <c r="J49" i="9"/>
  <c r="E47" i="9"/>
  <c r="E46" i="9"/>
  <c r="J42" i="9"/>
  <c r="H40" i="9"/>
  <c r="J40" i="9" s="1"/>
  <c r="D38" i="9"/>
  <c r="J34" i="9"/>
  <c r="H32" i="9"/>
  <c r="J32" i="9" s="1"/>
  <c r="D30" i="9"/>
  <c r="E15" i="9"/>
  <c r="E14" i="9"/>
  <c r="G57" i="9"/>
  <c r="D54" i="9"/>
  <c r="D47" i="9"/>
  <c r="D46" i="9"/>
  <c r="G41" i="9"/>
  <c r="I41" i="9" s="1"/>
  <c r="H33" i="9"/>
  <c r="J33" i="9" s="1"/>
  <c r="G21" i="9"/>
  <c r="G20" i="9"/>
  <c r="G18" i="9"/>
  <c r="I18" i="9" s="1"/>
  <c r="G17" i="9"/>
  <c r="I17" i="9" s="1"/>
  <c r="D14" i="9"/>
  <c r="J45" i="9"/>
  <c r="E33" i="9"/>
  <c r="J29" i="9"/>
  <c r="C59" i="9"/>
  <c r="C57" i="9"/>
  <c r="D57" i="9" s="1"/>
  <c r="C20" i="9"/>
  <c r="D20" i="9" s="1"/>
  <c r="B59" i="9"/>
  <c r="I15" i="8"/>
  <c r="I32" i="8"/>
  <c r="I30" i="8"/>
  <c r="J30" i="8"/>
  <c r="H40" i="8"/>
  <c r="J40" i="8" s="1"/>
  <c r="H39" i="8"/>
  <c r="J39" i="8" s="1"/>
  <c r="H38" i="8"/>
  <c r="H31" i="8"/>
  <c r="H24" i="8"/>
  <c r="J24" i="8" s="1"/>
  <c r="H23" i="8"/>
  <c r="J23" i="8" s="1"/>
  <c r="H22" i="8"/>
  <c r="J22" i="8" s="1"/>
  <c r="E15" i="8"/>
  <c r="E14" i="8"/>
  <c r="G40" i="8"/>
  <c r="I40" i="8" s="1"/>
  <c r="G39" i="8"/>
  <c r="I39" i="8" s="1"/>
  <c r="H32" i="8"/>
  <c r="J32" i="8" s="1"/>
  <c r="E30" i="8"/>
  <c r="D15" i="8"/>
  <c r="D14" i="8"/>
  <c r="E38" i="8"/>
  <c r="J10" i="8"/>
  <c r="D24" i="8"/>
  <c r="C35" i="8"/>
  <c r="C45" i="8" s="1"/>
  <c r="J32" i="22" l="1"/>
  <c r="I32" i="22"/>
  <c r="I28" i="22"/>
  <c r="I51" i="9"/>
  <c r="I52" i="9"/>
  <c r="J11" i="8"/>
  <c r="I42" i="8"/>
  <c r="D12" i="8"/>
  <c r="C17" i="8"/>
  <c r="H12" i="8"/>
  <c r="E12" i="8"/>
  <c r="H28" i="8"/>
  <c r="J28" i="8" s="1"/>
  <c r="I27" i="8"/>
  <c r="J27" i="8"/>
  <c r="G12" i="8"/>
  <c r="B17" i="8"/>
  <c r="E43" i="8"/>
  <c r="H43" i="8"/>
  <c r="D43" i="8"/>
  <c r="I33" i="8"/>
  <c r="B45" i="8"/>
  <c r="I11" i="77"/>
  <c r="J11" i="77"/>
  <c r="E33" i="77"/>
  <c r="H33" i="77"/>
  <c r="J33" i="77" s="1"/>
  <c r="D33" i="77"/>
  <c r="G35" i="77"/>
  <c r="B42" i="77"/>
  <c r="D12" i="77"/>
  <c r="E12" i="77"/>
  <c r="H12" i="77"/>
  <c r="C17" i="77"/>
  <c r="J28" i="77"/>
  <c r="I11" i="76"/>
  <c r="G45" i="76"/>
  <c r="I45" i="76" s="1"/>
  <c r="D45" i="76"/>
  <c r="B46" i="76"/>
  <c r="D29" i="76"/>
  <c r="G29" i="76"/>
  <c r="I29" i="76" s="1"/>
  <c r="I37" i="76"/>
  <c r="E12" i="76"/>
  <c r="H12" i="76"/>
  <c r="J12" i="76" s="1"/>
  <c r="C17" i="76"/>
  <c r="B39" i="76"/>
  <c r="D12" i="76"/>
  <c r="G12" i="76"/>
  <c r="B17" i="76"/>
  <c r="J26" i="76"/>
  <c r="E46" i="76"/>
  <c r="H46" i="76"/>
  <c r="J46" i="76" s="1"/>
  <c r="I25" i="65"/>
  <c r="J25" i="65"/>
  <c r="G28" i="65"/>
  <c r="E17" i="65"/>
  <c r="H17" i="65"/>
  <c r="C18" i="65"/>
  <c r="G30" i="65"/>
  <c r="B31" i="65"/>
  <c r="D26" i="65"/>
  <c r="E26" i="65"/>
  <c r="H26" i="65"/>
  <c r="C28" i="65"/>
  <c r="I12" i="65"/>
  <c r="J12" i="65"/>
  <c r="I11" i="65"/>
  <c r="J11" i="65"/>
  <c r="D17" i="65"/>
  <c r="D18" i="24"/>
  <c r="G18" i="24"/>
  <c r="I18" i="24" s="1"/>
  <c r="G26" i="24"/>
  <c r="I26" i="24" s="1"/>
  <c r="B31" i="24"/>
  <c r="D26" i="24"/>
  <c r="D38" i="24"/>
  <c r="G38" i="24"/>
  <c r="I38" i="24" s="1"/>
  <c r="C40" i="24"/>
  <c r="E33" i="24"/>
  <c r="H33" i="24"/>
  <c r="J33" i="24" s="1"/>
  <c r="J12" i="22"/>
  <c r="I11" i="22"/>
  <c r="I27" i="22"/>
  <c r="J27" i="22"/>
  <c r="G37" i="22"/>
  <c r="I37" i="22" s="1"/>
  <c r="D37" i="22"/>
  <c r="G39" i="22"/>
  <c r="D39" i="22"/>
  <c r="G17" i="22"/>
  <c r="I17" i="22" s="1"/>
  <c r="B18" i="22"/>
  <c r="D17" i="22"/>
  <c r="E39" i="22"/>
  <c r="H39" i="22"/>
  <c r="J39" i="22" s="1"/>
  <c r="I36" i="22"/>
  <c r="J36" i="22"/>
  <c r="H17" i="22"/>
  <c r="C18" i="22"/>
  <c r="E17" i="22"/>
  <c r="C29" i="21"/>
  <c r="D28" i="21"/>
  <c r="E28" i="21"/>
  <c r="H28" i="21"/>
  <c r="B18" i="20"/>
  <c r="D17" i="20"/>
  <c r="G17" i="20"/>
  <c r="I17" i="20" s="1"/>
  <c r="E30" i="20"/>
  <c r="H30" i="20"/>
  <c r="J30" i="20" s="1"/>
  <c r="G36" i="19"/>
  <c r="I36" i="19" s="1"/>
  <c r="D36" i="19"/>
  <c r="B37" i="19"/>
  <c r="D28" i="19"/>
  <c r="G28" i="19"/>
  <c r="I28" i="19" s="1"/>
  <c r="B30" i="19"/>
  <c r="J25" i="19"/>
  <c r="I25" i="19"/>
  <c r="I11" i="19"/>
  <c r="H30" i="19"/>
  <c r="I12" i="19"/>
  <c r="G17" i="19"/>
  <c r="I17" i="19" s="1"/>
  <c r="D17" i="19"/>
  <c r="B18" i="19"/>
  <c r="H17" i="19"/>
  <c r="C18" i="19"/>
  <c r="E17" i="19"/>
  <c r="D35" i="17"/>
  <c r="G35" i="17"/>
  <c r="I35" i="17" s="1"/>
  <c r="B36" i="17"/>
  <c r="I11" i="17"/>
  <c r="J11" i="17"/>
  <c r="I12" i="17"/>
  <c r="J12" i="17"/>
  <c r="J25" i="17"/>
  <c r="C21" i="17"/>
  <c r="D21" i="17" s="1"/>
  <c r="E20" i="17"/>
  <c r="H20" i="17"/>
  <c r="J20" i="17" s="1"/>
  <c r="J17" i="17"/>
  <c r="I17" i="17"/>
  <c r="G21" i="17"/>
  <c r="B31" i="17"/>
  <c r="J18" i="17"/>
  <c r="I18" i="17"/>
  <c r="J29" i="17"/>
  <c r="B18" i="16"/>
  <c r="D17" i="16"/>
  <c r="G17" i="16"/>
  <c r="I17" i="16" s="1"/>
  <c r="E24" i="16"/>
  <c r="H24" i="16"/>
  <c r="J24" i="16" s="1"/>
  <c r="C18" i="15"/>
  <c r="H17" i="15"/>
  <c r="J17" i="15" s="1"/>
  <c r="E17" i="15"/>
  <c r="G12" i="15"/>
  <c r="I12" i="15" s="1"/>
  <c r="D12" i="15"/>
  <c r="B17" i="15"/>
  <c r="I25" i="13"/>
  <c r="D27" i="13"/>
  <c r="G27" i="13"/>
  <c r="B29" i="13"/>
  <c r="E27" i="13"/>
  <c r="H27" i="13"/>
  <c r="J27" i="13" s="1"/>
  <c r="C36" i="13"/>
  <c r="E29" i="13"/>
  <c r="H29" i="13"/>
  <c r="D34" i="13"/>
  <c r="G34" i="13"/>
  <c r="I34" i="13" s="1"/>
  <c r="D24" i="10"/>
  <c r="B26" i="10"/>
  <c r="G24" i="10"/>
  <c r="I24" i="10" s="1"/>
  <c r="E26" i="10"/>
  <c r="H26" i="10"/>
  <c r="J26" i="10" s="1"/>
  <c r="C18" i="10"/>
  <c r="H17" i="10"/>
  <c r="J17" i="10" s="1"/>
  <c r="E17" i="10"/>
  <c r="G12" i="10"/>
  <c r="I12" i="10" s="1"/>
  <c r="D12" i="10"/>
  <c r="B17" i="10"/>
  <c r="I33" i="9"/>
  <c r="B61" i="9"/>
  <c r="D59" i="9"/>
  <c r="G59" i="9"/>
  <c r="J18" i="9"/>
  <c r="C21" i="9"/>
  <c r="E20" i="9"/>
  <c r="H20" i="9"/>
  <c r="J20" i="9" s="1"/>
  <c r="I40" i="9"/>
  <c r="E57" i="9"/>
  <c r="H57" i="9"/>
  <c r="J57" i="9" s="1"/>
  <c r="E59" i="9"/>
  <c r="H59" i="9"/>
  <c r="I32" i="9"/>
  <c r="J15" i="9"/>
  <c r="I56" i="9"/>
  <c r="D35" i="8"/>
  <c r="E35" i="8"/>
  <c r="H35" i="8"/>
  <c r="I23" i="8"/>
  <c r="D45" i="8"/>
  <c r="G45" i="8"/>
  <c r="I22" i="8"/>
  <c r="I24" i="8"/>
  <c r="I31" i="8"/>
  <c r="J31" i="8"/>
  <c r="E45" i="8"/>
  <c r="H45" i="8"/>
  <c r="I38" i="8"/>
  <c r="J38" i="8"/>
  <c r="I20" i="17" l="1"/>
  <c r="J59" i="9"/>
  <c r="J43" i="8"/>
  <c r="I43" i="8"/>
  <c r="I12" i="8"/>
  <c r="J12" i="8"/>
  <c r="H17" i="8"/>
  <c r="J17" i="8" s="1"/>
  <c r="C18" i="8"/>
  <c r="E17" i="8"/>
  <c r="G17" i="8"/>
  <c r="B18" i="8"/>
  <c r="D17" i="8"/>
  <c r="I28" i="8"/>
  <c r="I45" i="8"/>
  <c r="G42" i="77"/>
  <c r="H17" i="77"/>
  <c r="E17" i="77"/>
  <c r="C18" i="77"/>
  <c r="D17" i="77"/>
  <c r="I12" i="77"/>
  <c r="J12" i="77"/>
  <c r="I33" i="77"/>
  <c r="I12" i="76"/>
  <c r="G46" i="76"/>
  <c r="I46" i="76" s="1"/>
  <c r="D46" i="76"/>
  <c r="G17" i="76"/>
  <c r="D17" i="76"/>
  <c r="B18" i="76"/>
  <c r="D39" i="76"/>
  <c r="G39" i="76"/>
  <c r="E39" i="76"/>
  <c r="H17" i="76"/>
  <c r="J17" i="76" s="1"/>
  <c r="E17" i="76"/>
  <c r="C18" i="76"/>
  <c r="H18" i="65"/>
  <c r="E18" i="65"/>
  <c r="C30" i="65"/>
  <c r="D18" i="65"/>
  <c r="E28" i="65"/>
  <c r="H28" i="65"/>
  <c r="J28" i="65" s="1"/>
  <c r="J17" i="65"/>
  <c r="I17" i="65"/>
  <c r="I26" i="65"/>
  <c r="J26" i="65"/>
  <c r="D28" i="65"/>
  <c r="G31" i="65"/>
  <c r="D31" i="24"/>
  <c r="G31" i="24"/>
  <c r="I31" i="24" s="1"/>
  <c r="E40" i="24"/>
  <c r="H40" i="24"/>
  <c r="J40" i="24" s="1"/>
  <c r="B33" i="24"/>
  <c r="J17" i="22"/>
  <c r="I39" i="22"/>
  <c r="G18" i="22"/>
  <c r="B41" i="22"/>
  <c r="D18" i="22"/>
  <c r="H18" i="22"/>
  <c r="E18" i="22"/>
  <c r="C41" i="22"/>
  <c r="J28" i="21"/>
  <c r="I28" i="21"/>
  <c r="D29" i="21"/>
  <c r="E29" i="21"/>
  <c r="H29" i="21"/>
  <c r="B23" i="20"/>
  <c r="D18" i="20"/>
  <c r="G18" i="20"/>
  <c r="I18" i="20" s="1"/>
  <c r="J17" i="19"/>
  <c r="G18" i="19"/>
  <c r="B32" i="19"/>
  <c r="D18" i="19"/>
  <c r="D30" i="19"/>
  <c r="G30" i="19"/>
  <c r="I30" i="19" s="1"/>
  <c r="J30" i="19"/>
  <c r="G37" i="19"/>
  <c r="I37" i="19" s="1"/>
  <c r="D37" i="19"/>
  <c r="E30" i="19"/>
  <c r="H18" i="19"/>
  <c r="J18" i="19" s="1"/>
  <c r="E18" i="19"/>
  <c r="C32" i="19"/>
  <c r="D36" i="17"/>
  <c r="G36" i="17"/>
  <c r="I36" i="17" s="1"/>
  <c r="G31" i="17"/>
  <c r="B38" i="17"/>
  <c r="C31" i="17"/>
  <c r="D31" i="17" s="1"/>
  <c r="E21" i="17"/>
  <c r="H21" i="17"/>
  <c r="J21" i="17" s="1"/>
  <c r="B23" i="16"/>
  <c r="D18" i="16"/>
  <c r="G18" i="16"/>
  <c r="I18" i="16" s="1"/>
  <c r="C23" i="15"/>
  <c r="H18" i="15"/>
  <c r="J18" i="15" s="1"/>
  <c r="E18" i="15"/>
  <c r="B18" i="15"/>
  <c r="D17" i="15"/>
  <c r="G17" i="15"/>
  <c r="I17" i="15" s="1"/>
  <c r="H36" i="13"/>
  <c r="B36" i="13"/>
  <c r="D29" i="13"/>
  <c r="G29" i="13"/>
  <c r="I29" i="13" s="1"/>
  <c r="I27" i="13"/>
  <c r="H18" i="10"/>
  <c r="J18" i="10" s="1"/>
  <c r="C28" i="10"/>
  <c r="E18" i="10"/>
  <c r="G17" i="10"/>
  <c r="I17" i="10" s="1"/>
  <c r="B18" i="10"/>
  <c r="D17" i="10"/>
  <c r="D26" i="10"/>
  <c r="G26" i="10"/>
  <c r="I26" i="10" s="1"/>
  <c r="C61" i="9"/>
  <c r="D61" i="9" s="1"/>
  <c r="E21" i="9"/>
  <c r="H21" i="9"/>
  <c r="D21" i="9"/>
  <c r="I20" i="9"/>
  <c r="I59" i="9"/>
  <c r="B62" i="9"/>
  <c r="G61" i="9"/>
  <c r="I57" i="9"/>
  <c r="J45" i="8"/>
  <c r="J35" i="8"/>
  <c r="I35" i="8"/>
  <c r="I18" i="22" l="1"/>
  <c r="G18" i="8"/>
  <c r="D18" i="8"/>
  <c r="B47" i="8"/>
  <c r="I17" i="8"/>
  <c r="H18" i="8"/>
  <c r="J18" i="8" s="1"/>
  <c r="E18" i="8"/>
  <c r="C47" i="8"/>
  <c r="H18" i="77"/>
  <c r="E18" i="77"/>
  <c r="C35" i="77"/>
  <c r="D18" i="77"/>
  <c r="J17" i="77"/>
  <c r="I17" i="77"/>
  <c r="I39" i="76"/>
  <c r="J39" i="76"/>
  <c r="G18" i="76"/>
  <c r="D18" i="76"/>
  <c r="B41" i="76"/>
  <c r="H18" i="76"/>
  <c r="C41" i="76"/>
  <c r="E18" i="76"/>
  <c r="I17" i="76"/>
  <c r="I28" i="65"/>
  <c r="E30" i="65"/>
  <c r="H30" i="65"/>
  <c r="C31" i="65"/>
  <c r="D30" i="65"/>
  <c r="J18" i="65"/>
  <c r="I18" i="65"/>
  <c r="B40" i="24"/>
  <c r="D33" i="24"/>
  <c r="G33" i="24"/>
  <c r="I33" i="24" s="1"/>
  <c r="E41" i="22"/>
  <c r="H41" i="22"/>
  <c r="C48" i="22"/>
  <c r="J18" i="22"/>
  <c r="G41" i="22"/>
  <c r="D41" i="22"/>
  <c r="B48" i="22"/>
  <c r="J29" i="21"/>
  <c r="I29" i="21"/>
  <c r="D23" i="20"/>
  <c r="G23" i="20"/>
  <c r="I23" i="20" s="1"/>
  <c r="B30" i="20"/>
  <c r="E32" i="19"/>
  <c r="H32" i="19"/>
  <c r="C39" i="19"/>
  <c r="D32" i="19"/>
  <c r="G32" i="19"/>
  <c r="I32" i="19" s="1"/>
  <c r="B39" i="19"/>
  <c r="I18" i="19"/>
  <c r="I21" i="17"/>
  <c r="E31" i="17"/>
  <c r="H31" i="17"/>
  <c r="J31" i="17" s="1"/>
  <c r="C38" i="17"/>
  <c r="D38" i="17" s="1"/>
  <c r="G38" i="17"/>
  <c r="I31" i="17"/>
  <c r="B24" i="16"/>
  <c r="D23" i="16"/>
  <c r="G23" i="16"/>
  <c r="I23" i="16" s="1"/>
  <c r="B23" i="15"/>
  <c r="D18" i="15"/>
  <c r="G18" i="15"/>
  <c r="I18" i="15" s="1"/>
  <c r="C24" i="15"/>
  <c r="E23" i="15"/>
  <c r="H23" i="15"/>
  <c r="J23" i="15" s="1"/>
  <c r="J29" i="13"/>
  <c r="D36" i="13"/>
  <c r="G36" i="13"/>
  <c r="I36" i="13" s="1"/>
  <c r="J36" i="13"/>
  <c r="E36" i="13"/>
  <c r="B28" i="10"/>
  <c r="D18" i="10"/>
  <c r="G18" i="10"/>
  <c r="I18" i="10" s="1"/>
  <c r="C29" i="10"/>
  <c r="E28" i="10"/>
  <c r="H28" i="10"/>
  <c r="J28" i="10" s="1"/>
  <c r="G62" i="9"/>
  <c r="J21" i="9"/>
  <c r="I21" i="9"/>
  <c r="C62" i="9"/>
  <c r="E61" i="9"/>
  <c r="H61" i="9"/>
  <c r="J61" i="9" s="1"/>
  <c r="I18" i="76" l="1"/>
  <c r="I41" i="22"/>
  <c r="G47" i="8"/>
  <c r="B48" i="8"/>
  <c r="D47" i="8"/>
  <c r="C48" i="8"/>
  <c r="E47" i="8"/>
  <c r="H47" i="8"/>
  <c r="J47" i="8" s="1"/>
  <c r="I18" i="8"/>
  <c r="E35" i="77"/>
  <c r="H35" i="77"/>
  <c r="C42" i="77"/>
  <c r="D35" i="77"/>
  <c r="J18" i="77"/>
  <c r="I18" i="77"/>
  <c r="J18" i="76"/>
  <c r="D41" i="76"/>
  <c r="G41" i="76"/>
  <c r="I41" i="76" s="1"/>
  <c r="B48" i="76"/>
  <c r="E41" i="76"/>
  <c r="C48" i="76"/>
  <c r="H41" i="76"/>
  <c r="E31" i="65"/>
  <c r="H31" i="65"/>
  <c r="D31" i="65"/>
  <c r="J30" i="65"/>
  <c r="I30" i="65"/>
  <c r="D40" i="24"/>
  <c r="G40" i="24"/>
  <c r="I40" i="24" s="1"/>
  <c r="G48" i="22"/>
  <c r="D48" i="22"/>
  <c r="H48" i="22"/>
  <c r="J48" i="22" s="1"/>
  <c r="E48" i="22"/>
  <c r="J41" i="22"/>
  <c r="D30" i="20"/>
  <c r="G30" i="20"/>
  <c r="I30" i="20" s="1"/>
  <c r="E39" i="19"/>
  <c r="H39" i="19"/>
  <c r="G39" i="19"/>
  <c r="I39" i="19" s="1"/>
  <c r="D39" i="19"/>
  <c r="J32" i="19"/>
  <c r="E38" i="17"/>
  <c r="H38" i="17"/>
  <c r="J38" i="17" s="1"/>
  <c r="D24" i="16"/>
  <c r="G24" i="16"/>
  <c r="I24" i="16" s="1"/>
  <c r="B24" i="15"/>
  <c r="D23" i="15"/>
  <c r="G23" i="15"/>
  <c r="I23" i="15" s="1"/>
  <c r="E24" i="15"/>
  <c r="H24" i="15"/>
  <c r="J24" i="15" s="1"/>
  <c r="D28" i="10"/>
  <c r="G28" i="10"/>
  <c r="I28" i="10" s="1"/>
  <c r="B29" i="10"/>
  <c r="E29" i="10"/>
  <c r="H29" i="10"/>
  <c r="J29" i="10" s="1"/>
  <c r="E62" i="9"/>
  <c r="H62" i="9"/>
  <c r="J62" i="9" s="1"/>
  <c r="I61" i="9"/>
  <c r="D62" i="9"/>
  <c r="I38" i="17" l="1"/>
  <c r="I62" i="9"/>
  <c r="E48" i="8"/>
  <c r="H48" i="8"/>
  <c r="G48" i="8"/>
  <c r="D48" i="8"/>
  <c r="I47" i="8"/>
  <c r="J35" i="77"/>
  <c r="I35" i="77"/>
  <c r="H42" i="77"/>
  <c r="E42" i="77"/>
  <c r="D42" i="77"/>
  <c r="J41" i="76"/>
  <c r="E48" i="76"/>
  <c r="H48" i="76"/>
  <c r="G48" i="76"/>
  <c r="D48" i="76"/>
  <c r="J31" i="65"/>
  <c r="I31" i="65"/>
  <c r="I48" i="22"/>
  <c r="J39" i="19"/>
  <c r="D24" i="15"/>
  <c r="G24" i="15"/>
  <c r="I24" i="15" s="1"/>
  <c r="D29" i="10"/>
  <c r="G29" i="10"/>
  <c r="I29" i="10" s="1"/>
  <c r="J48" i="76" l="1"/>
  <c r="J48" i="8"/>
  <c r="I48" i="8"/>
  <c r="J42" i="77"/>
  <c r="I42" i="77"/>
  <c r="I48" i="76"/>
</calcChain>
</file>

<file path=xl/sharedStrings.xml><?xml version="1.0" encoding="utf-8"?>
<sst xmlns="http://schemas.openxmlformats.org/spreadsheetml/2006/main" count="600" uniqueCount="90">
  <si>
    <t>Paraclete Mission Group</t>
  </si>
  <si>
    <t>Net Income</t>
  </si>
  <si>
    <t>Net Other Income</t>
  </si>
  <si>
    <t>Total Other Income</t>
  </si>
  <si>
    <t xml:space="preserve">   6900 Contribution from PPP Forgiveness</t>
  </si>
  <si>
    <t>Other Income</t>
  </si>
  <si>
    <t>Net Operating Income</t>
  </si>
  <si>
    <t>Total Expenses</t>
  </si>
  <si>
    <t xml:space="preserve">   Total 8500 Other expenses</t>
  </si>
  <si>
    <t xml:space="preserve">      8590 Other expenses</t>
  </si>
  <si>
    <t xml:space="preserve">      8550 Bank fees</t>
  </si>
  <si>
    <t xml:space="preserve">      8540 Staff development/Training</t>
  </si>
  <si>
    <t xml:space="preserve">      8530 Membership dues - organization</t>
  </si>
  <si>
    <t xml:space="preserve">      8520 Insurance - non-employee related</t>
  </si>
  <si>
    <t xml:space="preserve">      8515 Software as a Service</t>
  </si>
  <si>
    <t xml:space="preserve">   8500 Other expenses</t>
  </si>
  <si>
    <t xml:space="preserve">   Total 8400 Other Client Specific Expenses</t>
  </si>
  <si>
    <t xml:space="preserve">      Total 8410 Government Fees</t>
  </si>
  <si>
    <t xml:space="preserve">      8410 Government Fees</t>
  </si>
  <si>
    <t xml:space="preserve">   8400 Other Client Specific Expenses</t>
  </si>
  <si>
    <t xml:space="preserve">   Total 8300 Travel &amp; meetings expenses</t>
  </si>
  <si>
    <t xml:space="preserve">      8350 Conference,convention,meeting</t>
  </si>
  <si>
    <t xml:space="preserve">      8340 Airfare</t>
  </si>
  <si>
    <t xml:space="preserve">      8310 Transportation</t>
  </si>
  <si>
    <t xml:space="preserve">   8300 Travel &amp; meetings expenses</t>
  </si>
  <si>
    <t xml:space="preserve">   Total 8200 Facility &amp; equipment expenses</t>
  </si>
  <si>
    <t xml:space="preserve">      8230 Equipment expense &lt; $2500</t>
  </si>
  <si>
    <t xml:space="preserve">   8200 Facility &amp; equipment expenses</t>
  </si>
  <si>
    <t xml:space="preserve">   Total 8100 Non-personnel expenses</t>
  </si>
  <si>
    <t xml:space="preserve">      8190 Internet/Web/Hosting fees</t>
  </si>
  <si>
    <t xml:space="preserve">      8180 Books, subscriptions, reference</t>
  </si>
  <si>
    <t xml:space="preserve">      8170 Printing &amp; copying</t>
  </si>
  <si>
    <t xml:space="preserve">      8165 Computer Hardware &lt; $2500</t>
  </si>
  <si>
    <t xml:space="preserve">      8160 Computer Software</t>
  </si>
  <si>
    <t xml:space="preserve">      8140 Postage, shipping, delivery</t>
  </si>
  <si>
    <t xml:space="preserve">      8130 Telephone &amp; telecommunications</t>
  </si>
  <si>
    <t xml:space="preserve">   8100 Non-personnel expenses</t>
  </si>
  <si>
    <t xml:space="preserve">   Total 7500 Contract service expenses</t>
  </si>
  <si>
    <t xml:space="preserve">      7540 Professional fees - other</t>
  </si>
  <si>
    <t xml:space="preserve">   7500 Contract service expenses</t>
  </si>
  <si>
    <t xml:space="preserve">   Total 7200 Salaries &amp; related expenses</t>
  </si>
  <si>
    <t xml:space="preserve">      7250 Payroll taxes, etc.</t>
  </si>
  <si>
    <t xml:space="preserve">      7240 Employee benefits - not pension</t>
  </si>
  <si>
    <t xml:space="preserve">      7230 Minister Housing Allowances</t>
  </si>
  <si>
    <t xml:space="preserve">      7220 Salaries and Wages</t>
  </si>
  <si>
    <t xml:space="preserve">   7200 Salaries &amp; related expenses</t>
  </si>
  <si>
    <t>Expenses</t>
  </si>
  <si>
    <t>Gross Profit</t>
  </si>
  <si>
    <t>Total Income</t>
  </si>
  <si>
    <t xml:space="preserve">   Total 4600 Transfers</t>
  </si>
  <si>
    <t xml:space="preserve">      4610 Assessments</t>
  </si>
  <si>
    <t xml:space="preserve">   4600 Transfers</t>
  </si>
  <si>
    <t xml:space="preserve">   Total 4000 Revenue from direct contributions</t>
  </si>
  <si>
    <t xml:space="preserve">      4010 Donations</t>
  </si>
  <si>
    <t xml:space="preserve">   4000 Revenue from direct contributions</t>
  </si>
  <si>
    <t>Income</t>
  </si>
  <si>
    <t>January 2021</t>
  </si>
  <si>
    <t xml:space="preserve">         8414 Passports &amp; Visas</t>
  </si>
  <si>
    <t xml:space="preserve">      8360 Relationship Development</t>
  </si>
  <si>
    <t xml:space="preserve">      8330 Lodging</t>
  </si>
  <si>
    <t xml:space="preserve">      8325 Per diem</t>
  </si>
  <si>
    <t xml:space="preserve">   Total 4200 Revenue from non-government grants</t>
  </si>
  <si>
    <t xml:space="preserve">      4230 Foundation/trust grants</t>
  </si>
  <si>
    <t xml:space="preserve">   4200 Revenue from non-government grants</t>
  </si>
  <si>
    <t xml:space="preserve">   Total 4100 Donated goods &amp; services revenue</t>
  </si>
  <si>
    <t xml:space="preserve">      4110 Donated professional services</t>
  </si>
  <si>
    <t xml:space="preserve">   4100 Donated goods &amp; services revenue</t>
  </si>
  <si>
    <t>% of Budget</t>
  </si>
  <si>
    <t>over Budget</t>
  </si>
  <si>
    <t>Budget</t>
  </si>
  <si>
    <t>Actual</t>
  </si>
  <si>
    <t>Jan 2021</t>
  </si>
  <si>
    <t>Fund Balance Report - Smith Ministry</t>
  </si>
  <si>
    <t>YTD Total</t>
  </si>
  <si>
    <t>Beginning Balance</t>
  </si>
  <si>
    <t>Ending Fund Balance</t>
  </si>
  <si>
    <t>Fund Balance Report - Jones Ministry</t>
  </si>
  <si>
    <t>Fund Balance Report - Cortez Ministry</t>
  </si>
  <si>
    <t>Fund Balance Report - Little Ministry</t>
  </si>
  <si>
    <t>Fund Balance Report - Johnson Ministry</t>
  </si>
  <si>
    <t>Fund Balance Report - Stark Ministry</t>
  </si>
  <si>
    <t>Fund Balance Report - Doe Ministry</t>
  </si>
  <si>
    <t>Fund Balance Report - Bright Ministry</t>
  </si>
  <si>
    <t>Fund Balance Report - Lincoln Ministry</t>
  </si>
  <si>
    <t>Fund Balance Report - Martinez Ministry</t>
  </si>
  <si>
    <t>Fund Balance Report - Patton Ministry</t>
  </si>
  <si>
    <t>Fund Balance Report - Rich Ministry</t>
  </si>
  <si>
    <t>Fund Balance Report - Seitz Ministry</t>
  </si>
  <si>
    <t>Fund Balance Report - Bhiri Ministry</t>
  </si>
  <si>
    <t>Fund Balance Report - Pignatelli Ministry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</si>
</sst>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sz val="11"/>
      <color indexed="8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44" fontId="1" fillId="0" borderId="1" xfId="0" applyNumberFormat="1" applyFont="1" applyBorder="1" applyAlignment="1">
      <alignment horizontal="center" wrapText="1"/>
    </xf>
    <xf numFmtId="44" fontId="3" fillId="0" borderId="0" xfId="0" applyNumberFormat="1" applyFont="1" applyAlignment="1">
      <alignment wrapText="1"/>
    </xf>
    <xf numFmtId="44" fontId="3" fillId="0" borderId="0" xfId="0" applyNumberFormat="1" applyFont="1" applyAlignment="1">
      <alignment horizontal="right" wrapText="1"/>
    </xf>
    <xf numFmtId="44" fontId="2" fillId="0" borderId="2" xfId="0" applyNumberFormat="1" applyFont="1" applyBorder="1" applyAlignment="1">
      <alignment horizontal="right" wrapText="1"/>
    </xf>
    <xf numFmtId="9" fontId="1" fillId="0" borderId="1" xfId="2" applyFont="1" applyBorder="1" applyAlignment="1">
      <alignment horizontal="center" wrapText="1"/>
    </xf>
    <xf numFmtId="9" fontId="3" fillId="0" borderId="0" xfId="2" applyFont="1" applyAlignment="1">
      <alignment wrapText="1"/>
    </xf>
    <xf numFmtId="9" fontId="3" fillId="0" borderId="0" xfId="2" applyFont="1" applyAlignment="1">
      <alignment horizontal="right" wrapText="1"/>
    </xf>
    <xf numFmtId="9" fontId="2" fillId="0" borderId="2" xfId="2" applyFont="1" applyBorder="1" applyAlignment="1">
      <alignment horizontal="right" wrapText="1"/>
    </xf>
    <xf numFmtId="44" fontId="1" fillId="0" borderId="0" xfId="0" applyNumberFormat="1" applyFont="1" applyBorder="1" applyAlignment="1">
      <alignment horizontal="center" wrapText="1"/>
    </xf>
    <xf numFmtId="9" fontId="1" fillId="0" borderId="0" xfId="2" applyFont="1" applyBorder="1" applyAlignment="1">
      <alignment horizontal="center" wrapText="1"/>
    </xf>
    <xf numFmtId="44" fontId="2" fillId="0" borderId="0" xfId="0" applyNumberFormat="1" applyFont="1" applyBorder="1" applyAlignment="1">
      <alignment horizontal="right" wrapText="1"/>
    </xf>
    <xf numFmtId="9" fontId="2" fillId="0" borderId="0" xfId="2" applyFont="1" applyBorder="1" applyAlignment="1">
      <alignment horizontal="right" wrapText="1"/>
    </xf>
    <xf numFmtId="44" fontId="2" fillId="0" borderId="4" xfId="0" applyNumberFormat="1" applyFont="1" applyBorder="1" applyAlignment="1">
      <alignment horizontal="right" wrapText="1"/>
    </xf>
    <xf numFmtId="9" fontId="2" fillId="0" borderId="4" xfId="2" applyFont="1" applyBorder="1" applyAlignment="1">
      <alignment horizontal="right" wrapText="1"/>
    </xf>
    <xf numFmtId="44" fontId="2" fillId="0" borderId="1" xfId="0" applyNumberFormat="1" applyFont="1" applyBorder="1" applyAlignment="1">
      <alignment horizontal="right" wrapText="1"/>
    </xf>
    <xf numFmtId="9" fontId="2" fillId="0" borderId="1" xfId="2" applyFont="1" applyBorder="1" applyAlignment="1">
      <alignment horizontal="right" wrapText="1"/>
    </xf>
    <xf numFmtId="44" fontId="2" fillId="0" borderId="3" xfId="0" applyNumberFormat="1" applyFont="1" applyBorder="1" applyAlignment="1">
      <alignment horizontal="right" wrapText="1"/>
    </xf>
    <xf numFmtId="9" fontId="2" fillId="0" borderId="3" xfId="2" applyFont="1" applyBorder="1" applyAlignment="1">
      <alignment horizontal="right" wrapText="1"/>
    </xf>
    <xf numFmtId="44" fontId="0" fillId="0" borderId="5" xfId="0" applyNumberFormat="1" applyBorder="1"/>
    <xf numFmtId="9" fontId="0" fillId="0" borderId="5" xfId="2" applyFont="1" applyBorder="1"/>
    <xf numFmtId="44" fontId="0" fillId="0" borderId="0" xfId="0" applyNumberFormat="1" applyBorder="1" applyAlignment="1">
      <alignment wrapText="1"/>
    </xf>
    <xf numFmtId="9" fontId="3" fillId="0" borderId="0" xfId="2" applyFont="1" applyBorder="1" applyAlignment="1">
      <alignment wrapText="1"/>
    </xf>
    <xf numFmtId="9" fontId="3" fillId="0" borderId="0" xfId="2" applyFont="1" applyBorder="1" applyAlignment="1">
      <alignment horizontal="right" wrapText="1"/>
    </xf>
    <xf numFmtId="44" fontId="0" fillId="0" borderId="0" xfId="0" applyNumberFormat="1" applyBorder="1"/>
    <xf numFmtId="0" fontId="7" fillId="0" borderId="5" xfId="3" applyFont="1" applyBorder="1" applyAlignment="1">
      <alignment horizontal="left" wrapText="1"/>
    </xf>
    <xf numFmtId="44" fontId="7" fillId="0" borderId="5" xfId="1" applyFont="1" applyBorder="1" applyAlignment="1">
      <alignment horizontal="center" wrapText="1"/>
    </xf>
    <xf numFmtId="44" fontId="3" fillId="0" borderId="4" xfId="0" applyNumberFormat="1" applyFont="1" applyBorder="1" applyAlignment="1">
      <alignment wrapText="1"/>
    </xf>
    <xf numFmtId="44" fontId="1" fillId="0" borderId="1" xfId="0" applyNumberFormat="1" applyFont="1" applyBorder="1" applyAlignment="1">
      <alignment horizontal="center" wrapText="1"/>
    </xf>
    <xf numFmtId="44" fontId="0" fillId="0" borderId="1" xfId="0" applyNumberFormat="1" applyBorder="1" applyAlignment="1">
      <alignment wrapText="1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Normal 2 3" xfId="3" xr:uid="{1C027642-AEF7-4FFE-A1B0-AFD8D62E4BA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53B2491A-F26A-4957-91D8-DE89727F8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A199E1D7-CD88-49FD-9A06-9521026AC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42FD71F9-E3E6-49F1-9C4D-7583DBD1A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EDA37D94-E4E2-4AA4-A472-AE1A8505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FEAA7D23-740B-4388-BB37-5D19480D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6E641F8A-86C5-4A68-81E8-DA94DB218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D382A875-5242-48B2-B396-5DB4B7333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E80F262F-AB22-4916-A33A-5B12516FC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A57E5205-1722-4436-9200-04C06CBB4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B9DAB66D-E1A0-48EA-81A1-1BC3A4143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52AE2FE6-CC6A-4357-BC3A-D0EBE0124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5D904DF9-24F0-4B0E-AFEC-E5A818754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87523FEE-A721-4398-801D-70565DAAB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D5EFE725-54FF-452F-A051-2F9AA9E15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1975" cy="723900"/>
    <xdr:pic>
      <xdr:nvPicPr>
        <xdr:cNvPr id="2" name="Picture 1">
          <a:extLst>
            <a:ext uri="{FF2B5EF4-FFF2-40B4-BE49-F238E27FC236}">
              <a16:creationId xmlns:a16="http://schemas.microsoft.com/office/drawing/2014/main" id="{8C927A7B-96BC-4810-A0F1-90D50713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06F1-906D-4B39-8860-61CD8609079C}">
  <sheetPr codeName="Sheet8">
    <pageSetUpPr fitToPage="1"/>
  </sheetPr>
  <dimension ref="A1:J50"/>
  <sheetViews>
    <sheetView workbookViewId="0">
      <selection activeCell="A2" sqref="A2:J2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76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15681.5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 t="str">
        <f t="shared" ref="J10:J15" si="0">IF(H10=0,"",(G10)/(H10))</f>
        <v/>
      </c>
    </row>
    <row r="11" spans="1:10" x14ac:dyDescent="0.2">
      <c r="A11" s="2" t="s">
        <v>53</v>
      </c>
      <c r="B11" s="8">
        <f>3301.15</f>
        <v>3301.15</v>
      </c>
      <c r="C11" s="8">
        <f>3350</f>
        <v>3350</v>
      </c>
      <c r="D11" s="8">
        <f>(B11)-(C11)</f>
        <v>-48.849999999999909</v>
      </c>
      <c r="E11" s="12">
        <f>IF(C11=0,"",(B11)/(C11))</f>
        <v>0.98541791044776117</v>
      </c>
      <c r="F11" s="28"/>
      <c r="G11" s="8">
        <f>B11</f>
        <v>3301.15</v>
      </c>
      <c r="H11" s="8">
        <f>C11</f>
        <v>3350</v>
      </c>
      <c r="I11" s="8">
        <f>(G11)-(H11)</f>
        <v>-48.849999999999909</v>
      </c>
      <c r="J11" s="12">
        <f t="shared" si="0"/>
        <v>0.98541791044776117</v>
      </c>
    </row>
    <row r="12" spans="1:10" x14ac:dyDescent="0.2">
      <c r="A12" s="2" t="s">
        <v>52</v>
      </c>
      <c r="B12" s="9">
        <f>(B10)+(B11)</f>
        <v>3301.15</v>
      </c>
      <c r="C12" s="9">
        <f>(C10)+(C11)</f>
        <v>3350</v>
      </c>
      <c r="D12" s="9">
        <f>(B12)-(C12)</f>
        <v>-48.849999999999909</v>
      </c>
      <c r="E12" s="13">
        <f>IF(C12=0,"",(B12)/(C12))</f>
        <v>0.98541791044776117</v>
      </c>
      <c r="F12" s="17"/>
      <c r="G12" s="9">
        <f>B12</f>
        <v>3301.15</v>
      </c>
      <c r="H12" s="9">
        <f>C12</f>
        <v>3350</v>
      </c>
      <c r="I12" s="9">
        <f>(G12)-(H12)</f>
        <v>-48.849999999999909</v>
      </c>
      <c r="J12" s="13">
        <f t="shared" si="0"/>
        <v>0.98541791044776117</v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 t="str">
        <f t="shared" si="0"/>
        <v/>
      </c>
    </row>
    <row r="14" spans="1:10" x14ac:dyDescent="0.2">
      <c r="A14" s="2" t="s">
        <v>50</v>
      </c>
      <c r="B14" s="8">
        <f>-330.12</f>
        <v>-330.12</v>
      </c>
      <c r="C14" s="8">
        <f>-335</f>
        <v>-335</v>
      </c>
      <c r="D14" s="8">
        <f>(B14)-(C14)</f>
        <v>4.8799999999999955</v>
      </c>
      <c r="E14" s="12">
        <f>IF(C14=0,"",(B14)/(C14))</f>
        <v>0.98543283582089558</v>
      </c>
      <c r="F14" s="28"/>
      <c r="G14" s="8">
        <f>B14</f>
        <v>-330.12</v>
      </c>
      <c r="H14" s="8">
        <f>C14</f>
        <v>-335</v>
      </c>
      <c r="I14" s="8">
        <f>(G14)-(H14)</f>
        <v>4.8799999999999955</v>
      </c>
      <c r="J14" s="12">
        <f t="shared" si="0"/>
        <v>0.98543283582089558</v>
      </c>
    </row>
    <row r="15" spans="1:10" x14ac:dyDescent="0.2">
      <c r="A15" s="2" t="s">
        <v>49</v>
      </c>
      <c r="B15" s="9">
        <f>(B13)+(B14)</f>
        <v>-330.12</v>
      </c>
      <c r="C15" s="9">
        <f>(C13)+(C14)</f>
        <v>-335</v>
      </c>
      <c r="D15" s="9">
        <f>(B15)-(C15)</f>
        <v>4.8799999999999955</v>
      </c>
      <c r="E15" s="13">
        <f>IF(C15=0,"",(B15)/(C15))</f>
        <v>0.98543283582089558</v>
      </c>
      <c r="F15" s="17"/>
      <c r="G15" s="9">
        <f>B15</f>
        <v>-330.12</v>
      </c>
      <c r="H15" s="9">
        <f>C15</f>
        <v>-335</v>
      </c>
      <c r="I15" s="9">
        <f>(G15)-(H15)</f>
        <v>4.8799999999999955</v>
      </c>
      <c r="J15" s="13">
        <f t="shared" si="0"/>
        <v>0.98543283582089558</v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2971.03</v>
      </c>
      <c r="C17" s="18">
        <f>(C12)+(C15)</f>
        <v>3015</v>
      </c>
      <c r="D17" s="18">
        <f>(B17)-(C17)</f>
        <v>-43.9699999999998</v>
      </c>
      <c r="E17" s="19">
        <f>IF(C17=0,"",(B17)/(C17))</f>
        <v>0.98541625207296857</v>
      </c>
      <c r="F17" s="17"/>
      <c r="G17" s="18">
        <f>B17</f>
        <v>2971.03</v>
      </c>
      <c r="H17" s="18">
        <f>C17</f>
        <v>3015</v>
      </c>
      <c r="I17" s="18">
        <f>(G17)-(H17)</f>
        <v>-43.9699999999998</v>
      </c>
      <c r="J17" s="19">
        <f>IF(H17=0,"",(G17)/(H17))</f>
        <v>0.98541625207296857</v>
      </c>
    </row>
    <row r="18" spans="1:10" hidden="1" x14ac:dyDescent="0.2">
      <c r="A18" s="2" t="s">
        <v>47</v>
      </c>
      <c r="B18" s="9">
        <f>(B17)-(0)</f>
        <v>2971.03</v>
      </c>
      <c r="C18" s="9">
        <f>(C17)-(0)</f>
        <v>3015</v>
      </c>
      <c r="D18" s="9">
        <f>(B18)-(C18)</f>
        <v>-43.9699999999998</v>
      </c>
      <c r="E18" s="13">
        <f>IF(C18=0,"",(B18)/(C18))</f>
        <v>0.98541625207296857</v>
      </c>
      <c r="F18" s="17"/>
      <c r="G18" s="9">
        <f>B18</f>
        <v>2971.03</v>
      </c>
      <c r="H18" s="9">
        <f>C18</f>
        <v>3015</v>
      </c>
      <c r="I18" s="9">
        <f>(G18)-(H18)</f>
        <v>-43.9699999999998</v>
      </c>
      <c r="J18" s="13">
        <f>IF(H18=0,"",(G18)/(H18))</f>
        <v>0.98541625207296857</v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45</v>
      </c>
      <c r="B21" s="7"/>
      <c r="C21" s="7"/>
      <c r="D21" s="8"/>
      <c r="E21" s="12"/>
      <c r="F21" s="28"/>
      <c r="G21" s="8"/>
      <c r="H21" s="8"/>
      <c r="I21" s="8"/>
      <c r="J21" s="12" t="str">
        <f t="shared" ref="J21:J40" si="1">IF(H21=0,"",(G21)/(H21))</f>
        <v/>
      </c>
    </row>
    <row r="22" spans="1:10" x14ac:dyDescent="0.2">
      <c r="A22" s="2" t="s">
        <v>44</v>
      </c>
      <c r="B22" s="8">
        <f>3300</f>
        <v>3300</v>
      </c>
      <c r="C22" s="8">
        <f>2300</f>
        <v>2300</v>
      </c>
      <c r="D22" s="8">
        <f>(B22)-(C22)</f>
        <v>1000</v>
      </c>
      <c r="E22" s="12">
        <f>IF(C22=0,"",(B22)/(C22))</f>
        <v>1.4347826086956521</v>
      </c>
      <c r="F22" s="28"/>
      <c r="G22" s="8">
        <f t="shared" ref="G22:H24" si="2">B22</f>
        <v>3300</v>
      </c>
      <c r="H22" s="8">
        <f t="shared" si="2"/>
        <v>2300</v>
      </c>
      <c r="I22" s="8">
        <f>(G22)-(H22)</f>
        <v>1000</v>
      </c>
      <c r="J22" s="12">
        <f t="shared" si="1"/>
        <v>1.4347826086956521</v>
      </c>
    </row>
    <row r="23" spans="1:10" x14ac:dyDescent="0.2">
      <c r="A23" s="2" t="s">
        <v>41</v>
      </c>
      <c r="B23" s="8">
        <f>252.45</f>
        <v>252.45</v>
      </c>
      <c r="C23" s="8">
        <f>175.95</f>
        <v>175.95</v>
      </c>
      <c r="D23" s="8">
        <f>(B23)-(C23)</f>
        <v>76.5</v>
      </c>
      <c r="E23" s="12">
        <f>IF(C23=0,"",(B23)/(C23))</f>
        <v>1.4347826086956521</v>
      </c>
      <c r="F23" s="28"/>
      <c r="G23" s="8">
        <f t="shared" si="2"/>
        <v>252.45</v>
      </c>
      <c r="H23" s="8">
        <f t="shared" si="2"/>
        <v>175.95</v>
      </c>
      <c r="I23" s="8">
        <f>(G23)-(H23)</f>
        <v>76.5</v>
      </c>
      <c r="J23" s="12">
        <f t="shared" si="1"/>
        <v>1.4347826086956521</v>
      </c>
    </row>
    <row r="24" spans="1:10" x14ac:dyDescent="0.2">
      <c r="A24" s="2" t="s">
        <v>40</v>
      </c>
      <c r="B24" s="9">
        <f>((B21)+(B22))+(B23)</f>
        <v>3552.45</v>
      </c>
      <c r="C24" s="9">
        <f>((C21)+(C22))+(C23)</f>
        <v>2475.9499999999998</v>
      </c>
      <c r="D24" s="9">
        <f>(B24)-(C24)</f>
        <v>1076.5</v>
      </c>
      <c r="E24" s="13">
        <f>IF(C24=0,"",(B24)/(C24))</f>
        <v>1.4347826086956521</v>
      </c>
      <c r="F24" s="17"/>
      <c r="G24" s="9">
        <f t="shared" si="2"/>
        <v>3552.45</v>
      </c>
      <c r="H24" s="9">
        <f t="shared" si="2"/>
        <v>2475.9499999999998</v>
      </c>
      <c r="I24" s="9">
        <f>(G24)-(H24)</f>
        <v>1076.5</v>
      </c>
      <c r="J24" s="13">
        <f t="shared" si="1"/>
        <v>1.4347826086956521</v>
      </c>
    </row>
    <row r="25" spans="1:10" x14ac:dyDescent="0.2">
      <c r="A25" s="2" t="s">
        <v>36</v>
      </c>
      <c r="B25" s="7"/>
      <c r="C25" s="7"/>
      <c r="D25" s="8"/>
      <c r="E25" s="12"/>
      <c r="F25" s="28"/>
      <c r="G25" s="8"/>
      <c r="H25" s="8"/>
      <c r="I25" s="8"/>
      <c r="J25" s="12" t="str">
        <f t="shared" si="1"/>
        <v/>
      </c>
    </row>
    <row r="26" spans="1:10" x14ac:dyDescent="0.2">
      <c r="A26" s="2" t="s">
        <v>34</v>
      </c>
      <c r="B26" s="7"/>
      <c r="C26" s="8"/>
      <c r="D26" s="8"/>
      <c r="E26" s="12"/>
      <c r="F26" s="28"/>
      <c r="G26" s="8"/>
      <c r="H26" s="8"/>
      <c r="I26" s="8"/>
      <c r="J26" s="12" t="str">
        <f t="shared" si="1"/>
        <v/>
      </c>
    </row>
    <row r="27" spans="1:10" x14ac:dyDescent="0.2">
      <c r="A27" s="2" t="s">
        <v>32</v>
      </c>
      <c r="B27" s="7"/>
      <c r="C27" s="8">
        <f>400</f>
        <v>400</v>
      </c>
      <c r="D27" s="8">
        <f>(B27)-(C27)</f>
        <v>-400</v>
      </c>
      <c r="E27" s="12">
        <f>IF(C27=0,"",(B27)/(C27))</f>
        <v>0</v>
      </c>
      <c r="F27" s="28"/>
      <c r="G27" s="8"/>
      <c r="H27" s="8">
        <f>C27</f>
        <v>400</v>
      </c>
      <c r="I27" s="8">
        <f>(G27)-(H27)</f>
        <v>-400</v>
      </c>
      <c r="J27" s="12">
        <f t="shared" si="1"/>
        <v>0</v>
      </c>
    </row>
    <row r="28" spans="1:10" x14ac:dyDescent="0.2">
      <c r="A28" s="2" t="s">
        <v>28</v>
      </c>
      <c r="B28" s="9">
        <f>((B25)+(B26))+(B27)</f>
        <v>0</v>
      </c>
      <c r="C28" s="9">
        <f>((C25)+(C26))+(C27)</f>
        <v>400</v>
      </c>
      <c r="D28" s="9">
        <f>(B28)-(C28)</f>
        <v>-400</v>
      </c>
      <c r="E28" s="13">
        <f>IF(C28=0,"",(B28)/(C28))</f>
        <v>0</v>
      </c>
      <c r="F28" s="17"/>
      <c r="G28" s="9">
        <f>B28</f>
        <v>0</v>
      </c>
      <c r="H28" s="9">
        <f>C28</f>
        <v>400</v>
      </c>
      <c r="I28" s="9">
        <f>(G28)-(H28)</f>
        <v>-400</v>
      </c>
      <c r="J28" s="13">
        <f t="shared" si="1"/>
        <v>0</v>
      </c>
    </row>
    <row r="29" spans="1:10" x14ac:dyDescent="0.2">
      <c r="A29" s="2" t="s">
        <v>24</v>
      </c>
      <c r="B29" s="7"/>
      <c r="C29" s="7"/>
      <c r="D29" s="8"/>
      <c r="E29" s="12"/>
      <c r="F29" s="28"/>
      <c r="G29" s="8"/>
      <c r="H29" s="8"/>
      <c r="I29" s="8"/>
      <c r="J29" s="12" t="str">
        <f t="shared" si="1"/>
        <v/>
      </c>
    </row>
    <row r="30" spans="1:10" x14ac:dyDescent="0.2">
      <c r="A30" s="2" t="s">
        <v>23</v>
      </c>
      <c r="B30" s="7"/>
      <c r="C30" s="8">
        <f>45</f>
        <v>45</v>
      </c>
      <c r="D30" s="8">
        <f t="shared" ref="D30:D40" si="3">(B30)-(C30)</f>
        <v>-45</v>
      </c>
      <c r="E30" s="12">
        <f t="shared" ref="E30:E40" si="4">IF(C30=0,"",(B30)/(C30))</f>
        <v>0</v>
      </c>
      <c r="F30" s="28"/>
      <c r="G30" s="8"/>
      <c r="H30" s="8">
        <f t="shared" ref="H30:H40" si="5">C30</f>
        <v>45</v>
      </c>
      <c r="I30" s="8">
        <f t="shared" ref="I30:I40" si="6">(G30)-(H30)</f>
        <v>-45</v>
      </c>
      <c r="J30" s="12">
        <f t="shared" si="1"/>
        <v>0</v>
      </c>
    </row>
    <row r="31" spans="1:10" x14ac:dyDescent="0.2">
      <c r="A31" s="2" t="s">
        <v>59</v>
      </c>
      <c r="B31" s="7"/>
      <c r="C31" s="8">
        <f>30</f>
        <v>30</v>
      </c>
      <c r="D31" s="8">
        <f t="shared" si="3"/>
        <v>-30</v>
      </c>
      <c r="E31" s="12">
        <f t="shared" si="4"/>
        <v>0</v>
      </c>
      <c r="F31" s="28"/>
      <c r="G31" s="8"/>
      <c r="H31" s="8">
        <f t="shared" si="5"/>
        <v>30</v>
      </c>
      <c r="I31" s="8">
        <f t="shared" si="6"/>
        <v>-30</v>
      </c>
      <c r="J31" s="12">
        <f t="shared" si="1"/>
        <v>0</v>
      </c>
    </row>
    <row r="32" spans="1:10" hidden="1" x14ac:dyDescent="0.2">
      <c r="A32" s="2" t="s">
        <v>22</v>
      </c>
      <c r="B32" s="7"/>
      <c r="C32" s="8">
        <f>0</f>
        <v>0</v>
      </c>
      <c r="D32" s="8">
        <f t="shared" si="3"/>
        <v>0</v>
      </c>
      <c r="E32" s="12" t="str">
        <f t="shared" si="4"/>
        <v/>
      </c>
      <c r="F32" s="28"/>
      <c r="G32" s="8">
        <f t="shared" ref="G32:G40" si="7">B32</f>
        <v>0</v>
      </c>
      <c r="H32" s="8">
        <f t="shared" si="5"/>
        <v>0</v>
      </c>
      <c r="I32" s="8">
        <f t="shared" si="6"/>
        <v>0</v>
      </c>
      <c r="J32" s="12" t="str">
        <f t="shared" si="1"/>
        <v/>
      </c>
    </row>
    <row r="33" spans="1:10" hidden="1" x14ac:dyDescent="0.2">
      <c r="A33" s="2" t="s">
        <v>21</v>
      </c>
      <c r="B33" s="7"/>
      <c r="C33" s="8">
        <f>0</f>
        <v>0</v>
      </c>
      <c r="D33" s="8">
        <f t="shared" si="3"/>
        <v>0</v>
      </c>
      <c r="E33" s="12" t="str">
        <f t="shared" si="4"/>
        <v/>
      </c>
      <c r="F33" s="28"/>
      <c r="G33" s="8">
        <f t="shared" si="7"/>
        <v>0</v>
      </c>
      <c r="H33" s="8">
        <f t="shared" si="5"/>
        <v>0</v>
      </c>
      <c r="I33" s="8">
        <f t="shared" si="6"/>
        <v>0</v>
      </c>
      <c r="J33" s="12" t="str">
        <f t="shared" si="1"/>
        <v/>
      </c>
    </row>
    <row r="34" spans="1:10" hidden="1" x14ac:dyDescent="0.2">
      <c r="A34" s="2" t="s">
        <v>58</v>
      </c>
      <c r="B34" s="7"/>
      <c r="C34" s="8">
        <f>0</f>
        <v>0</v>
      </c>
      <c r="D34" s="8">
        <f t="shared" si="3"/>
        <v>0</v>
      </c>
      <c r="E34" s="12" t="str">
        <f t="shared" si="4"/>
        <v/>
      </c>
      <c r="F34" s="28"/>
      <c r="G34" s="8">
        <f t="shared" si="7"/>
        <v>0</v>
      </c>
      <c r="H34" s="8">
        <f t="shared" si="5"/>
        <v>0</v>
      </c>
      <c r="I34" s="8">
        <f t="shared" si="6"/>
        <v>0</v>
      </c>
      <c r="J34" s="12" t="str">
        <f t="shared" si="1"/>
        <v/>
      </c>
    </row>
    <row r="35" spans="1:10" x14ac:dyDescent="0.2">
      <c r="A35" s="2" t="s">
        <v>20</v>
      </c>
      <c r="B35" s="9">
        <f>(((((B29)+(B30))+(B31))+(B32))+(B33))+(B34)</f>
        <v>0</v>
      </c>
      <c r="C35" s="9">
        <f>(((((C29)+(C30))+(C31))+(C32))+(C33))+(C34)</f>
        <v>75</v>
      </c>
      <c r="D35" s="9">
        <f t="shared" si="3"/>
        <v>-75</v>
      </c>
      <c r="E35" s="13">
        <f t="shared" si="4"/>
        <v>0</v>
      </c>
      <c r="F35" s="17"/>
      <c r="G35" s="9">
        <f t="shared" si="7"/>
        <v>0</v>
      </c>
      <c r="H35" s="9">
        <f t="shared" si="5"/>
        <v>75</v>
      </c>
      <c r="I35" s="9">
        <f t="shared" si="6"/>
        <v>-75</v>
      </c>
      <c r="J35" s="13">
        <f t="shared" si="1"/>
        <v>0</v>
      </c>
    </row>
    <row r="36" spans="1:10" hidden="1" x14ac:dyDescent="0.2">
      <c r="A36" s="2" t="s">
        <v>19</v>
      </c>
      <c r="B36" s="7"/>
      <c r="C36" s="7"/>
      <c r="D36" s="8">
        <f t="shared" si="3"/>
        <v>0</v>
      </c>
      <c r="E36" s="12" t="str">
        <f t="shared" si="4"/>
        <v/>
      </c>
      <c r="F36" s="28"/>
      <c r="G36" s="8">
        <f t="shared" si="7"/>
        <v>0</v>
      </c>
      <c r="H36" s="8">
        <f t="shared" si="5"/>
        <v>0</v>
      </c>
      <c r="I36" s="8">
        <f t="shared" si="6"/>
        <v>0</v>
      </c>
      <c r="J36" s="12" t="str">
        <f t="shared" si="1"/>
        <v/>
      </c>
    </row>
    <row r="37" spans="1:10" hidden="1" x14ac:dyDescent="0.2">
      <c r="A37" s="2" t="s">
        <v>18</v>
      </c>
      <c r="B37" s="7"/>
      <c r="C37" s="7"/>
      <c r="D37" s="8">
        <f t="shared" si="3"/>
        <v>0</v>
      </c>
      <c r="E37" s="12" t="str">
        <f t="shared" si="4"/>
        <v/>
      </c>
      <c r="F37" s="28"/>
      <c r="G37" s="8">
        <f t="shared" si="7"/>
        <v>0</v>
      </c>
      <c r="H37" s="8">
        <f t="shared" si="5"/>
        <v>0</v>
      </c>
      <c r="I37" s="8">
        <f t="shared" si="6"/>
        <v>0</v>
      </c>
      <c r="J37" s="12" t="str">
        <f t="shared" si="1"/>
        <v/>
      </c>
    </row>
    <row r="38" spans="1:10" hidden="1" x14ac:dyDescent="0.2">
      <c r="A38" s="2" t="s">
        <v>57</v>
      </c>
      <c r="B38" s="7"/>
      <c r="C38" s="8">
        <f>0</f>
        <v>0</v>
      </c>
      <c r="D38" s="8">
        <f t="shared" si="3"/>
        <v>0</v>
      </c>
      <c r="E38" s="12" t="str">
        <f t="shared" si="4"/>
        <v/>
      </c>
      <c r="F38" s="28"/>
      <c r="G38" s="8">
        <f t="shared" si="7"/>
        <v>0</v>
      </c>
      <c r="H38" s="8">
        <f t="shared" si="5"/>
        <v>0</v>
      </c>
      <c r="I38" s="8">
        <f t="shared" si="6"/>
        <v>0</v>
      </c>
      <c r="J38" s="12" t="str">
        <f t="shared" si="1"/>
        <v/>
      </c>
    </row>
    <row r="39" spans="1:10" hidden="1" x14ac:dyDescent="0.2">
      <c r="A39" s="2" t="s">
        <v>17</v>
      </c>
      <c r="B39" s="9">
        <f>(B37)+(B38)</f>
        <v>0</v>
      </c>
      <c r="C39" s="9">
        <f>(C37)+(C38)</f>
        <v>0</v>
      </c>
      <c r="D39" s="9">
        <f t="shared" si="3"/>
        <v>0</v>
      </c>
      <c r="E39" s="13" t="str">
        <f t="shared" si="4"/>
        <v/>
      </c>
      <c r="F39" s="17"/>
      <c r="G39" s="9">
        <f t="shared" si="7"/>
        <v>0</v>
      </c>
      <c r="H39" s="9">
        <f t="shared" si="5"/>
        <v>0</v>
      </c>
      <c r="I39" s="9">
        <f t="shared" si="6"/>
        <v>0</v>
      </c>
      <c r="J39" s="13" t="str">
        <f t="shared" si="1"/>
        <v/>
      </c>
    </row>
    <row r="40" spans="1:10" hidden="1" x14ac:dyDescent="0.2">
      <c r="A40" s="2" t="s">
        <v>16</v>
      </c>
      <c r="B40" s="9">
        <f>(B36)+(B39)</f>
        <v>0</v>
      </c>
      <c r="C40" s="9">
        <f>(C36)+(C39)</f>
        <v>0</v>
      </c>
      <c r="D40" s="9">
        <f t="shared" si="3"/>
        <v>0</v>
      </c>
      <c r="E40" s="13" t="str">
        <f t="shared" si="4"/>
        <v/>
      </c>
      <c r="F40" s="17"/>
      <c r="G40" s="9">
        <f t="shared" si="7"/>
        <v>0</v>
      </c>
      <c r="H40" s="9">
        <f t="shared" si="5"/>
        <v>0</v>
      </c>
      <c r="I40" s="9">
        <f t="shared" si="6"/>
        <v>0</v>
      </c>
      <c r="J40" s="13" t="str">
        <f t="shared" si="1"/>
        <v/>
      </c>
    </row>
    <row r="41" spans="1:10" x14ac:dyDescent="0.2">
      <c r="A41" s="2" t="s">
        <v>15</v>
      </c>
      <c r="B41" s="7"/>
      <c r="C41" s="7"/>
      <c r="D41" s="8"/>
      <c r="E41" s="12"/>
      <c r="F41" s="28"/>
      <c r="G41" s="8"/>
      <c r="H41" s="8"/>
      <c r="I41" s="8"/>
      <c r="J41" s="12"/>
    </row>
    <row r="42" spans="1:10" x14ac:dyDescent="0.2">
      <c r="A42" s="2" t="s">
        <v>10</v>
      </c>
      <c r="B42" s="7"/>
      <c r="C42" s="8">
        <f>20</f>
        <v>20</v>
      </c>
      <c r="D42" s="8">
        <f>(B42)-(C42)</f>
        <v>-20</v>
      </c>
      <c r="E42" s="12">
        <f>IF(C42=0,"",(B42)/(C42))</f>
        <v>0</v>
      </c>
      <c r="F42" s="28"/>
      <c r="G42" s="8">
        <f>B42</f>
        <v>0</v>
      </c>
      <c r="H42" s="8">
        <f>C42</f>
        <v>20</v>
      </c>
      <c r="I42" s="8">
        <f>(G42)-(H42)</f>
        <v>-20</v>
      </c>
      <c r="J42" s="12">
        <f>IF(H42=0,"",(G42)/(H42))</f>
        <v>0</v>
      </c>
    </row>
    <row r="43" spans="1:10" x14ac:dyDescent="0.2">
      <c r="A43" s="2" t="s">
        <v>8</v>
      </c>
      <c r="B43" s="9">
        <f>(B41)+(B42)</f>
        <v>0</v>
      </c>
      <c r="C43" s="9">
        <f>(C41)+(C42)</f>
        <v>20</v>
      </c>
      <c r="D43" s="9">
        <f>(B43)-(C43)</f>
        <v>-20</v>
      </c>
      <c r="E43" s="13">
        <f>IF(C43=0,"",(B43)/(C43))</f>
        <v>0</v>
      </c>
      <c r="F43" s="17"/>
      <c r="G43" s="9">
        <f>B43</f>
        <v>0</v>
      </c>
      <c r="H43" s="9">
        <f>C43</f>
        <v>20</v>
      </c>
      <c r="I43" s="9">
        <f>(G43)-(H43)</f>
        <v>-20</v>
      </c>
      <c r="J43" s="13">
        <f>IF(H43=0,"",(G43)/(H43))</f>
        <v>0</v>
      </c>
    </row>
    <row r="44" spans="1:10" x14ac:dyDescent="0.2">
      <c r="A44" s="2"/>
      <c r="B44" s="16"/>
      <c r="C44" s="16"/>
      <c r="D44" s="16"/>
      <c r="E44" s="17"/>
      <c r="F44" s="17"/>
      <c r="G44" s="16"/>
      <c r="H44" s="16"/>
      <c r="I44" s="16"/>
      <c r="J44" s="17"/>
    </row>
    <row r="45" spans="1:10" x14ac:dyDescent="0.2">
      <c r="A45" s="2" t="s">
        <v>7</v>
      </c>
      <c r="B45" s="9">
        <f>((((B24)+(B28))+(B35))+(B40))+(B43)</f>
        <v>3552.45</v>
      </c>
      <c r="C45" s="9">
        <f>((((C24)+(C28))+(C35))+(C40))+(C43)</f>
        <v>2970.95</v>
      </c>
      <c r="D45" s="9">
        <f>(B45)-(C45)</f>
        <v>581.5</v>
      </c>
      <c r="E45" s="13">
        <f>IF(C45=0,"",(B45)/(C45))</f>
        <v>1.1957286389875292</v>
      </c>
      <c r="F45" s="17"/>
      <c r="G45" s="9">
        <f>B45</f>
        <v>3552.45</v>
      </c>
      <c r="H45" s="9">
        <f>C45</f>
        <v>2970.95</v>
      </c>
      <c r="I45" s="9">
        <f>(G45)-(H45)</f>
        <v>581.5</v>
      </c>
      <c r="J45" s="13">
        <f>IF(H45=0,"",(G45)/(H45))</f>
        <v>1.1957286389875292</v>
      </c>
    </row>
    <row r="46" spans="1:10" x14ac:dyDescent="0.2">
      <c r="A46" s="2"/>
      <c r="B46" s="9"/>
      <c r="C46" s="9"/>
      <c r="D46" s="9"/>
      <c r="E46" s="13"/>
      <c r="F46" s="17"/>
      <c r="G46" s="9"/>
      <c r="H46" s="9"/>
      <c r="I46" s="9"/>
      <c r="J46" s="13"/>
    </row>
    <row r="47" spans="1:10" hidden="1" x14ac:dyDescent="0.2">
      <c r="A47" s="2" t="s">
        <v>6</v>
      </c>
      <c r="B47" s="9">
        <f>(B18)-(B45)</f>
        <v>-581.41999999999962</v>
      </c>
      <c r="C47" s="9">
        <f>(C18)-(C45)</f>
        <v>44.050000000000182</v>
      </c>
      <c r="D47" s="9">
        <f>(B47)-(C47)</f>
        <v>-625.4699999999998</v>
      </c>
      <c r="E47" s="13">
        <f>IF(C47=0,"",(B47)/(C47))</f>
        <v>-13.1990919409761</v>
      </c>
      <c r="F47" s="17"/>
      <c r="G47" s="9">
        <f>B47</f>
        <v>-581.41999999999962</v>
      </c>
      <c r="H47" s="9">
        <f>C47</f>
        <v>44.050000000000182</v>
      </c>
      <c r="I47" s="9">
        <f>(G47)-(H47)</f>
        <v>-625.4699999999998</v>
      </c>
      <c r="J47" s="13">
        <f>IF(H47=0,"",(G47)/(H47))</f>
        <v>-13.1990919409761</v>
      </c>
    </row>
    <row r="48" spans="1:10" ht="16" thickBot="1" x14ac:dyDescent="0.25">
      <c r="A48" s="2" t="s">
        <v>1</v>
      </c>
      <c r="B48" s="22">
        <f>(B47)+(0)</f>
        <v>-581.41999999999962</v>
      </c>
      <c r="C48" s="22">
        <f>(C47)+(0)</f>
        <v>44.050000000000182</v>
      </c>
      <c r="D48" s="22">
        <f>(B48)-(C48)</f>
        <v>-625.4699999999998</v>
      </c>
      <c r="E48" s="23">
        <f>IF(C48=0,"",(B48)/(C48))</f>
        <v>-13.1990919409761</v>
      </c>
      <c r="F48" s="17"/>
      <c r="G48" s="22">
        <f>B48</f>
        <v>-581.41999999999962</v>
      </c>
      <c r="H48" s="22">
        <f>C48</f>
        <v>44.050000000000182</v>
      </c>
      <c r="I48" s="22">
        <f>(G48)-(H48)</f>
        <v>-625.4699999999998</v>
      </c>
      <c r="J48" s="23">
        <f>IF(H48=0,"",(G48)/(H48))</f>
        <v>-13.1990919409761</v>
      </c>
    </row>
    <row r="49" spans="1:10" ht="17" thickTop="1" thickBot="1" x14ac:dyDescent="0.25">
      <c r="A49" s="2"/>
      <c r="B49" s="7"/>
      <c r="C49" s="7"/>
      <c r="D49" s="7"/>
      <c r="E49" s="11"/>
      <c r="F49" s="27"/>
      <c r="G49" s="7"/>
      <c r="H49" s="7"/>
      <c r="I49" s="7"/>
      <c r="J49" s="11"/>
    </row>
    <row r="50" spans="1:10" ht="16" thickBot="1" x14ac:dyDescent="0.25">
      <c r="A50" s="30" t="s">
        <v>75</v>
      </c>
      <c r="B50" s="24"/>
      <c r="C50" s="24"/>
      <c r="D50" s="24"/>
      <c r="E50" s="25"/>
      <c r="F50" s="29"/>
      <c r="G50" s="31">
        <f>G7+G48</f>
        <v>15100.08</v>
      </c>
      <c r="H50" s="24"/>
      <c r="I50" s="24"/>
      <c r="J50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AB4E-8F9E-4D6F-8E6B-44B906ECFB59}">
  <sheetPr codeName="Sheet21">
    <pageSetUpPr fitToPage="1"/>
  </sheetPr>
  <dimension ref="A1:J31"/>
  <sheetViews>
    <sheetView workbookViewId="0">
      <selection activeCell="A2" sqref="A2:J2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87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3231.4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 t="str">
        <f t="shared" ref="J10:J15" si="0">IF(H10=0,"",(G10)/(H10))</f>
        <v/>
      </c>
    </row>
    <row r="11" spans="1:10" x14ac:dyDescent="0.2">
      <c r="A11" s="2" t="s">
        <v>53</v>
      </c>
      <c r="B11" s="8">
        <f>1760</f>
        <v>1760</v>
      </c>
      <c r="C11" s="8">
        <f>2083</f>
        <v>2083</v>
      </c>
      <c r="D11" s="8">
        <f>(B11)-(C11)</f>
        <v>-323</v>
      </c>
      <c r="E11" s="12">
        <f>IF(C11=0,"",(B11)/(C11))</f>
        <v>0.84493518963034087</v>
      </c>
      <c r="F11" s="28"/>
      <c r="G11" s="8">
        <f>B11</f>
        <v>1760</v>
      </c>
      <c r="H11" s="8">
        <f>C11</f>
        <v>2083</v>
      </c>
      <c r="I11" s="8">
        <f>(G11)-(H11)</f>
        <v>-323</v>
      </c>
      <c r="J11" s="12">
        <f t="shared" si="0"/>
        <v>0.84493518963034087</v>
      </c>
    </row>
    <row r="12" spans="1:10" x14ac:dyDescent="0.2">
      <c r="A12" s="2" t="s">
        <v>52</v>
      </c>
      <c r="B12" s="9">
        <f>(B10)+(B11)</f>
        <v>1760</v>
      </c>
      <c r="C12" s="9">
        <f>(C10)+(C11)</f>
        <v>2083</v>
      </c>
      <c r="D12" s="9">
        <f>(B12)-(C12)</f>
        <v>-323</v>
      </c>
      <c r="E12" s="13">
        <f>IF(C12=0,"",(B12)/(C12))</f>
        <v>0.84493518963034087</v>
      </c>
      <c r="F12" s="17"/>
      <c r="G12" s="9">
        <f>B12</f>
        <v>1760</v>
      </c>
      <c r="H12" s="9">
        <f>C12</f>
        <v>2083</v>
      </c>
      <c r="I12" s="9">
        <f>(G12)-(H12)</f>
        <v>-323</v>
      </c>
      <c r="J12" s="13">
        <f t="shared" si="0"/>
        <v>0.84493518963034087</v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 t="str">
        <f t="shared" si="0"/>
        <v/>
      </c>
    </row>
    <row r="14" spans="1:10" x14ac:dyDescent="0.2">
      <c r="A14" s="2" t="s">
        <v>50</v>
      </c>
      <c r="B14" s="8">
        <f>-176</f>
        <v>-176</v>
      </c>
      <c r="C14" s="8">
        <f>-208.3</f>
        <v>-208.3</v>
      </c>
      <c r="D14" s="8">
        <f>(B14)-(C14)</f>
        <v>32.300000000000011</v>
      </c>
      <c r="E14" s="12">
        <f>IF(C14=0,"",(B14)/(C14))</f>
        <v>0.84493518963034075</v>
      </c>
      <c r="F14" s="28"/>
      <c r="G14" s="8">
        <f>B14</f>
        <v>-176</v>
      </c>
      <c r="H14" s="8">
        <f>C14</f>
        <v>-208.3</v>
      </c>
      <c r="I14" s="8">
        <f>(G14)-(H14)</f>
        <v>32.300000000000011</v>
      </c>
      <c r="J14" s="12">
        <f t="shared" si="0"/>
        <v>0.84493518963034075</v>
      </c>
    </row>
    <row r="15" spans="1:10" x14ac:dyDescent="0.2">
      <c r="A15" s="2" t="s">
        <v>49</v>
      </c>
      <c r="B15" s="9">
        <f>(B13)+(B14)</f>
        <v>-176</v>
      </c>
      <c r="C15" s="9">
        <f>(C13)+(C14)</f>
        <v>-208.3</v>
      </c>
      <c r="D15" s="9">
        <f>(B15)-(C15)</f>
        <v>32.300000000000011</v>
      </c>
      <c r="E15" s="13">
        <f>IF(C15=0,"",(B15)/(C15))</f>
        <v>0.84493518963034075</v>
      </c>
      <c r="F15" s="17"/>
      <c r="G15" s="9">
        <f>B15</f>
        <v>-176</v>
      </c>
      <c r="H15" s="9">
        <f>C15</f>
        <v>-208.3</v>
      </c>
      <c r="I15" s="9">
        <f>(G15)-(H15)</f>
        <v>32.300000000000011</v>
      </c>
      <c r="J15" s="13">
        <f t="shared" si="0"/>
        <v>0.84493518963034075</v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1584</v>
      </c>
      <c r="C17" s="18">
        <f>(C12)+(C15)</f>
        <v>1874.7</v>
      </c>
      <c r="D17" s="18">
        <f>(B17)-(C17)</f>
        <v>-290.70000000000005</v>
      </c>
      <c r="E17" s="19">
        <f>IF(C17=0,"",(B17)/(C17))</f>
        <v>0.84493518963034087</v>
      </c>
      <c r="F17" s="17"/>
      <c r="G17" s="18">
        <f>B17</f>
        <v>1584</v>
      </c>
      <c r="H17" s="18">
        <f>C17</f>
        <v>1874.7</v>
      </c>
      <c r="I17" s="18">
        <f>(G17)-(H17)</f>
        <v>-290.70000000000005</v>
      </c>
      <c r="J17" s="19">
        <f>IF(H17=0,"",(G17)/(H17))</f>
        <v>0.84493518963034087</v>
      </c>
    </row>
    <row r="18" spans="1:10" hidden="1" x14ac:dyDescent="0.2">
      <c r="A18" s="2" t="s">
        <v>47</v>
      </c>
      <c r="B18" s="9">
        <f>(B17)-(0)</f>
        <v>1584</v>
      </c>
      <c r="C18" s="9">
        <f>(C17)-(0)</f>
        <v>1874.7</v>
      </c>
      <c r="D18" s="9">
        <f>(B18)-(C18)</f>
        <v>-290.70000000000005</v>
      </c>
      <c r="E18" s="13">
        <f>IF(C18=0,"",(B18)/(C18))</f>
        <v>0.84493518963034087</v>
      </c>
      <c r="F18" s="17"/>
      <c r="G18" s="9">
        <f>B18</f>
        <v>1584</v>
      </c>
      <c r="H18" s="9">
        <f>C18</f>
        <v>1874.7</v>
      </c>
      <c r="I18" s="9">
        <f>(G18)-(H18)</f>
        <v>-290.70000000000005</v>
      </c>
      <c r="J18" s="13">
        <f>IF(H18=0,"",(G18)/(H18))</f>
        <v>0.84493518963034087</v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45</v>
      </c>
      <c r="B21" s="7"/>
      <c r="C21" s="7"/>
      <c r="D21" s="8"/>
      <c r="E21" s="12" t="str">
        <f>IF(C21=0,"",(B21)/(C21))</f>
        <v/>
      </c>
      <c r="F21" s="28"/>
      <c r="G21" s="8"/>
      <c r="H21" s="8"/>
      <c r="I21" s="8"/>
      <c r="J21" s="12" t="str">
        <f>IF(H21=0,"",(G21)/(H21))</f>
        <v/>
      </c>
    </row>
    <row r="22" spans="1:10" x14ac:dyDescent="0.2">
      <c r="A22" s="2" t="s">
        <v>44</v>
      </c>
      <c r="B22" s="8">
        <f>1710</f>
        <v>1710</v>
      </c>
      <c r="C22" s="8">
        <f>1710</f>
        <v>1710</v>
      </c>
      <c r="D22" s="8"/>
      <c r="E22" s="12">
        <f>IF(C22=0,"",(B22)/(C22))</f>
        <v>1</v>
      </c>
      <c r="F22" s="28"/>
      <c r="G22" s="8">
        <f t="shared" ref="G22:H24" si="1">B22</f>
        <v>1710</v>
      </c>
      <c r="H22" s="8">
        <f t="shared" si="1"/>
        <v>1710</v>
      </c>
      <c r="I22" s="8"/>
      <c r="J22" s="12">
        <f>IF(H22=0,"",(G22)/(H22))</f>
        <v>1</v>
      </c>
    </row>
    <row r="23" spans="1:10" x14ac:dyDescent="0.2">
      <c r="A23" s="2" t="s">
        <v>41</v>
      </c>
      <c r="B23" s="8">
        <f>130.82</f>
        <v>130.82</v>
      </c>
      <c r="C23" s="8">
        <f>130.82</f>
        <v>130.82</v>
      </c>
      <c r="D23" s="8"/>
      <c r="E23" s="12">
        <f>IF(C23=0,"",(B23)/(C23))</f>
        <v>1</v>
      </c>
      <c r="F23" s="28"/>
      <c r="G23" s="8">
        <f t="shared" si="1"/>
        <v>130.82</v>
      </c>
      <c r="H23" s="8">
        <f t="shared" si="1"/>
        <v>130.82</v>
      </c>
      <c r="I23" s="8"/>
      <c r="J23" s="12">
        <f>IF(H23=0,"",(G23)/(H23))</f>
        <v>1</v>
      </c>
    </row>
    <row r="24" spans="1:10" x14ac:dyDescent="0.2">
      <c r="A24" s="2" t="s">
        <v>40</v>
      </c>
      <c r="B24" s="9">
        <f>((B21)+(B22))+(B23)</f>
        <v>1840.82</v>
      </c>
      <c r="C24" s="9">
        <f>((C21)+(C22))+(C23)</f>
        <v>1840.82</v>
      </c>
      <c r="D24" s="9">
        <f>(B24)-(C24)</f>
        <v>0</v>
      </c>
      <c r="E24" s="13">
        <f>IF(C24=0,"",(B24)/(C24))</f>
        <v>1</v>
      </c>
      <c r="F24" s="17"/>
      <c r="G24" s="9">
        <f t="shared" si="1"/>
        <v>1840.82</v>
      </c>
      <c r="H24" s="9">
        <f t="shared" si="1"/>
        <v>1840.82</v>
      </c>
      <c r="I24" s="9">
        <f>(G24)-(H24)</f>
        <v>0</v>
      </c>
      <c r="J24" s="13">
        <f>IF(H24=0,"",(G24)/(H24))</f>
        <v>1</v>
      </c>
    </row>
    <row r="25" spans="1:10" x14ac:dyDescent="0.2">
      <c r="A25" s="2"/>
      <c r="B25" s="16"/>
      <c r="C25" s="16"/>
      <c r="D25" s="16"/>
      <c r="E25" s="17"/>
      <c r="F25" s="17"/>
      <c r="G25" s="16"/>
      <c r="H25" s="16"/>
      <c r="I25" s="16"/>
      <c r="J25" s="17"/>
    </row>
    <row r="26" spans="1:10" x14ac:dyDescent="0.2">
      <c r="A26" s="2" t="s">
        <v>7</v>
      </c>
      <c r="B26" s="9">
        <f>B24</f>
        <v>1840.82</v>
      </c>
      <c r="C26" s="9">
        <f>C24</f>
        <v>1840.82</v>
      </c>
      <c r="D26" s="9">
        <f>(B26)-(C26)</f>
        <v>0</v>
      </c>
      <c r="E26" s="13">
        <f>IF(C26=0,"",(B26)/(C26))</f>
        <v>1</v>
      </c>
      <c r="F26" s="17"/>
      <c r="G26" s="9">
        <f>B26</f>
        <v>1840.82</v>
      </c>
      <c r="H26" s="9">
        <f>C26</f>
        <v>1840.82</v>
      </c>
      <c r="I26" s="9">
        <f>(G26)-(H26)</f>
        <v>0</v>
      </c>
      <c r="J26" s="13">
        <f>IF(H26=0,"",(G26)/(H26))</f>
        <v>1</v>
      </c>
    </row>
    <row r="27" spans="1:10" x14ac:dyDescent="0.2">
      <c r="A27" s="2"/>
      <c r="B27" s="9"/>
      <c r="C27" s="9"/>
      <c r="D27" s="9"/>
      <c r="E27" s="13"/>
      <c r="F27" s="17"/>
      <c r="G27" s="9"/>
      <c r="H27" s="9"/>
      <c r="I27" s="9"/>
      <c r="J27" s="13"/>
    </row>
    <row r="28" spans="1:10" hidden="1" x14ac:dyDescent="0.2">
      <c r="A28" s="2" t="s">
        <v>6</v>
      </c>
      <c r="B28" s="9">
        <f>(B18)-(B26)</f>
        <v>-256.81999999999994</v>
      </c>
      <c r="C28" s="9">
        <f>(C18)-(C26)</f>
        <v>33.880000000000109</v>
      </c>
      <c r="D28" s="9">
        <f>(B28)-(C28)</f>
        <v>-290.70000000000005</v>
      </c>
      <c r="E28" s="13">
        <f>IF(C28=0,"",(B28)/(C28))</f>
        <v>-7.5802833530105991</v>
      </c>
      <c r="F28" s="17"/>
      <c r="G28" s="9">
        <f>B28</f>
        <v>-256.81999999999994</v>
      </c>
      <c r="H28" s="9">
        <f>C28</f>
        <v>33.880000000000109</v>
      </c>
      <c r="I28" s="9">
        <f>(G28)-(H28)</f>
        <v>-290.70000000000005</v>
      </c>
      <c r="J28" s="13">
        <f>IF(H28=0,"",(G28)/(H28))</f>
        <v>-7.5802833530105991</v>
      </c>
    </row>
    <row r="29" spans="1:10" ht="16" thickBot="1" x14ac:dyDescent="0.25">
      <c r="A29" s="2" t="s">
        <v>1</v>
      </c>
      <c r="B29" s="22">
        <f>(B28)+(0)</f>
        <v>-256.81999999999994</v>
      </c>
      <c r="C29" s="22">
        <f>(C28)+(0)</f>
        <v>33.880000000000109</v>
      </c>
      <c r="D29" s="22">
        <f>(B29)-(C29)</f>
        <v>-290.70000000000005</v>
      </c>
      <c r="E29" s="23">
        <f>IF(C29=0,"",(B29)/(C29))</f>
        <v>-7.5802833530105991</v>
      </c>
      <c r="F29" s="17"/>
      <c r="G29" s="22">
        <f>B29</f>
        <v>-256.81999999999994</v>
      </c>
      <c r="H29" s="22">
        <f>C29</f>
        <v>33.880000000000109</v>
      </c>
      <c r="I29" s="22">
        <f>(G29)-(H29)</f>
        <v>-290.70000000000005</v>
      </c>
      <c r="J29" s="23">
        <f>IF(H29=0,"",(G29)/(H29))</f>
        <v>-7.5802833530105991</v>
      </c>
    </row>
    <row r="30" spans="1:10" ht="17" thickTop="1" thickBot="1" x14ac:dyDescent="0.25">
      <c r="A30" s="2"/>
      <c r="B30" s="7"/>
      <c r="C30" s="7"/>
      <c r="D30" s="7"/>
      <c r="E30" s="11"/>
      <c r="F30" s="27"/>
      <c r="G30" s="7"/>
      <c r="H30" s="7"/>
      <c r="I30" s="7"/>
      <c r="J30" s="11"/>
    </row>
    <row r="31" spans="1:10" ht="16" thickBot="1" x14ac:dyDescent="0.25">
      <c r="A31" s="30" t="s">
        <v>75</v>
      </c>
      <c r="B31" s="24"/>
      <c r="C31" s="24"/>
      <c r="D31" s="24"/>
      <c r="E31" s="25"/>
      <c r="F31" s="29"/>
      <c r="G31" s="31">
        <f>G7+G29</f>
        <v>2974.58</v>
      </c>
      <c r="H31" s="24"/>
      <c r="I31" s="24"/>
      <c r="J31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E772-42F6-43C6-A4F3-93613D66BB93}">
  <sheetPr codeName="Sheet22">
    <pageSetUpPr fitToPage="1"/>
  </sheetPr>
  <dimension ref="A1:J50"/>
  <sheetViews>
    <sheetView workbookViewId="0">
      <selection activeCell="Q41" sqref="Q41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88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-5286.38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/>
    </row>
    <row r="11" spans="1:10" x14ac:dyDescent="0.2">
      <c r="A11" s="2" t="s">
        <v>53</v>
      </c>
      <c r="B11" s="8">
        <f>3164</f>
        <v>3164</v>
      </c>
      <c r="C11" s="8">
        <f>3100</f>
        <v>3100</v>
      </c>
      <c r="D11" s="8">
        <f>(B11)-(C11)</f>
        <v>64</v>
      </c>
      <c r="E11" s="12">
        <f>IF(C11=0,"",(B11)/(C11))</f>
        <v>1.0206451612903227</v>
      </c>
      <c r="F11" s="28"/>
      <c r="G11" s="8">
        <f>B11</f>
        <v>3164</v>
      </c>
      <c r="H11" s="8">
        <f>C11</f>
        <v>3100</v>
      </c>
      <c r="I11" s="8">
        <f>(G11)-(H11)</f>
        <v>64</v>
      </c>
      <c r="J11" s="12">
        <f>IF(H11=0,"",(G11)/(H11))</f>
        <v>1.0206451612903227</v>
      </c>
    </row>
    <row r="12" spans="1:10" x14ac:dyDescent="0.2">
      <c r="A12" s="2" t="s">
        <v>52</v>
      </c>
      <c r="B12" s="9">
        <f>(B10)+(B11)</f>
        <v>3164</v>
      </c>
      <c r="C12" s="9">
        <f>(C10)+(C11)</f>
        <v>3100</v>
      </c>
      <c r="D12" s="9">
        <f>(B12)-(C12)</f>
        <v>64</v>
      </c>
      <c r="E12" s="13">
        <f>IF(C12=0,"",(B12)/(C12))</f>
        <v>1.0206451612903227</v>
      </c>
      <c r="F12" s="17"/>
      <c r="G12" s="9">
        <f>B12</f>
        <v>3164</v>
      </c>
      <c r="H12" s="9">
        <f>C12</f>
        <v>3100</v>
      </c>
      <c r="I12" s="9">
        <f>(G12)-(H12)</f>
        <v>64</v>
      </c>
      <c r="J12" s="13">
        <f>IF(H12=0,"",(G12)/(H12))</f>
        <v>1.0206451612903227</v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 t="str">
        <f>IF(H13=0,"",(G13)/(H13))</f>
        <v/>
      </c>
    </row>
    <row r="14" spans="1:10" x14ac:dyDescent="0.2">
      <c r="A14" s="2" t="s">
        <v>50</v>
      </c>
      <c r="B14" s="8">
        <f>-316.4</f>
        <v>-316.39999999999998</v>
      </c>
      <c r="C14" s="8">
        <f>-310</f>
        <v>-310</v>
      </c>
      <c r="D14" s="8">
        <f>(B14)-(C14)</f>
        <v>-6.3999999999999773</v>
      </c>
      <c r="E14" s="12">
        <f>IF(C14=0,"",(B14)/(C14))</f>
        <v>1.0206451612903225</v>
      </c>
      <c r="F14" s="28"/>
      <c r="G14" s="8">
        <f>B14</f>
        <v>-316.39999999999998</v>
      </c>
      <c r="H14" s="8">
        <f>C14</f>
        <v>-310</v>
      </c>
      <c r="I14" s="8">
        <f>(G14)-(H14)</f>
        <v>-6.3999999999999773</v>
      </c>
      <c r="J14" s="12">
        <f>IF(H14=0,"",(G14)/(H14))</f>
        <v>1.0206451612903225</v>
      </c>
    </row>
    <row r="15" spans="1:10" x14ac:dyDescent="0.2">
      <c r="A15" s="2" t="s">
        <v>49</v>
      </c>
      <c r="B15" s="9">
        <f>(B13)+(B14)</f>
        <v>-316.39999999999998</v>
      </c>
      <c r="C15" s="9">
        <f>(C13)+(C14)</f>
        <v>-310</v>
      </c>
      <c r="D15" s="9">
        <f>(B15)-(C15)</f>
        <v>-6.3999999999999773</v>
      </c>
      <c r="E15" s="13">
        <f>IF(C15=0,"",(B15)/(C15))</f>
        <v>1.0206451612903225</v>
      </c>
      <c r="F15" s="17"/>
      <c r="G15" s="9">
        <f>B15</f>
        <v>-316.39999999999998</v>
      </c>
      <c r="H15" s="9">
        <f>C15</f>
        <v>-310</v>
      </c>
      <c r="I15" s="9">
        <f>(G15)-(H15)</f>
        <v>-6.3999999999999773</v>
      </c>
      <c r="J15" s="13">
        <f>IF(H15=0,"",(G15)/(H15))</f>
        <v>1.0206451612903225</v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2847.6</v>
      </c>
      <c r="C17" s="18">
        <f>(C12)+(C15)</f>
        <v>2790</v>
      </c>
      <c r="D17" s="18">
        <f>(B17)-(C17)</f>
        <v>57.599999999999909</v>
      </c>
      <c r="E17" s="19">
        <f>IF(C17=0,"",(B17)/(C17))</f>
        <v>1.0206451612903225</v>
      </c>
      <c r="F17" s="17"/>
      <c r="G17" s="18">
        <f>B17</f>
        <v>2847.6</v>
      </c>
      <c r="H17" s="18">
        <f>C17</f>
        <v>2790</v>
      </c>
      <c r="I17" s="18">
        <f>(G17)-(H17)</f>
        <v>57.599999999999909</v>
      </c>
      <c r="J17" s="19">
        <f>IF(H17=0,"",(G17)/(H17))</f>
        <v>1.0206451612903225</v>
      </c>
    </row>
    <row r="18" spans="1:10" hidden="1" x14ac:dyDescent="0.2">
      <c r="A18" s="2" t="s">
        <v>47</v>
      </c>
      <c r="B18" s="9">
        <f>(B17)-(0)</f>
        <v>2847.6</v>
      </c>
      <c r="C18" s="9">
        <f>(C17)-(0)</f>
        <v>2790</v>
      </c>
      <c r="D18" s="9">
        <f>(B18)-(C18)</f>
        <v>57.599999999999909</v>
      </c>
      <c r="E18" s="13">
        <f>IF(C18=0,"",(B18)/(C18))</f>
        <v>1.0206451612903225</v>
      </c>
      <c r="F18" s="17"/>
      <c r="G18" s="9">
        <f>B18</f>
        <v>2847.6</v>
      </c>
      <c r="H18" s="9">
        <f>C18</f>
        <v>2790</v>
      </c>
      <c r="I18" s="9">
        <f>(G18)-(H18)</f>
        <v>57.599999999999909</v>
      </c>
      <c r="J18" s="13">
        <f>IF(H18=0,"",(G18)/(H18))</f>
        <v>1.0206451612903225</v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45</v>
      </c>
      <c r="B21" s="7"/>
      <c r="C21" s="7"/>
      <c r="D21" s="8"/>
      <c r="E21" s="12"/>
      <c r="F21" s="28"/>
      <c r="G21" s="8"/>
      <c r="H21" s="8"/>
      <c r="I21" s="8"/>
      <c r="J21" s="12" t="str">
        <f t="shared" ref="J21:J33" si="0">IF(H21=0,"",(G21)/(H21))</f>
        <v/>
      </c>
    </row>
    <row r="22" spans="1:10" x14ac:dyDescent="0.2">
      <c r="A22" s="2" t="s">
        <v>43</v>
      </c>
      <c r="B22" s="8">
        <f>2600</f>
        <v>2600</v>
      </c>
      <c r="C22" s="8">
        <f>2600</f>
        <v>2600</v>
      </c>
      <c r="D22" s="8"/>
      <c r="E22" s="12">
        <f>IF(C22=0,"",(B22)/(C22))</f>
        <v>1</v>
      </c>
      <c r="F22" s="28"/>
      <c r="G22" s="8">
        <f>B22</f>
        <v>2600</v>
      </c>
      <c r="H22" s="8">
        <f>C22</f>
        <v>2600</v>
      </c>
      <c r="I22" s="8"/>
      <c r="J22" s="12">
        <f t="shared" si="0"/>
        <v>1</v>
      </c>
    </row>
    <row r="23" spans="1:10" x14ac:dyDescent="0.2">
      <c r="A23" s="2" t="s">
        <v>42</v>
      </c>
      <c r="B23" s="8">
        <f>30.24</f>
        <v>30.24</v>
      </c>
      <c r="C23" s="8"/>
      <c r="D23" s="8">
        <f>(B23)-(C23)</f>
        <v>30.24</v>
      </c>
      <c r="E23" s="12" t="str">
        <f>IF(C23=0,"",(B23)/(C23))</f>
        <v/>
      </c>
      <c r="F23" s="28"/>
      <c r="G23" s="8">
        <f>B23</f>
        <v>30.24</v>
      </c>
      <c r="H23" s="8"/>
      <c r="I23" s="8">
        <f>(G23)-(H23)</f>
        <v>30.24</v>
      </c>
      <c r="J23" s="12" t="str">
        <f t="shared" si="0"/>
        <v/>
      </c>
    </row>
    <row r="24" spans="1:10" x14ac:dyDescent="0.2">
      <c r="A24" s="2" t="s">
        <v>40</v>
      </c>
      <c r="B24" s="9">
        <f>((B21)+(B22))+(B23)</f>
        <v>2630.24</v>
      </c>
      <c r="C24" s="9">
        <f>((C21)+(C22))+(C23)</f>
        <v>2600</v>
      </c>
      <c r="D24" s="9">
        <f>(B24)-(C24)</f>
        <v>30.239999999999782</v>
      </c>
      <c r="E24" s="13">
        <f>IF(C24=0,"",(B24)/(C24))</f>
        <v>1.0116307692307691</v>
      </c>
      <c r="F24" s="17"/>
      <c r="G24" s="9">
        <f>B24</f>
        <v>2630.24</v>
      </c>
      <c r="H24" s="9">
        <f>C24</f>
        <v>2600</v>
      </c>
      <c r="I24" s="9">
        <f>(G24)-(H24)</f>
        <v>30.239999999999782</v>
      </c>
      <c r="J24" s="13">
        <f t="shared" si="0"/>
        <v>1.0116307692307691</v>
      </c>
    </row>
    <row r="25" spans="1:10" x14ac:dyDescent="0.2">
      <c r="A25" s="2" t="s">
        <v>24</v>
      </c>
      <c r="B25" s="7"/>
      <c r="C25" s="7"/>
      <c r="D25" s="8"/>
      <c r="E25" s="12"/>
      <c r="F25" s="28"/>
      <c r="G25" s="8"/>
      <c r="H25" s="8"/>
      <c r="I25" s="8"/>
      <c r="J25" s="12" t="str">
        <f t="shared" si="0"/>
        <v/>
      </c>
    </row>
    <row r="26" spans="1:10" x14ac:dyDescent="0.2">
      <c r="A26" s="2" t="s">
        <v>59</v>
      </c>
      <c r="B26" s="7"/>
      <c r="C26" s="8"/>
      <c r="D26" s="8"/>
      <c r="E26" s="12"/>
      <c r="F26" s="28"/>
      <c r="G26" s="8"/>
      <c r="H26" s="8"/>
      <c r="I26" s="8"/>
      <c r="J26" s="12" t="str">
        <f t="shared" si="0"/>
        <v/>
      </c>
    </row>
    <row r="27" spans="1:10" x14ac:dyDescent="0.2">
      <c r="A27" s="2" t="s">
        <v>58</v>
      </c>
      <c r="B27" s="7"/>
      <c r="C27" s="8">
        <f>50</f>
        <v>50</v>
      </c>
      <c r="D27" s="8">
        <f t="shared" ref="D27:D33" si="1">(B27)-(C27)</f>
        <v>-50</v>
      </c>
      <c r="E27" s="12">
        <f t="shared" ref="E27:E33" si="2">IF(C27=0,"",(B27)/(C27))</f>
        <v>0</v>
      </c>
      <c r="F27" s="28"/>
      <c r="G27" s="8"/>
      <c r="H27" s="8">
        <f t="shared" ref="H27:H33" si="3">C27</f>
        <v>50</v>
      </c>
      <c r="I27" s="8">
        <f t="shared" ref="I27:I33" si="4">(G27)-(H27)</f>
        <v>-50</v>
      </c>
      <c r="J27" s="12">
        <f t="shared" si="0"/>
        <v>0</v>
      </c>
    </row>
    <row r="28" spans="1:10" x14ac:dyDescent="0.2">
      <c r="A28" s="2" t="s">
        <v>20</v>
      </c>
      <c r="B28" s="9">
        <f>((B25)+(B26))+(B27)</f>
        <v>0</v>
      </c>
      <c r="C28" s="9">
        <f>((C25)+(C26))+(C27)</f>
        <v>50</v>
      </c>
      <c r="D28" s="9">
        <f t="shared" si="1"/>
        <v>-50</v>
      </c>
      <c r="E28" s="13">
        <f t="shared" si="2"/>
        <v>0</v>
      </c>
      <c r="F28" s="17"/>
      <c r="G28" s="9">
        <f t="shared" ref="G28:G33" si="5">B28</f>
        <v>0</v>
      </c>
      <c r="H28" s="9">
        <f t="shared" si="3"/>
        <v>50</v>
      </c>
      <c r="I28" s="9">
        <f t="shared" si="4"/>
        <v>-50</v>
      </c>
      <c r="J28" s="13">
        <f t="shared" si="0"/>
        <v>0</v>
      </c>
    </row>
    <row r="29" spans="1:10" hidden="1" x14ac:dyDescent="0.2">
      <c r="A29" s="2" t="s">
        <v>19</v>
      </c>
      <c r="B29" s="7"/>
      <c r="C29" s="7"/>
      <c r="D29" s="8">
        <f t="shared" si="1"/>
        <v>0</v>
      </c>
      <c r="E29" s="12" t="str">
        <f t="shared" si="2"/>
        <v/>
      </c>
      <c r="F29" s="28"/>
      <c r="G29" s="8">
        <f t="shared" si="5"/>
        <v>0</v>
      </c>
      <c r="H29" s="8">
        <f t="shared" si="3"/>
        <v>0</v>
      </c>
      <c r="I29" s="8">
        <f t="shared" si="4"/>
        <v>0</v>
      </c>
      <c r="J29" s="12" t="str">
        <f t="shared" si="0"/>
        <v/>
      </c>
    </row>
    <row r="30" spans="1:10" hidden="1" x14ac:dyDescent="0.2">
      <c r="A30" s="2" t="s">
        <v>18</v>
      </c>
      <c r="B30" s="7"/>
      <c r="C30" s="7"/>
      <c r="D30" s="8">
        <f t="shared" si="1"/>
        <v>0</v>
      </c>
      <c r="E30" s="12" t="str">
        <f t="shared" si="2"/>
        <v/>
      </c>
      <c r="F30" s="28"/>
      <c r="G30" s="8">
        <f t="shared" si="5"/>
        <v>0</v>
      </c>
      <c r="H30" s="8">
        <f t="shared" si="3"/>
        <v>0</v>
      </c>
      <c r="I30" s="8">
        <f t="shared" si="4"/>
        <v>0</v>
      </c>
      <c r="J30" s="12" t="str">
        <f t="shared" si="0"/>
        <v/>
      </c>
    </row>
    <row r="31" spans="1:10" hidden="1" x14ac:dyDescent="0.2">
      <c r="A31" s="2" t="s">
        <v>57</v>
      </c>
      <c r="B31" s="7"/>
      <c r="C31" s="8">
        <f>0</f>
        <v>0</v>
      </c>
      <c r="D31" s="8">
        <f t="shared" si="1"/>
        <v>0</v>
      </c>
      <c r="E31" s="12" t="str">
        <f t="shared" si="2"/>
        <v/>
      </c>
      <c r="F31" s="28"/>
      <c r="G31" s="8">
        <f t="shared" si="5"/>
        <v>0</v>
      </c>
      <c r="H31" s="8">
        <f t="shared" si="3"/>
        <v>0</v>
      </c>
      <c r="I31" s="8">
        <f t="shared" si="4"/>
        <v>0</v>
      </c>
      <c r="J31" s="12" t="str">
        <f t="shared" si="0"/>
        <v/>
      </c>
    </row>
    <row r="32" spans="1:10" hidden="1" x14ac:dyDescent="0.2">
      <c r="A32" s="2" t="s">
        <v>17</v>
      </c>
      <c r="B32" s="9">
        <f>(B30)+(B31)</f>
        <v>0</v>
      </c>
      <c r="C32" s="9">
        <f>(C30)+(C31)</f>
        <v>0</v>
      </c>
      <c r="D32" s="9">
        <f t="shared" si="1"/>
        <v>0</v>
      </c>
      <c r="E32" s="13" t="str">
        <f t="shared" si="2"/>
        <v/>
      </c>
      <c r="F32" s="17"/>
      <c r="G32" s="9">
        <f t="shared" si="5"/>
        <v>0</v>
      </c>
      <c r="H32" s="9">
        <f t="shared" si="3"/>
        <v>0</v>
      </c>
      <c r="I32" s="9">
        <f t="shared" si="4"/>
        <v>0</v>
      </c>
      <c r="J32" s="13" t="str">
        <f t="shared" si="0"/>
        <v/>
      </c>
    </row>
    <row r="33" spans="1:10" hidden="1" x14ac:dyDescent="0.2">
      <c r="A33" s="2" t="s">
        <v>16</v>
      </c>
      <c r="B33" s="9">
        <f>(B29)+(B32)</f>
        <v>0</v>
      </c>
      <c r="C33" s="9">
        <f>(C29)+(C32)</f>
        <v>0</v>
      </c>
      <c r="D33" s="9">
        <f t="shared" si="1"/>
        <v>0</v>
      </c>
      <c r="E33" s="13" t="str">
        <f t="shared" si="2"/>
        <v/>
      </c>
      <c r="F33" s="17"/>
      <c r="G33" s="9">
        <f t="shared" si="5"/>
        <v>0</v>
      </c>
      <c r="H33" s="9">
        <f t="shared" si="3"/>
        <v>0</v>
      </c>
      <c r="I33" s="9">
        <f t="shared" si="4"/>
        <v>0</v>
      </c>
      <c r="J33" s="13" t="str">
        <f t="shared" si="0"/>
        <v/>
      </c>
    </row>
    <row r="34" spans="1:10" x14ac:dyDescent="0.2">
      <c r="A34" s="2" t="s">
        <v>15</v>
      </c>
      <c r="B34" s="7"/>
      <c r="C34" s="7"/>
      <c r="D34" s="8"/>
      <c r="E34" s="12"/>
      <c r="F34" s="28"/>
      <c r="G34" s="8"/>
      <c r="H34" s="8"/>
      <c r="I34" s="8"/>
      <c r="J34" s="12"/>
    </row>
    <row r="35" spans="1:10" x14ac:dyDescent="0.2">
      <c r="A35" s="2" t="s">
        <v>13</v>
      </c>
      <c r="B35" s="8">
        <f>59</f>
        <v>59</v>
      </c>
      <c r="C35" s="7"/>
      <c r="D35" s="8">
        <f>(B35)-(C35)</f>
        <v>59</v>
      </c>
      <c r="E35" s="12" t="str">
        <f>IF(C35=0,"",(B35)/(C35))</f>
        <v/>
      </c>
      <c r="F35" s="28"/>
      <c r="G35" s="8">
        <f t="shared" ref="G35:H37" si="6">B35</f>
        <v>59</v>
      </c>
      <c r="H35" s="8">
        <f t="shared" si="6"/>
        <v>0</v>
      </c>
      <c r="I35" s="8">
        <f>(G35)-(H35)</f>
        <v>59</v>
      </c>
      <c r="J35" s="12" t="str">
        <f>IF(H35=0,"",(G35)/(H35))</f>
        <v/>
      </c>
    </row>
    <row r="36" spans="1:10" hidden="1" x14ac:dyDescent="0.2">
      <c r="A36" s="2" t="s">
        <v>9</v>
      </c>
      <c r="B36" s="7"/>
      <c r="C36" s="8">
        <f>0</f>
        <v>0</v>
      </c>
      <c r="D36" s="8">
        <f>(B36)-(C36)</f>
        <v>0</v>
      </c>
      <c r="E36" s="12" t="str">
        <f>IF(C36=0,"",(B36)/(C36))</f>
        <v/>
      </c>
      <c r="F36" s="28"/>
      <c r="G36" s="8">
        <f t="shared" si="6"/>
        <v>0</v>
      </c>
      <c r="H36" s="8">
        <f t="shared" si="6"/>
        <v>0</v>
      </c>
      <c r="I36" s="8">
        <f>(G36)-(H36)</f>
        <v>0</v>
      </c>
      <c r="J36" s="12" t="str">
        <f>IF(H36=0,"",(G36)/(H36))</f>
        <v/>
      </c>
    </row>
    <row r="37" spans="1:10" x14ac:dyDescent="0.2">
      <c r="A37" s="2" t="s">
        <v>8</v>
      </c>
      <c r="B37" s="9">
        <f>((B34)+(B35))+(B36)</f>
        <v>59</v>
      </c>
      <c r="C37" s="9">
        <f>((C34)+(C35))+(C36)</f>
        <v>0</v>
      </c>
      <c r="D37" s="9">
        <f>(B37)-(C37)</f>
        <v>59</v>
      </c>
      <c r="E37" s="13" t="str">
        <f>IF(C37=0,"",(B37)/(C37))</f>
        <v/>
      </c>
      <c r="F37" s="17"/>
      <c r="G37" s="9">
        <f t="shared" si="6"/>
        <v>59</v>
      </c>
      <c r="H37" s="9">
        <f t="shared" si="6"/>
        <v>0</v>
      </c>
      <c r="I37" s="9">
        <f>(G37)-(H37)</f>
        <v>59</v>
      </c>
      <c r="J37" s="13" t="str">
        <f>IF(H37=0,"",(G37)/(H37))</f>
        <v/>
      </c>
    </row>
    <row r="38" spans="1:10" x14ac:dyDescent="0.2">
      <c r="A38" s="2"/>
      <c r="B38" s="20"/>
      <c r="C38" s="20"/>
      <c r="D38" s="20"/>
      <c r="E38" s="21"/>
      <c r="F38" s="17"/>
      <c r="G38" s="20"/>
      <c r="H38" s="20"/>
      <c r="I38" s="20"/>
      <c r="J38" s="21"/>
    </row>
    <row r="39" spans="1:10" x14ac:dyDescent="0.2">
      <c r="A39" s="2" t="s">
        <v>7</v>
      </c>
      <c r="B39" s="9">
        <f>(((B24)+(B28))+(B33))+(B37)</f>
        <v>2689.24</v>
      </c>
      <c r="C39" s="9">
        <f>(((C24)+(C28))+(C33))+(C37)</f>
        <v>2650</v>
      </c>
      <c r="D39" s="9">
        <f>(B39)-(C39)</f>
        <v>39.239999999999782</v>
      </c>
      <c r="E39" s="13">
        <f>IF(C39=0,"",(B39)/(C39))</f>
        <v>1.0148075471698113</v>
      </c>
      <c r="F39" s="17"/>
      <c r="G39" s="9">
        <f>B39</f>
        <v>2689.24</v>
      </c>
      <c r="H39" s="9">
        <f>C39</f>
        <v>2650</v>
      </c>
      <c r="I39" s="9">
        <f>(G39)-(H39)</f>
        <v>39.239999999999782</v>
      </c>
      <c r="J39" s="13">
        <f>IF(H39=0,"",(G39)/(H39))</f>
        <v>1.0148075471698113</v>
      </c>
    </row>
    <row r="40" spans="1:10" x14ac:dyDescent="0.2">
      <c r="A40" s="2"/>
      <c r="B40" s="9"/>
      <c r="C40" s="9"/>
      <c r="D40" s="9"/>
      <c r="E40" s="13"/>
      <c r="F40" s="17"/>
      <c r="G40" s="9"/>
      <c r="H40" s="9"/>
      <c r="I40" s="9"/>
      <c r="J40" s="13"/>
    </row>
    <row r="41" spans="1:10" x14ac:dyDescent="0.2">
      <c r="A41" s="2" t="s">
        <v>6</v>
      </c>
      <c r="B41" s="9">
        <f>(B18)-(B39)</f>
        <v>158.36000000000013</v>
      </c>
      <c r="C41" s="9">
        <f>(C18)-(C39)</f>
        <v>140</v>
      </c>
      <c r="D41" s="9">
        <f>(B41)-(C41)</f>
        <v>18.360000000000127</v>
      </c>
      <c r="E41" s="13">
        <f>IF(C41=0,"",(B41)/(C41))</f>
        <v>1.1311428571428581</v>
      </c>
      <c r="F41" s="17"/>
      <c r="G41" s="9">
        <f>B41</f>
        <v>158.36000000000013</v>
      </c>
      <c r="H41" s="9">
        <f>C41</f>
        <v>140</v>
      </c>
      <c r="I41" s="9">
        <f>(G41)-(H41)</f>
        <v>18.360000000000127</v>
      </c>
      <c r="J41" s="13">
        <f>IF(H41=0,"",(G41)/(H41))</f>
        <v>1.1311428571428581</v>
      </c>
    </row>
    <row r="42" spans="1:10" x14ac:dyDescent="0.2">
      <c r="A42" s="2"/>
      <c r="B42" s="16"/>
      <c r="C42" s="16"/>
      <c r="D42" s="16"/>
      <c r="E42" s="17"/>
      <c r="F42" s="17"/>
      <c r="G42" s="16"/>
      <c r="H42" s="16"/>
      <c r="I42" s="16"/>
      <c r="J42" s="17"/>
    </row>
    <row r="43" spans="1:10" x14ac:dyDescent="0.2">
      <c r="A43" s="2" t="s">
        <v>5</v>
      </c>
      <c r="B43" s="7"/>
      <c r="C43" s="7"/>
      <c r="D43" s="7"/>
      <c r="E43" s="11"/>
      <c r="F43" s="27"/>
      <c r="G43" s="7"/>
      <c r="H43" s="7"/>
      <c r="I43" s="7"/>
      <c r="J43" s="11"/>
    </row>
    <row r="44" spans="1:10" x14ac:dyDescent="0.2">
      <c r="A44" s="2" t="s">
        <v>4</v>
      </c>
      <c r="B44" s="8">
        <f>5750.85</f>
        <v>5750.85</v>
      </c>
      <c r="C44" s="7"/>
      <c r="D44" s="8">
        <f>(B44)-(C44)</f>
        <v>5750.85</v>
      </c>
      <c r="E44" s="12" t="str">
        <f>IF(C44=0,"",(B44)/(C44))</f>
        <v/>
      </c>
      <c r="F44" s="28"/>
      <c r="G44" s="8">
        <f t="shared" ref="G44:H46" si="7">B44</f>
        <v>5750.85</v>
      </c>
      <c r="H44" s="8">
        <f t="shared" si="7"/>
        <v>0</v>
      </c>
      <c r="I44" s="8">
        <f>(G44)-(H44)</f>
        <v>5750.85</v>
      </c>
      <c r="J44" s="12" t="str">
        <f>IF(H44=0,"",(G44)/(H44))</f>
        <v/>
      </c>
    </row>
    <row r="45" spans="1:10" hidden="1" x14ac:dyDescent="0.2">
      <c r="A45" s="2" t="s">
        <v>3</v>
      </c>
      <c r="B45" s="9">
        <f>B44</f>
        <v>5750.85</v>
      </c>
      <c r="C45" s="9">
        <f>C44</f>
        <v>0</v>
      </c>
      <c r="D45" s="9">
        <f>(B45)-(C45)</f>
        <v>5750.85</v>
      </c>
      <c r="E45" s="13" t="str">
        <f>IF(C45=0,"",(B45)/(C45))</f>
        <v/>
      </c>
      <c r="F45" s="17"/>
      <c r="G45" s="9">
        <f t="shared" si="7"/>
        <v>5750.85</v>
      </c>
      <c r="H45" s="9">
        <f t="shared" si="7"/>
        <v>0</v>
      </c>
      <c r="I45" s="9">
        <f>(G45)-(H45)</f>
        <v>5750.85</v>
      </c>
      <c r="J45" s="13" t="str">
        <f>IF(H45=0,"",(G45)/(H45))</f>
        <v/>
      </c>
    </row>
    <row r="46" spans="1:10" x14ac:dyDescent="0.2">
      <c r="A46" s="2" t="s">
        <v>2</v>
      </c>
      <c r="B46" s="9">
        <f>(B45)-(0)</f>
        <v>5750.85</v>
      </c>
      <c r="C46" s="9">
        <f>(C45)-(0)</f>
        <v>0</v>
      </c>
      <c r="D46" s="9">
        <f>(B46)-(C46)</f>
        <v>5750.85</v>
      </c>
      <c r="E46" s="13" t="str">
        <f>IF(C46=0,"",(B46)/(C46))</f>
        <v/>
      </c>
      <c r="F46" s="17"/>
      <c r="G46" s="9">
        <f t="shared" si="7"/>
        <v>5750.85</v>
      </c>
      <c r="H46" s="9">
        <f t="shared" si="7"/>
        <v>0</v>
      </c>
      <c r="I46" s="9">
        <f>(G46)-(H46)</f>
        <v>5750.85</v>
      </c>
      <c r="J46" s="13" t="str">
        <f>IF(H46=0,"",(G46)/(H46))</f>
        <v/>
      </c>
    </row>
    <row r="47" spans="1:10" x14ac:dyDescent="0.2">
      <c r="A47" s="2"/>
      <c r="B47" s="16"/>
      <c r="C47" s="16"/>
      <c r="D47" s="16"/>
      <c r="E47" s="17"/>
      <c r="F47" s="17"/>
      <c r="G47" s="16"/>
      <c r="H47" s="16"/>
      <c r="I47" s="16"/>
      <c r="J47" s="17"/>
    </row>
    <row r="48" spans="1:10" ht="16" thickBot="1" x14ac:dyDescent="0.25">
      <c r="A48" s="2" t="s">
        <v>1</v>
      </c>
      <c r="B48" s="22">
        <f>(B41)+(B46)</f>
        <v>5909.2100000000009</v>
      </c>
      <c r="C48" s="22">
        <f>(C41)+(C46)</f>
        <v>140</v>
      </c>
      <c r="D48" s="22">
        <f>(B48)-(C48)</f>
        <v>5769.2100000000009</v>
      </c>
      <c r="E48" s="23">
        <f>IF(C48=0,"",(B48)/(C48))</f>
        <v>42.208642857142863</v>
      </c>
      <c r="F48" s="17"/>
      <c r="G48" s="22">
        <f>B48</f>
        <v>5909.2100000000009</v>
      </c>
      <c r="H48" s="22">
        <f>C48</f>
        <v>140</v>
      </c>
      <c r="I48" s="22">
        <f>(G48)-(H48)</f>
        <v>5769.2100000000009</v>
      </c>
      <c r="J48" s="23">
        <f>IF(H48=0,"",(G48)/(H48))</f>
        <v>42.208642857142863</v>
      </c>
    </row>
    <row r="49" spans="1:10" ht="17" thickTop="1" thickBot="1" x14ac:dyDescent="0.25">
      <c r="A49" s="2"/>
      <c r="B49" s="7"/>
      <c r="C49" s="7"/>
      <c r="D49" s="7"/>
      <c r="E49" s="11"/>
      <c r="F49" s="27"/>
      <c r="G49" s="7"/>
      <c r="H49" s="7"/>
      <c r="I49" s="7"/>
      <c r="J49" s="11"/>
    </row>
    <row r="50" spans="1:10" ht="16" thickBot="1" x14ac:dyDescent="0.25">
      <c r="A50" s="30" t="s">
        <v>75</v>
      </c>
      <c r="B50" s="24"/>
      <c r="C50" s="24"/>
      <c r="D50" s="24"/>
      <c r="E50" s="25"/>
      <c r="F50" s="29"/>
      <c r="G50" s="31">
        <f>G7+G48</f>
        <v>622.83000000000084</v>
      </c>
      <c r="H50" s="24"/>
      <c r="I50" s="24"/>
      <c r="J50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D39B-E28A-42F6-92E9-DD9D790B5D0F}">
  <sheetPr codeName="Sheet24">
    <pageSetUpPr fitToPage="1"/>
  </sheetPr>
  <dimension ref="A1:J42"/>
  <sheetViews>
    <sheetView topLeftCell="T1" workbookViewId="0">
      <selection activeCell="A2" sqref="A2:J2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89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23502.52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 t="str">
        <f t="shared" ref="J10:J15" si="0">IF(H10=0,"",(G10)/(H10))</f>
        <v/>
      </c>
    </row>
    <row r="11" spans="1:10" x14ac:dyDescent="0.2">
      <c r="A11" s="2" t="s">
        <v>53</v>
      </c>
      <c r="B11" s="8">
        <f>7515.9</f>
        <v>7515.9</v>
      </c>
      <c r="C11" s="7"/>
      <c r="D11" s="8">
        <f>(B11)-(C11)</f>
        <v>7515.9</v>
      </c>
      <c r="E11" s="12" t="str">
        <f>IF(C11=0,"",(B11)/(C11))</f>
        <v/>
      </c>
      <c r="F11" s="28"/>
      <c r="G11" s="8">
        <f>B11</f>
        <v>7515.9</v>
      </c>
      <c r="H11" s="8"/>
      <c r="I11" s="8">
        <f>(G11)-(H11)</f>
        <v>7515.9</v>
      </c>
      <c r="J11" s="12" t="str">
        <f t="shared" si="0"/>
        <v/>
      </c>
    </row>
    <row r="12" spans="1:10" x14ac:dyDescent="0.2">
      <c r="A12" s="2" t="s">
        <v>52</v>
      </c>
      <c r="B12" s="9">
        <f>(B10)+(B11)</f>
        <v>7515.9</v>
      </c>
      <c r="C12" s="9">
        <f>(C10)+(C11)</f>
        <v>0</v>
      </c>
      <c r="D12" s="9">
        <f>(B12)-(C12)</f>
        <v>7515.9</v>
      </c>
      <c r="E12" s="13" t="str">
        <f>IF(C12=0,"",(B12)/(C12))</f>
        <v/>
      </c>
      <c r="F12" s="17"/>
      <c r="G12" s="9">
        <f>B12</f>
        <v>7515.9</v>
      </c>
      <c r="H12" s="9">
        <f>C12</f>
        <v>0</v>
      </c>
      <c r="I12" s="9">
        <f>(G12)-(H12)</f>
        <v>7515.9</v>
      </c>
      <c r="J12" s="13" t="str">
        <f t="shared" si="0"/>
        <v/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 t="str">
        <f t="shared" si="0"/>
        <v/>
      </c>
    </row>
    <row r="14" spans="1:10" x14ac:dyDescent="0.2">
      <c r="A14" s="2" t="s">
        <v>50</v>
      </c>
      <c r="B14" s="8">
        <f>-751.59</f>
        <v>-751.59</v>
      </c>
      <c r="C14" s="7"/>
      <c r="D14" s="8">
        <f>(B14)-(C14)</f>
        <v>-751.59</v>
      </c>
      <c r="E14" s="12" t="str">
        <f>IF(C14=0,"",(B14)/(C14))</f>
        <v/>
      </c>
      <c r="F14" s="28"/>
      <c r="G14" s="8">
        <f>B14</f>
        <v>-751.59</v>
      </c>
      <c r="H14" s="8"/>
      <c r="I14" s="8">
        <f>(G14)-(H14)</f>
        <v>-751.59</v>
      </c>
      <c r="J14" s="12" t="str">
        <f t="shared" si="0"/>
        <v/>
      </c>
    </row>
    <row r="15" spans="1:10" x14ac:dyDescent="0.2">
      <c r="A15" s="2" t="s">
        <v>49</v>
      </c>
      <c r="B15" s="9">
        <f>(B13)+(B14)</f>
        <v>-751.59</v>
      </c>
      <c r="C15" s="9">
        <f>(C13)+(C14)</f>
        <v>0</v>
      </c>
      <c r="D15" s="9">
        <f>(B15)-(C15)</f>
        <v>-751.59</v>
      </c>
      <c r="E15" s="13" t="str">
        <f>IF(C15=0,"",(B15)/(C15))</f>
        <v/>
      </c>
      <c r="F15" s="17"/>
      <c r="G15" s="9">
        <f>B15</f>
        <v>-751.59</v>
      </c>
      <c r="H15" s="9">
        <f>C15</f>
        <v>0</v>
      </c>
      <c r="I15" s="9">
        <f>(G15)-(H15)</f>
        <v>-751.59</v>
      </c>
      <c r="J15" s="13" t="str">
        <f t="shared" si="0"/>
        <v/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6764.3099999999995</v>
      </c>
      <c r="C17" s="18">
        <f>(C12)+(C15)</f>
        <v>0</v>
      </c>
      <c r="D17" s="18">
        <f>(B17)-(C17)</f>
        <v>6764.3099999999995</v>
      </c>
      <c r="E17" s="19" t="str">
        <f>IF(C17=0,"",(B17)/(C17))</f>
        <v/>
      </c>
      <c r="F17" s="17"/>
      <c r="G17" s="18">
        <f>B17</f>
        <v>6764.3099999999995</v>
      </c>
      <c r="H17" s="18">
        <f>C17</f>
        <v>0</v>
      </c>
      <c r="I17" s="18">
        <f>(G17)-(H17)</f>
        <v>6764.3099999999995</v>
      </c>
      <c r="J17" s="19" t="str">
        <f>IF(H17=0,"",(G17)/(H17))</f>
        <v/>
      </c>
    </row>
    <row r="18" spans="1:10" hidden="1" x14ac:dyDescent="0.2">
      <c r="A18" s="2" t="s">
        <v>47</v>
      </c>
      <c r="B18" s="9">
        <f>(B17)-(0)</f>
        <v>6764.3099999999995</v>
      </c>
      <c r="C18" s="9">
        <f>(C17)-(0)</f>
        <v>0</v>
      </c>
      <c r="D18" s="9">
        <f>(B18)-(C18)</f>
        <v>6764.3099999999995</v>
      </c>
      <c r="E18" s="13" t="str">
        <f>IF(C18=0,"",(B18)/(C18))</f>
        <v/>
      </c>
      <c r="F18" s="17"/>
      <c r="G18" s="9">
        <f>B18</f>
        <v>6764.3099999999995</v>
      </c>
      <c r="H18" s="9">
        <f>C18</f>
        <v>0</v>
      </c>
      <c r="I18" s="9">
        <f>(G18)-(H18)</f>
        <v>6764.3099999999995</v>
      </c>
      <c r="J18" s="13" t="str">
        <f>IF(H18=0,"",(G18)/(H18))</f>
        <v/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45</v>
      </c>
      <c r="B21" s="7"/>
      <c r="C21" s="7"/>
      <c r="D21" s="8"/>
      <c r="E21" s="12"/>
      <c r="F21" s="28"/>
      <c r="G21" s="8"/>
      <c r="H21" s="8"/>
      <c r="I21" s="8"/>
      <c r="J21" s="12" t="str">
        <f t="shared" ref="J21:J29" si="1">IF(H21=0,"",(G21)/(H21))</f>
        <v/>
      </c>
    </row>
    <row r="22" spans="1:10" x14ac:dyDescent="0.2">
      <c r="A22" s="2" t="s">
        <v>44</v>
      </c>
      <c r="B22" s="8">
        <f>2400</f>
        <v>2400</v>
      </c>
      <c r="C22" s="7"/>
      <c r="D22" s="8">
        <f>(B22)-(C22)</f>
        <v>2400</v>
      </c>
      <c r="E22" s="12" t="str">
        <f>IF(C22=0,"",(B22)/(C22))</f>
        <v/>
      </c>
      <c r="F22" s="28"/>
      <c r="G22" s="8">
        <f>B22</f>
        <v>2400</v>
      </c>
      <c r="H22" s="8"/>
      <c r="I22" s="8">
        <f>(G22)-(H22)</f>
        <v>2400</v>
      </c>
      <c r="J22" s="12" t="str">
        <f t="shared" si="1"/>
        <v/>
      </c>
    </row>
    <row r="23" spans="1:10" x14ac:dyDescent="0.2">
      <c r="A23" s="2" t="s">
        <v>43</v>
      </c>
      <c r="B23" s="8">
        <f>4000</f>
        <v>4000</v>
      </c>
      <c r="C23" s="7"/>
      <c r="D23" s="8">
        <f>(B23)-(C23)</f>
        <v>4000</v>
      </c>
      <c r="E23" s="12" t="str">
        <f>IF(C23=0,"",(B23)/(C23))</f>
        <v/>
      </c>
      <c r="F23" s="28"/>
      <c r="G23" s="8">
        <f>B23</f>
        <v>4000</v>
      </c>
      <c r="H23" s="8"/>
      <c r="I23" s="8">
        <f>(G23)-(H23)</f>
        <v>4000</v>
      </c>
      <c r="J23" s="12" t="str">
        <f t="shared" si="1"/>
        <v/>
      </c>
    </row>
    <row r="24" spans="1:10" x14ac:dyDescent="0.2">
      <c r="A24" s="2" t="s">
        <v>42</v>
      </c>
      <c r="B24" s="8">
        <f>74.88</f>
        <v>74.88</v>
      </c>
      <c r="C24" s="7"/>
      <c r="D24" s="8">
        <f>(B24)-(C24)</f>
        <v>74.88</v>
      </c>
      <c r="E24" s="12" t="str">
        <f>IF(C24=0,"",(B24)/(C24))</f>
        <v/>
      </c>
      <c r="F24" s="28"/>
      <c r="G24" s="8">
        <f>B24</f>
        <v>74.88</v>
      </c>
      <c r="H24" s="8"/>
      <c r="I24" s="8">
        <f>(G24)-(H24)</f>
        <v>74.88</v>
      </c>
      <c r="J24" s="12" t="str">
        <f t="shared" si="1"/>
        <v/>
      </c>
    </row>
    <row r="25" spans="1:10" x14ac:dyDescent="0.2">
      <c r="A25" s="2" t="s">
        <v>41</v>
      </c>
      <c r="B25" s="8">
        <f>183.6</f>
        <v>183.6</v>
      </c>
      <c r="C25" s="7"/>
      <c r="D25" s="8">
        <f>(B25)-(C25)</f>
        <v>183.6</v>
      </c>
      <c r="E25" s="12" t="str">
        <f>IF(C25=0,"",(B25)/(C25))</f>
        <v/>
      </c>
      <c r="F25" s="28"/>
      <c r="G25" s="8">
        <f>B25</f>
        <v>183.6</v>
      </c>
      <c r="H25" s="8"/>
      <c r="I25" s="8">
        <f>(G25)-(H25)</f>
        <v>183.6</v>
      </c>
      <c r="J25" s="12" t="str">
        <f t="shared" si="1"/>
        <v/>
      </c>
    </row>
    <row r="26" spans="1:10" x14ac:dyDescent="0.2">
      <c r="A26" s="2" t="s">
        <v>40</v>
      </c>
      <c r="B26" s="9">
        <f>((((B21)+(B22))+(B23))+(B24))+(B25)</f>
        <v>6658.4800000000005</v>
      </c>
      <c r="C26" s="9">
        <f>((((C21)+(C22))+(C23))+(C24))+(C25)</f>
        <v>0</v>
      </c>
      <c r="D26" s="9">
        <f>(B26)-(C26)</f>
        <v>6658.4800000000005</v>
      </c>
      <c r="E26" s="13" t="str">
        <f>IF(C26=0,"",(B26)/(C26))</f>
        <v/>
      </c>
      <c r="F26" s="17"/>
      <c r="G26" s="9">
        <f>B26</f>
        <v>6658.4800000000005</v>
      </c>
      <c r="H26" s="9">
        <f>C26</f>
        <v>0</v>
      </c>
      <c r="I26" s="9">
        <f>(G26)-(H26)</f>
        <v>6658.4800000000005</v>
      </c>
      <c r="J26" s="13" t="str">
        <f t="shared" si="1"/>
        <v/>
      </c>
    </row>
    <row r="27" spans="1:10" x14ac:dyDescent="0.2">
      <c r="A27" s="2" t="s">
        <v>15</v>
      </c>
      <c r="B27" s="7"/>
      <c r="C27" s="7"/>
      <c r="D27" s="8"/>
      <c r="E27" s="12"/>
      <c r="F27" s="28"/>
      <c r="G27" s="8"/>
      <c r="H27" s="8"/>
      <c r="I27" s="8"/>
      <c r="J27" s="12" t="str">
        <f t="shared" si="1"/>
        <v/>
      </c>
    </row>
    <row r="28" spans="1:10" x14ac:dyDescent="0.2">
      <c r="A28" s="2" t="s">
        <v>13</v>
      </c>
      <c r="B28" s="8">
        <f>118</f>
        <v>118</v>
      </c>
      <c r="C28" s="7"/>
      <c r="D28" s="8">
        <f>(B28)-(C28)</f>
        <v>118</v>
      </c>
      <c r="E28" s="12" t="str">
        <f>IF(C28=0,"",(B28)/(C28))</f>
        <v/>
      </c>
      <c r="F28" s="28"/>
      <c r="G28" s="8">
        <f>B28</f>
        <v>118</v>
      </c>
      <c r="H28" s="8"/>
      <c r="I28" s="8">
        <f>(G28)-(H28)</f>
        <v>118</v>
      </c>
      <c r="J28" s="12" t="str">
        <f t="shared" si="1"/>
        <v/>
      </c>
    </row>
    <row r="29" spans="1:10" x14ac:dyDescent="0.2">
      <c r="A29" s="2" t="s">
        <v>8</v>
      </c>
      <c r="B29" s="9">
        <f>(B27)+(B28)</f>
        <v>118</v>
      </c>
      <c r="C29" s="9">
        <f>(C27)+(C28)</f>
        <v>0</v>
      </c>
      <c r="D29" s="9">
        <f>(B29)-(C29)</f>
        <v>118</v>
      </c>
      <c r="E29" s="13" t="str">
        <f>IF(C29=0,"",(B29)/(C29))</f>
        <v/>
      </c>
      <c r="F29" s="17"/>
      <c r="G29" s="9">
        <f>B29</f>
        <v>118</v>
      </c>
      <c r="H29" s="9">
        <f>C29</f>
        <v>0</v>
      </c>
      <c r="I29" s="9">
        <f>(G29)-(H29)</f>
        <v>118</v>
      </c>
      <c r="J29" s="13" t="str">
        <f t="shared" si="1"/>
        <v/>
      </c>
    </row>
    <row r="30" spans="1:10" x14ac:dyDescent="0.2">
      <c r="A30" s="2"/>
      <c r="B30" s="20"/>
      <c r="C30" s="20"/>
      <c r="D30" s="20"/>
      <c r="E30" s="21"/>
      <c r="F30" s="17"/>
      <c r="G30" s="20"/>
      <c r="H30" s="20"/>
      <c r="I30" s="20"/>
      <c r="J30" s="21"/>
    </row>
    <row r="31" spans="1:10" x14ac:dyDescent="0.2">
      <c r="A31" s="2" t="s">
        <v>7</v>
      </c>
      <c r="B31" s="9">
        <f>(B26)+(B29)</f>
        <v>6776.4800000000005</v>
      </c>
      <c r="C31" s="9">
        <f>(C26)+(C29)</f>
        <v>0</v>
      </c>
      <c r="D31" s="9">
        <f>(B31)-(C31)</f>
        <v>6776.4800000000005</v>
      </c>
      <c r="E31" s="13" t="str">
        <f>IF(C31=0,"",(B31)/(C31))</f>
        <v/>
      </c>
      <c r="F31" s="17"/>
      <c r="G31" s="9">
        <f>B31</f>
        <v>6776.4800000000005</v>
      </c>
      <c r="H31" s="9">
        <f>C31</f>
        <v>0</v>
      </c>
      <c r="I31" s="9">
        <f>(G31)-(H31)</f>
        <v>6776.4800000000005</v>
      </c>
      <c r="J31" s="13" t="str">
        <f>IF(H31=0,"",(G31)/(H31))</f>
        <v/>
      </c>
    </row>
    <row r="32" spans="1:10" x14ac:dyDescent="0.2">
      <c r="A32" s="2"/>
      <c r="B32" s="9"/>
      <c r="C32" s="9"/>
      <c r="D32" s="9"/>
      <c r="E32" s="13"/>
      <c r="F32" s="17"/>
      <c r="G32" s="9"/>
      <c r="H32" s="9"/>
      <c r="I32" s="9"/>
      <c r="J32" s="13"/>
    </row>
    <row r="33" spans="1:10" x14ac:dyDescent="0.2">
      <c r="A33" s="2" t="s">
        <v>6</v>
      </c>
      <c r="B33" s="9">
        <f>(B18)-(B31)</f>
        <v>-12.170000000000982</v>
      </c>
      <c r="C33" s="9">
        <f>(C18)-(C31)</f>
        <v>0</v>
      </c>
      <c r="D33" s="9">
        <f>(B33)-(C33)</f>
        <v>-12.170000000000982</v>
      </c>
      <c r="E33" s="13" t="str">
        <f>IF(C33=0,"",(B33)/(C33))</f>
        <v/>
      </c>
      <c r="F33" s="17"/>
      <c r="G33" s="9">
        <f>B33</f>
        <v>-12.170000000000982</v>
      </c>
      <c r="H33" s="9">
        <f>C33</f>
        <v>0</v>
      </c>
      <c r="I33" s="9">
        <f>(G33)-(H33)</f>
        <v>-12.170000000000982</v>
      </c>
      <c r="J33" s="13" t="str">
        <f>IF(H33=0,"",(G33)/(H33))</f>
        <v/>
      </c>
    </row>
    <row r="34" spans="1:10" x14ac:dyDescent="0.2">
      <c r="A34" s="2"/>
      <c r="B34" s="16"/>
      <c r="C34" s="16"/>
      <c r="D34" s="16"/>
      <c r="E34" s="17"/>
      <c r="F34" s="17"/>
      <c r="G34" s="16"/>
      <c r="H34" s="16"/>
      <c r="I34" s="16"/>
      <c r="J34" s="17"/>
    </row>
    <row r="35" spans="1:10" x14ac:dyDescent="0.2">
      <c r="A35" s="2" t="s">
        <v>5</v>
      </c>
      <c r="B35" s="7"/>
      <c r="C35" s="7"/>
      <c r="D35" s="7"/>
      <c r="E35" s="11"/>
      <c r="F35" s="27"/>
      <c r="G35" s="7"/>
      <c r="H35" s="7"/>
      <c r="I35" s="7"/>
      <c r="J35" s="11"/>
    </row>
    <row r="36" spans="1:10" x14ac:dyDescent="0.2">
      <c r="A36" s="2" t="s">
        <v>4</v>
      </c>
      <c r="B36" s="8">
        <f>11501.7</f>
        <v>11501.7</v>
      </c>
      <c r="C36" s="7"/>
      <c r="D36" s="8">
        <f>(B36)-(C36)</f>
        <v>11501.7</v>
      </c>
      <c r="E36" s="12" t="str">
        <f>IF(C36=0,"",(B36)/(C36))</f>
        <v/>
      </c>
      <c r="F36" s="28"/>
      <c r="G36" s="8">
        <f>B36</f>
        <v>11501.7</v>
      </c>
      <c r="H36" s="8"/>
      <c r="I36" s="8">
        <f>(G36)-(H36)</f>
        <v>11501.7</v>
      </c>
      <c r="J36" s="12" t="str">
        <f>IF(H36=0,"",(G36)/(H36))</f>
        <v/>
      </c>
    </row>
    <row r="37" spans="1:10" hidden="1" x14ac:dyDescent="0.2">
      <c r="A37" s="2" t="s">
        <v>3</v>
      </c>
      <c r="B37" s="9">
        <f>B36</f>
        <v>11501.7</v>
      </c>
      <c r="C37" s="9">
        <f>C36</f>
        <v>0</v>
      </c>
      <c r="D37" s="9">
        <f>(B37)-(C37)</f>
        <v>11501.7</v>
      </c>
      <c r="E37" s="13" t="str">
        <f>IF(C37=0,"",(B37)/(C37))</f>
        <v/>
      </c>
      <c r="F37" s="17"/>
      <c r="G37" s="9">
        <f>B37</f>
        <v>11501.7</v>
      </c>
      <c r="H37" s="9">
        <f>C37</f>
        <v>0</v>
      </c>
      <c r="I37" s="9">
        <f>(G37)-(H37)</f>
        <v>11501.7</v>
      </c>
      <c r="J37" s="13" t="str">
        <f>IF(H37=0,"",(G37)/(H37))</f>
        <v/>
      </c>
    </row>
    <row r="38" spans="1:10" x14ac:dyDescent="0.2">
      <c r="A38" s="2" t="s">
        <v>2</v>
      </c>
      <c r="B38" s="9">
        <f>(B37)-(0)</f>
        <v>11501.7</v>
      </c>
      <c r="C38" s="9">
        <f>(C37)-(0)</f>
        <v>0</v>
      </c>
      <c r="D38" s="9">
        <f>(B38)-(C38)</f>
        <v>11501.7</v>
      </c>
      <c r="E38" s="13" t="str">
        <f>IF(C38=0,"",(B38)/(C38))</f>
        <v/>
      </c>
      <c r="F38" s="17"/>
      <c r="G38" s="9">
        <f>B38</f>
        <v>11501.7</v>
      </c>
      <c r="H38" s="9">
        <f>C38</f>
        <v>0</v>
      </c>
      <c r="I38" s="9">
        <f>(G38)-(H38)</f>
        <v>11501.7</v>
      </c>
      <c r="J38" s="13" t="str">
        <f>IF(H38=0,"",(G38)/(H38))</f>
        <v/>
      </c>
    </row>
    <row r="39" spans="1:10" x14ac:dyDescent="0.2">
      <c r="A39" s="2"/>
      <c r="B39" s="16"/>
      <c r="C39" s="16"/>
      <c r="D39" s="16"/>
      <c r="E39" s="17"/>
      <c r="F39" s="17"/>
      <c r="G39" s="16"/>
      <c r="H39" s="16"/>
      <c r="I39" s="16"/>
      <c r="J39" s="17"/>
    </row>
    <row r="40" spans="1:10" ht="16" thickBot="1" x14ac:dyDescent="0.25">
      <c r="A40" s="2" t="s">
        <v>1</v>
      </c>
      <c r="B40" s="22">
        <f>(B33)+(B38)</f>
        <v>11489.529999999999</v>
      </c>
      <c r="C40" s="22">
        <f>(C33)+(C38)</f>
        <v>0</v>
      </c>
      <c r="D40" s="22">
        <f>(B40)-(C40)</f>
        <v>11489.529999999999</v>
      </c>
      <c r="E40" s="23" t="str">
        <f>IF(C40=0,"",(B40)/(C40))</f>
        <v/>
      </c>
      <c r="F40" s="17"/>
      <c r="G40" s="22">
        <f>B40</f>
        <v>11489.529999999999</v>
      </c>
      <c r="H40" s="22">
        <f>C40</f>
        <v>0</v>
      </c>
      <c r="I40" s="22">
        <f>(G40)-(H40)</f>
        <v>11489.529999999999</v>
      </c>
      <c r="J40" s="23" t="str">
        <f>IF(H40=0,"",(G40)/(H40))</f>
        <v/>
      </c>
    </row>
    <row r="41" spans="1:10" ht="17" thickTop="1" thickBot="1" x14ac:dyDescent="0.25">
      <c r="A41" s="2"/>
      <c r="B41" s="7"/>
      <c r="C41" s="7"/>
      <c r="D41" s="7"/>
      <c r="E41" s="11"/>
      <c r="F41" s="27"/>
      <c r="G41" s="7"/>
      <c r="H41" s="7"/>
      <c r="I41" s="7"/>
      <c r="J41" s="11"/>
    </row>
    <row r="42" spans="1:10" ht="16" thickBot="1" x14ac:dyDescent="0.25">
      <c r="A42" s="30" t="s">
        <v>75</v>
      </c>
      <c r="B42" s="24"/>
      <c r="C42" s="24"/>
      <c r="D42" s="24"/>
      <c r="E42" s="25"/>
      <c r="F42" s="29"/>
      <c r="G42" s="31">
        <f>G7+G40</f>
        <v>34992.050000000003</v>
      </c>
      <c r="H42" s="24"/>
      <c r="I42" s="24"/>
      <c r="J42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3AE6-72F6-4AEF-8A55-D153DBCC568E}">
  <sheetPr codeName="Sheet65">
    <pageSetUpPr fitToPage="1"/>
  </sheetPr>
  <dimension ref="A1:J33"/>
  <sheetViews>
    <sheetView tabSelected="1" workbookViewId="0">
      <selection activeCell="A36" sqref="A36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77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-337.98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 t="str">
        <f>IF(C10=0,"",(B10)/(C10))</f>
        <v/>
      </c>
      <c r="F10" s="28"/>
      <c r="G10" s="8"/>
      <c r="H10" s="8"/>
      <c r="I10" s="8"/>
      <c r="J10" s="12" t="str">
        <f>IF(H10=0,"",(G10)/(H10))</f>
        <v/>
      </c>
    </row>
    <row r="11" spans="1:10" x14ac:dyDescent="0.2">
      <c r="A11" s="2" t="s">
        <v>53</v>
      </c>
      <c r="B11" s="8">
        <f>100</f>
        <v>100</v>
      </c>
      <c r="C11" s="8">
        <f>3500</f>
        <v>3500</v>
      </c>
      <c r="D11" s="8">
        <f>(B11)-(C11)</f>
        <v>-3400</v>
      </c>
      <c r="E11" s="12">
        <f>IF(C11=0,"",(B11)/(C11))</f>
        <v>2.8571428571428571E-2</v>
      </c>
      <c r="F11" s="28"/>
      <c r="G11" s="8">
        <f>B11</f>
        <v>100</v>
      </c>
      <c r="H11" s="8">
        <f>C11</f>
        <v>3500</v>
      </c>
      <c r="I11" s="8">
        <f>(G11)-(H11)</f>
        <v>-3400</v>
      </c>
      <c r="J11" s="12">
        <f>IF(H11=0,"",(G11)/(H11))</f>
        <v>2.8571428571428571E-2</v>
      </c>
    </row>
    <row r="12" spans="1:10" x14ac:dyDescent="0.2">
      <c r="A12" s="2" t="s">
        <v>52</v>
      </c>
      <c r="B12" s="9">
        <f>(B10)+(B11)</f>
        <v>100</v>
      </c>
      <c r="C12" s="9">
        <f>(C10)+(C11)</f>
        <v>3500</v>
      </c>
      <c r="D12" s="9">
        <f>(B12)-(C12)</f>
        <v>-3400</v>
      </c>
      <c r="E12" s="13">
        <f>IF(C12=0,"",(B12)/(C12))</f>
        <v>2.8571428571428571E-2</v>
      </c>
      <c r="F12" s="17"/>
      <c r="G12" s="9">
        <f>B12</f>
        <v>100</v>
      </c>
      <c r="H12" s="9">
        <f>C12</f>
        <v>3500</v>
      </c>
      <c r="I12" s="9">
        <f>(G12)-(H12)</f>
        <v>-3400</v>
      </c>
      <c r="J12" s="13">
        <f>IF(H12=0,"",(G12)/(H12))</f>
        <v>2.8571428571428571E-2</v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/>
    </row>
    <row r="14" spans="1:10" x14ac:dyDescent="0.2">
      <c r="A14" s="2" t="s">
        <v>50</v>
      </c>
      <c r="B14" s="8">
        <f>-10</f>
        <v>-10</v>
      </c>
      <c r="C14" s="8">
        <f>-350</f>
        <v>-350</v>
      </c>
      <c r="D14" s="8">
        <f>(B14)-(C14)</f>
        <v>340</v>
      </c>
      <c r="E14" s="12">
        <f>IF(C14=0,"",(B14)/(C14))</f>
        <v>2.8571428571428571E-2</v>
      </c>
      <c r="F14" s="28"/>
      <c r="G14" s="8">
        <f>B14</f>
        <v>-10</v>
      </c>
      <c r="H14" s="8">
        <f>C14</f>
        <v>-350</v>
      </c>
      <c r="I14" s="8">
        <f>(G14)-(H14)</f>
        <v>340</v>
      </c>
      <c r="J14" s="12">
        <f>IF(H14=0,"",(G14)/(H14))</f>
        <v>2.8571428571428571E-2</v>
      </c>
    </row>
    <row r="15" spans="1:10" x14ac:dyDescent="0.2">
      <c r="A15" s="2" t="s">
        <v>49</v>
      </c>
      <c r="B15" s="9">
        <f>(B13)+(B14)</f>
        <v>-10</v>
      </c>
      <c r="C15" s="9">
        <f>(C13)+(C14)</f>
        <v>-350</v>
      </c>
      <c r="D15" s="9">
        <f>(B15)-(C15)</f>
        <v>340</v>
      </c>
      <c r="E15" s="13">
        <f>IF(C15=0,"",(B15)/(C15))</f>
        <v>2.8571428571428571E-2</v>
      </c>
      <c r="F15" s="17"/>
      <c r="G15" s="9">
        <f>B15</f>
        <v>-10</v>
      </c>
      <c r="H15" s="9">
        <f>C15</f>
        <v>-350</v>
      </c>
      <c r="I15" s="9">
        <f>(G15)-(H15)</f>
        <v>340</v>
      </c>
      <c r="J15" s="13">
        <f>IF(H15=0,"",(G15)/(H15))</f>
        <v>2.8571428571428571E-2</v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90</v>
      </c>
      <c r="C17" s="18">
        <f>(C12)+(C15)</f>
        <v>3150</v>
      </c>
      <c r="D17" s="18">
        <f>(B17)-(C17)</f>
        <v>-3060</v>
      </c>
      <c r="E17" s="19">
        <f>IF(C17=0,"",(B17)/(C17))</f>
        <v>2.8571428571428571E-2</v>
      </c>
      <c r="F17" s="17"/>
      <c r="G17" s="18">
        <f>B17</f>
        <v>90</v>
      </c>
      <c r="H17" s="18">
        <f>C17</f>
        <v>3150</v>
      </c>
      <c r="I17" s="18">
        <f>(G17)-(H17)</f>
        <v>-3060</v>
      </c>
      <c r="J17" s="19">
        <f>IF(H17=0,"",(G17)/(H17))</f>
        <v>2.8571428571428571E-2</v>
      </c>
    </row>
    <row r="18" spans="1:10" hidden="1" x14ac:dyDescent="0.2">
      <c r="A18" s="2" t="s">
        <v>47</v>
      </c>
      <c r="B18" s="9">
        <f>(B17)-(0)</f>
        <v>90</v>
      </c>
      <c r="C18" s="9">
        <f>(C17)-(0)</f>
        <v>3150</v>
      </c>
      <c r="D18" s="9">
        <f>(B18)-(C18)</f>
        <v>-3060</v>
      </c>
      <c r="E18" s="13">
        <f>IF(C18=0,"",(B18)/(C18))</f>
        <v>2.8571428571428571E-2</v>
      </c>
      <c r="F18" s="17"/>
      <c r="G18" s="9">
        <f>B18</f>
        <v>90</v>
      </c>
      <c r="H18" s="9">
        <f>C18</f>
        <v>3150</v>
      </c>
      <c r="I18" s="9">
        <f>(G18)-(H18)</f>
        <v>-3060</v>
      </c>
      <c r="J18" s="13">
        <f>IF(H18=0,"",(G18)/(H18))</f>
        <v>2.8571428571428571E-2</v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45</v>
      </c>
      <c r="B21" s="7"/>
      <c r="C21" s="7"/>
      <c r="D21" s="8"/>
      <c r="E21" s="12"/>
      <c r="F21" s="28"/>
      <c r="G21" s="8"/>
      <c r="H21" s="8"/>
      <c r="I21" s="8"/>
      <c r="J21" s="12" t="str">
        <f t="shared" ref="J21:J26" si="0">IF(H21=0,"",(G21)/(H21))</f>
        <v/>
      </c>
    </row>
    <row r="22" spans="1:10" x14ac:dyDescent="0.2">
      <c r="A22" s="2" t="s">
        <v>42</v>
      </c>
      <c r="B22" s="8">
        <f>35.5</f>
        <v>35.5</v>
      </c>
      <c r="C22" s="7"/>
      <c r="D22" s="8">
        <f>(B22)-(C22)</f>
        <v>35.5</v>
      </c>
      <c r="E22" s="12" t="str">
        <f>IF(C22=0,"",(B22)/(C22))</f>
        <v/>
      </c>
      <c r="F22" s="28"/>
      <c r="G22" s="8">
        <f>B22</f>
        <v>35.5</v>
      </c>
      <c r="H22" s="8"/>
      <c r="I22" s="8">
        <f>(G22)-(H22)</f>
        <v>35.5</v>
      </c>
      <c r="J22" s="12" t="str">
        <f t="shared" si="0"/>
        <v/>
      </c>
    </row>
    <row r="23" spans="1:10" x14ac:dyDescent="0.2">
      <c r="A23" s="2" t="s">
        <v>40</v>
      </c>
      <c r="B23" s="9">
        <f>(B21)+(B22)</f>
        <v>35.5</v>
      </c>
      <c r="C23" s="9">
        <f>(C21)+(C22)</f>
        <v>0</v>
      </c>
      <c r="D23" s="9">
        <f>(B23)-(C23)</f>
        <v>35.5</v>
      </c>
      <c r="E23" s="13" t="str">
        <f>IF(C23=0,"",(B23)/(C23))</f>
        <v/>
      </c>
      <c r="F23" s="17"/>
      <c r="G23" s="9">
        <f>B23</f>
        <v>35.5</v>
      </c>
      <c r="H23" s="9">
        <f>C23</f>
        <v>0</v>
      </c>
      <c r="I23" s="9">
        <f>(G23)-(H23)</f>
        <v>35.5</v>
      </c>
      <c r="J23" s="13" t="str">
        <f t="shared" si="0"/>
        <v/>
      </c>
    </row>
    <row r="24" spans="1:10" x14ac:dyDescent="0.2">
      <c r="A24" s="2" t="s">
        <v>15</v>
      </c>
      <c r="B24" s="7"/>
      <c r="C24" s="7"/>
      <c r="D24" s="8"/>
      <c r="E24" s="12"/>
      <c r="F24" s="28"/>
      <c r="G24" s="8"/>
      <c r="H24" s="8"/>
      <c r="I24" s="8"/>
      <c r="J24" s="12" t="str">
        <f t="shared" si="0"/>
        <v/>
      </c>
    </row>
    <row r="25" spans="1:10" x14ac:dyDescent="0.2">
      <c r="A25" s="2" t="s">
        <v>9</v>
      </c>
      <c r="B25" s="7"/>
      <c r="C25" s="8">
        <f>1000</f>
        <v>1000</v>
      </c>
      <c r="D25" s="8">
        <f>(B25)-(C25)</f>
        <v>-1000</v>
      </c>
      <c r="E25" s="12">
        <f>IF(C25=0,"",(B25)/(C25))</f>
        <v>0</v>
      </c>
      <c r="F25" s="28"/>
      <c r="G25" s="8"/>
      <c r="H25" s="8">
        <f>C25</f>
        <v>1000</v>
      </c>
      <c r="I25" s="8">
        <f>(G25)-(H25)</f>
        <v>-1000</v>
      </c>
      <c r="J25" s="12">
        <f t="shared" si="0"/>
        <v>0</v>
      </c>
    </row>
    <row r="26" spans="1:10" x14ac:dyDescent="0.2">
      <c r="A26" s="2" t="s">
        <v>8</v>
      </c>
      <c r="B26" s="9">
        <f>(B24)+(B25)</f>
        <v>0</v>
      </c>
      <c r="C26" s="9">
        <f>(C24)+(C25)</f>
        <v>1000</v>
      </c>
      <c r="D26" s="9">
        <f>(B26)-(C26)</f>
        <v>-1000</v>
      </c>
      <c r="E26" s="13">
        <f>IF(C26=0,"",(B26)/(C26))</f>
        <v>0</v>
      </c>
      <c r="F26" s="17"/>
      <c r="G26" s="9">
        <f>B26</f>
        <v>0</v>
      </c>
      <c r="H26" s="9">
        <f>C26</f>
        <v>1000</v>
      </c>
      <c r="I26" s="9">
        <f>(G26)-(H26)</f>
        <v>-1000</v>
      </c>
      <c r="J26" s="13">
        <f t="shared" si="0"/>
        <v>0</v>
      </c>
    </row>
    <row r="27" spans="1:10" x14ac:dyDescent="0.2">
      <c r="A27" s="2"/>
      <c r="B27" s="16"/>
      <c r="C27" s="16"/>
      <c r="D27" s="16"/>
      <c r="E27" s="17"/>
      <c r="F27" s="17"/>
      <c r="G27" s="16"/>
      <c r="H27" s="16"/>
      <c r="I27" s="16"/>
      <c r="J27" s="17"/>
    </row>
    <row r="28" spans="1:10" x14ac:dyDescent="0.2">
      <c r="A28" s="2" t="s">
        <v>7</v>
      </c>
      <c r="B28" s="9">
        <f>(B23)+(B26)</f>
        <v>35.5</v>
      </c>
      <c r="C28" s="9">
        <f>(C23)+(C26)</f>
        <v>1000</v>
      </c>
      <c r="D28" s="9">
        <f>(B28)-(C28)</f>
        <v>-964.5</v>
      </c>
      <c r="E28" s="13">
        <f>IF(C28=0,"",(B28)/(C28))</f>
        <v>3.5499999999999997E-2</v>
      </c>
      <c r="F28" s="17"/>
      <c r="G28" s="9">
        <f>B28</f>
        <v>35.5</v>
      </c>
      <c r="H28" s="9">
        <f>C28</f>
        <v>1000</v>
      </c>
      <c r="I28" s="9">
        <f>(G28)-(H28)</f>
        <v>-964.5</v>
      </c>
      <c r="J28" s="13">
        <f>IF(H28=0,"",(G28)/(H28))</f>
        <v>3.5499999999999997E-2</v>
      </c>
    </row>
    <row r="29" spans="1:10" x14ac:dyDescent="0.2">
      <c r="A29" s="2"/>
      <c r="B29" s="9"/>
      <c r="C29" s="9"/>
      <c r="D29" s="9"/>
      <c r="E29" s="13"/>
      <c r="F29" s="17"/>
      <c r="G29" s="9"/>
      <c r="H29" s="9"/>
      <c r="I29" s="9"/>
      <c r="J29" s="13"/>
    </row>
    <row r="30" spans="1:10" hidden="1" x14ac:dyDescent="0.2">
      <c r="A30" s="2" t="s">
        <v>6</v>
      </c>
      <c r="B30" s="9">
        <f>(B18)-(B28)</f>
        <v>54.5</v>
      </c>
      <c r="C30" s="9">
        <f>(C18)-(C28)</f>
        <v>2150</v>
      </c>
      <c r="D30" s="9">
        <f>(B30)-(C30)</f>
        <v>-2095.5</v>
      </c>
      <c r="E30" s="13">
        <f>IF(C30=0,"",(B30)/(C30))</f>
        <v>2.5348837209302325E-2</v>
      </c>
      <c r="F30" s="17"/>
      <c r="G30" s="9">
        <f>B30</f>
        <v>54.5</v>
      </c>
      <c r="H30" s="9">
        <f>C30</f>
        <v>2150</v>
      </c>
      <c r="I30" s="9">
        <f>(G30)-(H30)</f>
        <v>-2095.5</v>
      </c>
      <c r="J30" s="13">
        <f>IF(H30=0,"",(G30)/(H30))</f>
        <v>2.5348837209302325E-2</v>
      </c>
    </row>
    <row r="31" spans="1:10" ht="16" thickBot="1" x14ac:dyDescent="0.25">
      <c r="A31" s="2" t="s">
        <v>1</v>
      </c>
      <c r="B31" s="22">
        <f>(B30)+(0)</f>
        <v>54.5</v>
      </c>
      <c r="C31" s="22">
        <f>(C30)+(0)</f>
        <v>2150</v>
      </c>
      <c r="D31" s="22">
        <f>(B31)-(C31)</f>
        <v>-2095.5</v>
      </c>
      <c r="E31" s="23">
        <f>IF(C31=0,"",(B31)/(C31))</f>
        <v>2.5348837209302325E-2</v>
      </c>
      <c r="F31" s="17"/>
      <c r="G31" s="22">
        <f>B31</f>
        <v>54.5</v>
      </c>
      <c r="H31" s="22">
        <f>C31</f>
        <v>2150</v>
      </c>
      <c r="I31" s="22">
        <f>(G31)-(H31)</f>
        <v>-2095.5</v>
      </c>
      <c r="J31" s="23">
        <f>IF(H31=0,"",(G31)/(H31))</f>
        <v>2.5348837209302325E-2</v>
      </c>
    </row>
    <row r="32" spans="1:10" ht="17" thickTop="1" thickBot="1" x14ac:dyDescent="0.25">
      <c r="A32" s="2"/>
      <c r="B32" s="7"/>
      <c r="C32" s="7"/>
      <c r="D32" s="7"/>
      <c r="E32" s="11"/>
      <c r="F32" s="27"/>
      <c r="G32" s="7"/>
      <c r="H32" s="7"/>
      <c r="I32" s="7"/>
      <c r="J32" s="11"/>
    </row>
    <row r="33" spans="1:10" ht="16" thickBot="1" x14ac:dyDescent="0.25">
      <c r="A33" s="30" t="s">
        <v>75</v>
      </c>
      <c r="B33" s="24"/>
      <c r="C33" s="24"/>
      <c r="D33" s="24"/>
      <c r="E33" s="25"/>
      <c r="F33" s="29"/>
      <c r="G33" s="31">
        <f>G7+G31</f>
        <v>-283.48</v>
      </c>
      <c r="H33" s="24"/>
      <c r="I33" s="24"/>
      <c r="J33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C0C4-6C48-4195-877A-F7BC2A7DFF88}">
  <sheetPr>
    <pageSetUpPr fitToPage="1"/>
  </sheetPr>
  <dimension ref="A1:J50"/>
  <sheetViews>
    <sheetView workbookViewId="0">
      <selection activeCell="A2" sqref="A2:J2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78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6850.8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/>
    </row>
    <row r="11" spans="1:10" x14ac:dyDescent="0.2">
      <c r="A11" s="2" t="s">
        <v>53</v>
      </c>
      <c r="B11" s="8">
        <f>7791.75</f>
        <v>7791.75</v>
      </c>
      <c r="C11" s="8">
        <f>6000</f>
        <v>6000</v>
      </c>
      <c r="D11" s="8">
        <f>(B11)-(C11)</f>
        <v>1791.75</v>
      </c>
      <c r="E11" s="12">
        <f>IF(C11=0,"",(B11)/(C11))</f>
        <v>1.2986249999999999</v>
      </c>
      <c r="F11" s="28"/>
      <c r="G11" s="8">
        <f>B11</f>
        <v>7791.75</v>
      </c>
      <c r="H11" s="8">
        <f>C11</f>
        <v>6000</v>
      </c>
      <c r="I11" s="8">
        <f>(G11)-(H11)</f>
        <v>1791.75</v>
      </c>
      <c r="J11" s="12">
        <f>IF(H11=0,"",(G11)/(H11))</f>
        <v>1.2986249999999999</v>
      </c>
    </row>
    <row r="12" spans="1:10" x14ac:dyDescent="0.2">
      <c r="A12" s="2" t="s">
        <v>52</v>
      </c>
      <c r="B12" s="9">
        <f>(B10)+(B11)</f>
        <v>7791.75</v>
      </c>
      <c r="C12" s="9">
        <f>(C10)+(C11)</f>
        <v>6000</v>
      </c>
      <c r="D12" s="9">
        <f>(B12)-(C12)</f>
        <v>1791.75</v>
      </c>
      <c r="E12" s="13">
        <f>IF(C12=0,"",(B12)/(C12))</f>
        <v>1.2986249999999999</v>
      </c>
      <c r="F12" s="17"/>
      <c r="G12" s="9">
        <f>B12</f>
        <v>7791.75</v>
      </c>
      <c r="H12" s="9">
        <f>C12</f>
        <v>6000</v>
      </c>
      <c r="I12" s="9">
        <f>(G12)-(H12)</f>
        <v>1791.75</v>
      </c>
      <c r="J12" s="13">
        <f>IF(H12=0,"",(G12)/(H12))</f>
        <v>1.2986249999999999</v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/>
    </row>
    <row r="14" spans="1:10" x14ac:dyDescent="0.2">
      <c r="A14" s="2" t="s">
        <v>50</v>
      </c>
      <c r="B14" s="8">
        <f>-779.18</f>
        <v>-779.18</v>
      </c>
      <c r="C14" s="8">
        <f>-600</f>
        <v>-600</v>
      </c>
      <c r="D14" s="8">
        <f>(B14)-(C14)</f>
        <v>-179.17999999999995</v>
      </c>
      <c r="E14" s="12">
        <f>IF(C14=0,"",(B14)/(C14))</f>
        <v>1.2986333333333333</v>
      </c>
      <c r="F14" s="28"/>
      <c r="G14" s="8">
        <f>B14</f>
        <v>-779.18</v>
      </c>
      <c r="H14" s="8">
        <f>C14</f>
        <v>-600</v>
      </c>
      <c r="I14" s="8">
        <f>(G14)-(H14)</f>
        <v>-179.17999999999995</v>
      </c>
      <c r="J14" s="12">
        <f>IF(H14=0,"",(G14)/(H14))</f>
        <v>1.2986333333333333</v>
      </c>
    </row>
    <row r="15" spans="1:10" x14ac:dyDescent="0.2">
      <c r="A15" s="2" t="s">
        <v>49</v>
      </c>
      <c r="B15" s="9">
        <f>(B13)+(B14)</f>
        <v>-779.18</v>
      </c>
      <c r="C15" s="9">
        <f>(C13)+(C14)</f>
        <v>-600</v>
      </c>
      <c r="D15" s="9">
        <f>(B15)-(C15)</f>
        <v>-179.17999999999995</v>
      </c>
      <c r="E15" s="13">
        <f>IF(C15=0,"",(B15)/(C15))</f>
        <v>1.2986333333333333</v>
      </c>
      <c r="F15" s="17"/>
      <c r="G15" s="9">
        <f>B15</f>
        <v>-779.18</v>
      </c>
      <c r="H15" s="9">
        <f>C15</f>
        <v>-600</v>
      </c>
      <c r="I15" s="9">
        <f>(G15)-(H15)</f>
        <v>-179.17999999999995</v>
      </c>
      <c r="J15" s="13">
        <f>IF(H15=0,"",(G15)/(H15))</f>
        <v>1.2986333333333333</v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7012.57</v>
      </c>
      <c r="C17" s="18">
        <f>(C12)+(C15)</f>
        <v>5400</v>
      </c>
      <c r="D17" s="18">
        <f>(B17)-(C17)</f>
        <v>1612.5699999999997</v>
      </c>
      <c r="E17" s="19">
        <f>IF(C17=0,"",(B17)/(C17))</f>
        <v>1.298624074074074</v>
      </c>
      <c r="F17" s="17"/>
      <c r="G17" s="18">
        <f>B17</f>
        <v>7012.57</v>
      </c>
      <c r="H17" s="18">
        <f>C17</f>
        <v>5400</v>
      </c>
      <c r="I17" s="18">
        <f>(G17)-(H17)</f>
        <v>1612.5699999999997</v>
      </c>
      <c r="J17" s="19">
        <f>IF(H17=0,"",(G17)/(H17))</f>
        <v>1.298624074074074</v>
      </c>
    </row>
    <row r="18" spans="1:10" hidden="1" x14ac:dyDescent="0.2">
      <c r="A18" s="2" t="s">
        <v>47</v>
      </c>
      <c r="B18" s="9">
        <f>(B17)-(0)</f>
        <v>7012.57</v>
      </c>
      <c r="C18" s="9">
        <f>(C17)-(0)</f>
        <v>5400</v>
      </c>
      <c r="D18" s="9">
        <f>(B18)-(C18)</f>
        <v>1612.5699999999997</v>
      </c>
      <c r="E18" s="13">
        <f>IF(C18=0,"",(B18)/(C18))</f>
        <v>1.298624074074074</v>
      </c>
      <c r="F18" s="17"/>
      <c r="G18" s="9">
        <f>B18</f>
        <v>7012.57</v>
      </c>
      <c r="H18" s="9">
        <f>C18</f>
        <v>5400</v>
      </c>
      <c r="I18" s="9">
        <f>(G18)-(H18)</f>
        <v>1612.5699999999997</v>
      </c>
      <c r="J18" s="13">
        <f>IF(H18=0,"",(G18)/(H18))</f>
        <v>1.298624074074074</v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45</v>
      </c>
      <c r="B21" s="7"/>
      <c r="C21" s="7"/>
      <c r="D21" s="8"/>
      <c r="E21" s="12" t="str">
        <f t="shared" ref="E21:E26" si="0">IF(C21=0,"",(B21)/(C21))</f>
        <v/>
      </c>
      <c r="F21" s="28"/>
      <c r="G21" s="8"/>
      <c r="H21" s="8"/>
      <c r="I21" s="8"/>
      <c r="J21" s="12" t="str">
        <f t="shared" ref="J21:J37" si="1">IF(H21=0,"",(G21)/(H21))</f>
        <v/>
      </c>
    </row>
    <row r="22" spans="1:10" x14ac:dyDescent="0.2">
      <c r="A22" s="2" t="s">
        <v>44</v>
      </c>
      <c r="B22" s="8">
        <f>2790</f>
        <v>2790</v>
      </c>
      <c r="C22" s="8">
        <f>2790</f>
        <v>2790</v>
      </c>
      <c r="D22" s="8"/>
      <c r="E22" s="12">
        <f t="shared" si="0"/>
        <v>1</v>
      </c>
      <c r="F22" s="28"/>
      <c r="G22" s="8">
        <f>B22</f>
        <v>2790</v>
      </c>
      <c r="H22" s="8">
        <f>C22</f>
        <v>2790</v>
      </c>
      <c r="I22" s="8"/>
      <c r="J22" s="12">
        <f t="shared" si="1"/>
        <v>1</v>
      </c>
    </row>
    <row r="23" spans="1:10" x14ac:dyDescent="0.2">
      <c r="A23" s="2" t="s">
        <v>43</v>
      </c>
      <c r="B23" s="8">
        <f>2230</f>
        <v>2230</v>
      </c>
      <c r="C23" s="8">
        <f>2230</f>
        <v>2230</v>
      </c>
      <c r="D23" s="8"/>
      <c r="E23" s="12">
        <f t="shared" si="0"/>
        <v>1</v>
      </c>
      <c r="F23" s="28"/>
      <c r="G23" s="8">
        <f>B23</f>
        <v>2230</v>
      </c>
      <c r="H23" s="8">
        <f>C23</f>
        <v>2230</v>
      </c>
      <c r="I23" s="8"/>
      <c r="J23" s="12">
        <f t="shared" si="1"/>
        <v>1</v>
      </c>
    </row>
    <row r="24" spans="1:10" x14ac:dyDescent="0.2">
      <c r="A24" s="2" t="s">
        <v>42</v>
      </c>
      <c r="B24" s="8">
        <f>79.82</f>
        <v>79.819999999999993</v>
      </c>
      <c r="C24" s="8"/>
      <c r="D24" s="8">
        <f>(B24)-(C24)</f>
        <v>79.819999999999993</v>
      </c>
      <c r="E24" s="12" t="str">
        <f t="shared" si="0"/>
        <v/>
      </c>
      <c r="F24" s="28"/>
      <c r="G24" s="8">
        <f>B24</f>
        <v>79.819999999999993</v>
      </c>
      <c r="H24" s="8"/>
      <c r="I24" s="8">
        <f>(G24)-(H24)</f>
        <v>79.819999999999993</v>
      </c>
      <c r="J24" s="12" t="str">
        <f t="shared" si="1"/>
        <v/>
      </c>
    </row>
    <row r="25" spans="1:10" x14ac:dyDescent="0.2">
      <c r="A25" s="2" t="s">
        <v>41</v>
      </c>
      <c r="B25" s="8">
        <f>213.44</f>
        <v>213.44</v>
      </c>
      <c r="C25" s="7"/>
      <c r="D25" s="8">
        <f>(B25)-(C25)</f>
        <v>213.44</v>
      </c>
      <c r="E25" s="12" t="str">
        <f t="shared" si="0"/>
        <v/>
      </c>
      <c r="F25" s="28"/>
      <c r="G25" s="8">
        <f>B25</f>
        <v>213.44</v>
      </c>
      <c r="H25" s="8"/>
      <c r="I25" s="8">
        <f>(G25)-(H25)</f>
        <v>213.44</v>
      </c>
      <c r="J25" s="12" t="str">
        <f t="shared" si="1"/>
        <v/>
      </c>
    </row>
    <row r="26" spans="1:10" x14ac:dyDescent="0.2">
      <c r="A26" s="2" t="s">
        <v>40</v>
      </c>
      <c r="B26" s="9">
        <f>((((B21)+(B22))+(B23))+(B24))+(B25)</f>
        <v>5313.2599999999993</v>
      </c>
      <c r="C26" s="9">
        <f>((((C21)+(C22))+(C23))+(C24))+(C25)</f>
        <v>5020</v>
      </c>
      <c r="D26" s="9">
        <f>(B26)-(C26)</f>
        <v>293.25999999999931</v>
      </c>
      <c r="E26" s="13">
        <f t="shared" si="0"/>
        <v>1.058418326693227</v>
      </c>
      <c r="F26" s="17"/>
      <c r="G26" s="9">
        <f>B26</f>
        <v>5313.2599999999993</v>
      </c>
      <c r="H26" s="9">
        <f>C26</f>
        <v>5020</v>
      </c>
      <c r="I26" s="9">
        <f>(G26)-(H26)</f>
        <v>293.25999999999931</v>
      </c>
      <c r="J26" s="13">
        <f t="shared" si="1"/>
        <v>1.058418326693227</v>
      </c>
    </row>
    <row r="27" spans="1:10" x14ac:dyDescent="0.2">
      <c r="A27" s="2" t="s">
        <v>39</v>
      </c>
      <c r="B27" s="7"/>
      <c r="C27" s="7"/>
      <c r="D27" s="8"/>
      <c r="E27" s="12"/>
      <c r="F27" s="28"/>
      <c r="G27" s="8"/>
      <c r="H27" s="8"/>
      <c r="I27" s="8"/>
      <c r="J27" s="12" t="str">
        <f t="shared" si="1"/>
        <v/>
      </c>
    </row>
    <row r="28" spans="1:10" x14ac:dyDescent="0.2">
      <c r="A28" s="2" t="s">
        <v>38</v>
      </c>
      <c r="B28" s="8">
        <f>238.16</f>
        <v>238.16</v>
      </c>
      <c r="C28" s="7"/>
      <c r="D28" s="8">
        <f>(B28)-(C28)</f>
        <v>238.16</v>
      </c>
      <c r="E28" s="12" t="str">
        <f>IF(C28=0,"",(B28)/(C28))</f>
        <v/>
      </c>
      <c r="F28" s="28"/>
      <c r="G28" s="8">
        <f>B28</f>
        <v>238.16</v>
      </c>
      <c r="H28" s="8"/>
      <c r="I28" s="8">
        <f>(G28)-(H28)</f>
        <v>238.16</v>
      </c>
      <c r="J28" s="12" t="str">
        <f t="shared" si="1"/>
        <v/>
      </c>
    </row>
    <row r="29" spans="1:10" x14ac:dyDescent="0.2">
      <c r="A29" s="2" t="s">
        <v>37</v>
      </c>
      <c r="B29" s="9">
        <f>(B27)+(B28)</f>
        <v>238.16</v>
      </c>
      <c r="C29" s="9">
        <f>(C27)+(C28)</f>
        <v>0</v>
      </c>
      <c r="D29" s="9">
        <f>(B29)-(C29)</f>
        <v>238.16</v>
      </c>
      <c r="E29" s="13" t="str">
        <f>IF(C29=0,"",(B29)/(C29))</f>
        <v/>
      </c>
      <c r="F29" s="17"/>
      <c r="G29" s="9">
        <f>B29</f>
        <v>238.16</v>
      </c>
      <c r="H29" s="9">
        <f>C29</f>
        <v>0</v>
      </c>
      <c r="I29" s="9">
        <f>(G29)-(H29)</f>
        <v>238.16</v>
      </c>
      <c r="J29" s="13" t="str">
        <f t="shared" si="1"/>
        <v/>
      </c>
    </row>
    <row r="30" spans="1:10" x14ac:dyDescent="0.2">
      <c r="A30" s="2" t="s">
        <v>36</v>
      </c>
      <c r="B30" s="7"/>
      <c r="C30" s="7"/>
      <c r="D30" s="8"/>
      <c r="E30" s="12"/>
      <c r="F30" s="28"/>
      <c r="G30" s="8"/>
      <c r="H30" s="8"/>
      <c r="I30" s="8"/>
      <c r="J30" s="12" t="str">
        <f t="shared" si="1"/>
        <v/>
      </c>
    </row>
    <row r="31" spans="1:10" x14ac:dyDescent="0.2">
      <c r="A31" s="2" t="s">
        <v>35</v>
      </c>
      <c r="B31" s="8">
        <f>180</f>
        <v>180</v>
      </c>
      <c r="C31" s="7"/>
      <c r="D31" s="8">
        <f>(B31)-(C31)</f>
        <v>180</v>
      </c>
      <c r="E31" s="12" t="str">
        <f>IF(C31=0,"",(B31)/(C31))</f>
        <v/>
      </c>
      <c r="F31" s="28"/>
      <c r="G31" s="8">
        <f>B31</f>
        <v>180</v>
      </c>
      <c r="H31" s="8"/>
      <c r="I31" s="8">
        <f>(G31)-(H31)</f>
        <v>180</v>
      </c>
      <c r="J31" s="12" t="str">
        <f t="shared" si="1"/>
        <v/>
      </c>
    </row>
    <row r="32" spans="1:10" x14ac:dyDescent="0.2">
      <c r="A32" s="2" t="s">
        <v>29</v>
      </c>
      <c r="B32" s="8">
        <f>75</f>
        <v>75</v>
      </c>
      <c r="C32" s="7"/>
      <c r="D32" s="8">
        <f>(B32)-(C32)</f>
        <v>75</v>
      </c>
      <c r="E32" s="12" t="str">
        <f>IF(C32=0,"",(B32)/(C32))</f>
        <v/>
      </c>
      <c r="F32" s="28"/>
      <c r="G32" s="8">
        <f>B32</f>
        <v>75</v>
      </c>
      <c r="H32" s="8"/>
      <c r="I32" s="8">
        <f>(G32)-(H32)</f>
        <v>75</v>
      </c>
      <c r="J32" s="12" t="str">
        <f t="shared" si="1"/>
        <v/>
      </c>
    </row>
    <row r="33" spans="1:10" x14ac:dyDescent="0.2">
      <c r="A33" s="2" t="s">
        <v>28</v>
      </c>
      <c r="B33" s="9">
        <f>((B30)+(B31))+(B32)</f>
        <v>255</v>
      </c>
      <c r="C33" s="9">
        <f>((C30)+(C31))+(C32)</f>
        <v>0</v>
      </c>
      <c r="D33" s="9">
        <f>(B33)-(C33)</f>
        <v>255</v>
      </c>
      <c r="E33" s="13" t="str">
        <f>IF(C33=0,"",(B33)/(C33))</f>
        <v/>
      </c>
      <c r="F33" s="17"/>
      <c r="G33" s="9">
        <f>B33</f>
        <v>255</v>
      </c>
      <c r="H33" s="9">
        <f>C33</f>
        <v>0</v>
      </c>
      <c r="I33" s="9">
        <f>(G33)-(H33)</f>
        <v>255</v>
      </c>
      <c r="J33" s="13" t="str">
        <f t="shared" si="1"/>
        <v/>
      </c>
    </row>
    <row r="34" spans="1:10" x14ac:dyDescent="0.2">
      <c r="A34" s="2" t="s">
        <v>15</v>
      </c>
      <c r="B34" s="7"/>
      <c r="C34" s="7"/>
      <c r="D34" s="8"/>
      <c r="E34" s="12"/>
      <c r="F34" s="28"/>
      <c r="G34" s="8"/>
      <c r="H34" s="8"/>
      <c r="I34" s="8"/>
      <c r="J34" s="12" t="str">
        <f t="shared" si="1"/>
        <v/>
      </c>
    </row>
    <row r="35" spans="1:10" x14ac:dyDescent="0.2">
      <c r="A35" s="2" t="s">
        <v>14</v>
      </c>
      <c r="B35" s="8">
        <f>52</f>
        <v>52</v>
      </c>
      <c r="C35" s="7"/>
      <c r="D35" s="8">
        <f>(B35)-(C35)</f>
        <v>52</v>
      </c>
      <c r="E35" s="12" t="str">
        <f>IF(C35=0,"",(B35)/(C35))</f>
        <v/>
      </c>
      <c r="F35" s="28"/>
      <c r="G35" s="8">
        <f>B35</f>
        <v>52</v>
      </c>
      <c r="H35" s="8"/>
      <c r="I35" s="8">
        <f>(G35)-(H35)</f>
        <v>52</v>
      </c>
      <c r="J35" s="12" t="str">
        <f t="shared" si="1"/>
        <v/>
      </c>
    </row>
    <row r="36" spans="1:10" x14ac:dyDescent="0.2">
      <c r="A36" s="2" t="s">
        <v>9</v>
      </c>
      <c r="B36" s="7"/>
      <c r="C36" s="8">
        <f>600</f>
        <v>600</v>
      </c>
      <c r="D36" s="8">
        <f>(B36)-(C36)</f>
        <v>-600</v>
      </c>
      <c r="E36" s="12">
        <f>IF(C36=0,"",(B36)/(C36))</f>
        <v>0</v>
      </c>
      <c r="F36" s="28"/>
      <c r="G36" s="8"/>
      <c r="H36" s="8">
        <f>C36</f>
        <v>600</v>
      </c>
      <c r="I36" s="8">
        <f>(G36)-(H36)</f>
        <v>-600</v>
      </c>
      <c r="J36" s="12">
        <f t="shared" si="1"/>
        <v>0</v>
      </c>
    </row>
    <row r="37" spans="1:10" x14ac:dyDescent="0.2">
      <c r="A37" s="2" t="s">
        <v>8</v>
      </c>
      <c r="B37" s="9">
        <f>((B34)+(B35))+(B36)</f>
        <v>52</v>
      </c>
      <c r="C37" s="9">
        <f>((C34)+(C35))+(C36)</f>
        <v>600</v>
      </c>
      <c r="D37" s="9">
        <f>(B37)-(C37)</f>
        <v>-548</v>
      </c>
      <c r="E37" s="13">
        <f>IF(C37=0,"",(B37)/(C37))</f>
        <v>8.666666666666667E-2</v>
      </c>
      <c r="F37" s="17"/>
      <c r="G37" s="9">
        <f>B37</f>
        <v>52</v>
      </c>
      <c r="H37" s="9">
        <f>C37</f>
        <v>600</v>
      </c>
      <c r="I37" s="9">
        <f>(G37)-(H37)</f>
        <v>-548</v>
      </c>
      <c r="J37" s="13">
        <f t="shared" si="1"/>
        <v>8.666666666666667E-2</v>
      </c>
    </row>
    <row r="38" spans="1:10" x14ac:dyDescent="0.2">
      <c r="A38" s="2"/>
      <c r="B38" s="20"/>
      <c r="C38" s="20"/>
      <c r="D38" s="20"/>
      <c r="E38" s="21"/>
      <c r="F38" s="17"/>
      <c r="G38" s="20"/>
      <c r="H38" s="20"/>
      <c r="I38" s="20"/>
      <c r="J38" s="21"/>
    </row>
    <row r="39" spans="1:10" x14ac:dyDescent="0.2">
      <c r="A39" s="2" t="s">
        <v>7</v>
      </c>
      <c r="B39" s="9">
        <f>(((B26)+(B29))+(B33))+(B37)</f>
        <v>5858.4199999999992</v>
      </c>
      <c r="C39" s="9">
        <f>(((C26)+(C29))+(C33))+(C37)</f>
        <v>5620</v>
      </c>
      <c r="D39" s="9">
        <f>(B39)-(C39)</f>
        <v>238.41999999999916</v>
      </c>
      <c r="E39" s="13">
        <f>IF(C39=0,"",(B39)/(C39))</f>
        <v>1.0424234875444838</v>
      </c>
      <c r="F39" s="17"/>
      <c r="G39" s="9">
        <f>B39</f>
        <v>5858.4199999999992</v>
      </c>
      <c r="H39" s="9">
        <f>C39</f>
        <v>5620</v>
      </c>
      <c r="I39" s="9">
        <f>(G39)-(H39)</f>
        <v>238.41999999999916</v>
      </c>
      <c r="J39" s="13">
        <f>IF(H39=0,"",(G39)/(H39))</f>
        <v>1.0424234875444838</v>
      </c>
    </row>
    <row r="40" spans="1:10" x14ac:dyDescent="0.2">
      <c r="A40" s="2"/>
      <c r="B40" s="9"/>
      <c r="C40" s="9"/>
      <c r="D40" s="9"/>
      <c r="E40" s="13"/>
      <c r="F40" s="17"/>
      <c r="G40" s="9"/>
      <c r="H40" s="9"/>
      <c r="I40" s="9"/>
      <c r="J40" s="13"/>
    </row>
    <row r="41" spans="1:10" x14ac:dyDescent="0.2">
      <c r="A41" s="2" t="s">
        <v>6</v>
      </c>
      <c r="B41" s="9">
        <f>(B18)-(B39)</f>
        <v>1154.1500000000005</v>
      </c>
      <c r="C41" s="9">
        <f>(C18)-(C39)</f>
        <v>-220</v>
      </c>
      <c r="D41" s="9">
        <f>(B41)-(C41)</f>
        <v>1374.1500000000005</v>
      </c>
      <c r="E41" s="13">
        <f>IF(C41=0,"",(B41)/(C41))</f>
        <v>-5.2461363636363663</v>
      </c>
      <c r="F41" s="17"/>
      <c r="G41" s="9">
        <f>B41</f>
        <v>1154.1500000000005</v>
      </c>
      <c r="H41" s="9">
        <f>C41</f>
        <v>-220</v>
      </c>
      <c r="I41" s="9">
        <f>(G41)-(H41)</f>
        <v>1374.1500000000005</v>
      </c>
      <c r="J41" s="13">
        <f>IF(H41=0,"",(G41)/(H41))</f>
        <v>-5.2461363636363663</v>
      </c>
    </row>
    <row r="42" spans="1:10" x14ac:dyDescent="0.2">
      <c r="A42" s="2"/>
      <c r="B42" s="16"/>
      <c r="C42" s="16"/>
      <c r="D42" s="16"/>
      <c r="E42" s="17"/>
      <c r="F42" s="17"/>
      <c r="G42" s="16"/>
      <c r="H42" s="16"/>
      <c r="I42" s="16"/>
      <c r="J42" s="17"/>
    </row>
    <row r="43" spans="1:10" x14ac:dyDescent="0.2">
      <c r="A43" s="2" t="s">
        <v>5</v>
      </c>
      <c r="B43" s="7"/>
      <c r="C43" s="7"/>
      <c r="D43" s="7"/>
      <c r="E43" s="11"/>
      <c r="F43" s="27"/>
      <c r="G43" s="7"/>
      <c r="H43" s="7"/>
      <c r="I43" s="7"/>
      <c r="J43" s="11"/>
    </row>
    <row r="44" spans="1:10" x14ac:dyDescent="0.2">
      <c r="A44" s="2" t="s">
        <v>4</v>
      </c>
      <c r="B44" s="8">
        <f>5750.85</f>
        <v>5750.85</v>
      </c>
      <c r="C44" s="7"/>
      <c r="D44" s="8">
        <f>(B44)-(C44)</f>
        <v>5750.85</v>
      </c>
      <c r="E44" s="12" t="str">
        <f>IF(C44=0,"",(B44)/(C44))</f>
        <v/>
      </c>
      <c r="F44" s="28"/>
      <c r="G44" s="8">
        <f>B44</f>
        <v>5750.85</v>
      </c>
      <c r="H44" s="8"/>
      <c r="I44" s="8">
        <f>(G44)-(H44)</f>
        <v>5750.85</v>
      </c>
      <c r="J44" s="12" t="str">
        <f>IF(H44=0,"",(G44)/(H44))</f>
        <v/>
      </c>
    </row>
    <row r="45" spans="1:10" hidden="1" x14ac:dyDescent="0.2">
      <c r="A45" s="2" t="s">
        <v>3</v>
      </c>
      <c r="B45" s="9">
        <f>B44</f>
        <v>5750.85</v>
      </c>
      <c r="C45" s="9">
        <f>C44</f>
        <v>0</v>
      </c>
      <c r="D45" s="9">
        <f>(B45)-(C45)</f>
        <v>5750.85</v>
      </c>
      <c r="E45" s="13" t="str">
        <f>IF(C45=0,"",(B45)/(C45))</f>
        <v/>
      </c>
      <c r="F45" s="17"/>
      <c r="G45" s="9">
        <f>B45</f>
        <v>5750.85</v>
      </c>
      <c r="H45" s="9">
        <f>C45</f>
        <v>0</v>
      </c>
      <c r="I45" s="9">
        <f>(G45)-(H45)</f>
        <v>5750.85</v>
      </c>
      <c r="J45" s="13" t="str">
        <f>IF(H45=0,"",(G45)/(H45))</f>
        <v/>
      </c>
    </row>
    <row r="46" spans="1:10" x14ac:dyDescent="0.2">
      <c r="A46" s="2" t="s">
        <v>2</v>
      </c>
      <c r="B46" s="9">
        <f>(B45)-(0)</f>
        <v>5750.85</v>
      </c>
      <c r="C46" s="9">
        <f>(C45)-(0)</f>
        <v>0</v>
      </c>
      <c r="D46" s="9">
        <f>(B46)-(C46)</f>
        <v>5750.85</v>
      </c>
      <c r="E46" s="13" t="str">
        <f>IF(C46=0,"",(B46)/(C46))</f>
        <v/>
      </c>
      <c r="F46" s="17"/>
      <c r="G46" s="9">
        <f>B46</f>
        <v>5750.85</v>
      </c>
      <c r="H46" s="9">
        <f>C46</f>
        <v>0</v>
      </c>
      <c r="I46" s="9">
        <f>(G46)-(H46)</f>
        <v>5750.85</v>
      </c>
      <c r="J46" s="13" t="str">
        <f>IF(H46=0,"",(G46)/(H46))</f>
        <v/>
      </c>
    </row>
    <row r="47" spans="1:10" x14ac:dyDescent="0.2">
      <c r="A47" s="2"/>
      <c r="B47" s="16"/>
      <c r="C47" s="16"/>
      <c r="D47" s="16"/>
      <c r="E47" s="17"/>
      <c r="F47" s="17"/>
      <c r="G47" s="16"/>
      <c r="H47" s="16"/>
      <c r="I47" s="16"/>
      <c r="J47" s="17"/>
    </row>
    <row r="48" spans="1:10" ht="16" thickBot="1" x14ac:dyDescent="0.25">
      <c r="A48" s="2" t="s">
        <v>1</v>
      </c>
      <c r="B48" s="22">
        <f>(B41)+(B46)</f>
        <v>6905.0000000000009</v>
      </c>
      <c r="C48" s="22">
        <f>(C41)+(C46)</f>
        <v>-220</v>
      </c>
      <c r="D48" s="22">
        <f>(B48)-(C48)</f>
        <v>7125.0000000000009</v>
      </c>
      <c r="E48" s="23">
        <f>IF(C48=0,"",(B48)/(C48))</f>
        <v>-31.38636363636364</v>
      </c>
      <c r="F48" s="17"/>
      <c r="G48" s="22">
        <f>B48</f>
        <v>6905.0000000000009</v>
      </c>
      <c r="H48" s="22">
        <f>C48</f>
        <v>-220</v>
      </c>
      <c r="I48" s="22">
        <f>(G48)-(H48)</f>
        <v>7125.0000000000009</v>
      </c>
      <c r="J48" s="23">
        <f>IF(H48=0,"",(G48)/(H48))</f>
        <v>-31.38636363636364</v>
      </c>
    </row>
    <row r="49" spans="1:10" ht="17" thickTop="1" thickBot="1" x14ac:dyDescent="0.25">
      <c r="A49" s="2"/>
      <c r="B49" s="7"/>
      <c r="C49" s="7"/>
      <c r="D49" s="7"/>
      <c r="E49" s="11"/>
      <c r="F49" s="27"/>
      <c r="G49" s="7"/>
      <c r="H49" s="7"/>
      <c r="I49" s="7"/>
      <c r="J49" s="11"/>
    </row>
    <row r="50" spans="1:10" ht="16" thickBot="1" x14ac:dyDescent="0.25">
      <c r="A50" s="30" t="s">
        <v>75</v>
      </c>
      <c r="B50" s="24"/>
      <c r="C50" s="24"/>
      <c r="D50" s="24"/>
      <c r="E50" s="25"/>
      <c r="F50" s="29"/>
      <c r="G50" s="31">
        <f>G7+G48</f>
        <v>13755.800000000001</v>
      </c>
      <c r="H50" s="24"/>
      <c r="I50" s="24"/>
      <c r="J50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7E73-6FC6-458F-AE26-092B582276F6}">
  <sheetPr>
    <pageSetUpPr fitToPage="1"/>
  </sheetPr>
  <dimension ref="A1:J44"/>
  <sheetViews>
    <sheetView workbookViewId="0">
      <selection activeCell="A2" sqref="A2:J2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79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-4411.8599999999997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 t="str">
        <f t="shared" ref="J10:J15" si="0">IF(H10=0,"",(G10)/(H10))</f>
        <v/>
      </c>
    </row>
    <row r="11" spans="1:10" x14ac:dyDescent="0.2">
      <c r="A11" s="2" t="s">
        <v>53</v>
      </c>
      <c r="B11" s="8">
        <f>3055</f>
        <v>3055</v>
      </c>
      <c r="C11" s="8">
        <f>6300</f>
        <v>6300</v>
      </c>
      <c r="D11" s="8">
        <f>(B11)-(C11)</f>
        <v>-3245</v>
      </c>
      <c r="E11" s="12">
        <f>IF(C11=0,"",(B11)/(C11))</f>
        <v>0.48492063492063492</v>
      </c>
      <c r="F11" s="28"/>
      <c r="G11" s="8">
        <f>B11</f>
        <v>3055</v>
      </c>
      <c r="H11" s="8">
        <f>C11</f>
        <v>6300</v>
      </c>
      <c r="I11" s="8">
        <f>(G11)-(H11)</f>
        <v>-3245</v>
      </c>
      <c r="J11" s="12">
        <f t="shared" si="0"/>
        <v>0.48492063492063492</v>
      </c>
    </row>
    <row r="12" spans="1:10" x14ac:dyDescent="0.2">
      <c r="A12" s="2" t="s">
        <v>52</v>
      </c>
      <c r="B12" s="9">
        <f>(B10)+(B11)</f>
        <v>3055</v>
      </c>
      <c r="C12" s="9">
        <f>(C10)+(C11)</f>
        <v>6300</v>
      </c>
      <c r="D12" s="9">
        <f>(B12)-(C12)</f>
        <v>-3245</v>
      </c>
      <c r="E12" s="13">
        <f>IF(C12=0,"",(B12)/(C12))</f>
        <v>0.48492063492063492</v>
      </c>
      <c r="F12" s="17"/>
      <c r="G12" s="9">
        <f>B12</f>
        <v>3055</v>
      </c>
      <c r="H12" s="9">
        <f>C12</f>
        <v>6300</v>
      </c>
      <c r="I12" s="9">
        <f>(G12)-(H12)</f>
        <v>-3245</v>
      </c>
      <c r="J12" s="13">
        <f t="shared" si="0"/>
        <v>0.48492063492063492</v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 t="str">
        <f t="shared" si="0"/>
        <v/>
      </c>
    </row>
    <row r="14" spans="1:10" x14ac:dyDescent="0.2">
      <c r="A14" s="2" t="s">
        <v>50</v>
      </c>
      <c r="B14" s="8">
        <f>-305.5</f>
        <v>-305.5</v>
      </c>
      <c r="C14" s="8">
        <f>-63</f>
        <v>-63</v>
      </c>
      <c r="D14" s="8">
        <f>(B14)-(C14)</f>
        <v>-242.5</v>
      </c>
      <c r="E14" s="12">
        <f>IF(C14=0,"",(B14)/(C14))</f>
        <v>4.8492063492063489</v>
      </c>
      <c r="F14" s="28"/>
      <c r="G14" s="8">
        <f>B14</f>
        <v>-305.5</v>
      </c>
      <c r="H14" s="8">
        <f>C14</f>
        <v>-63</v>
      </c>
      <c r="I14" s="8">
        <f>(G14)-(H14)</f>
        <v>-242.5</v>
      </c>
      <c r="J14" s="12">
        <f t="shared" si="0"/>
        <v>4.8492063492063489</v>
      </c>
    </row>
    <row r="15" spans="1:10" x14ac:dyDescent="0.2">
      <c r="A15" s="2" t="s">
        <v>49</v>
      </c>
      <c r="B15" s="9">
        <f>(B13)+(B14)</f>
        <v>-305.5</v>
      </c>
      <c r="C15" s="9">
        <f>(C13)+(C14)</f>
        <v>-63</v>
      </c>
      <c r="D15" s="9">
        <f>(B15)-(C15)</f>
        <v>-242.5</v>
      </c>
      <c r="E15" s="13">
        <f>IF(C15=0,"",(B15)/(C15))</f>
        <v>4.8492063492063489</v>
      </c>
      <c r="F15" s="17"/>
      <c r="G15" s="9">
        <f>B15</f>
        <v>-305.5</v>
      </c>
      <c r="H15" s="9">
        <f>C15</f>
        <v>-63</v>
      </c>
      <c r="I15" s="9">
        <f>(G15)-(H15)</f>
        <v>-242.5</v>
      </c>
      <c r="J15" s="13">
        <f t="shared" si="0"/>
        <v>4.8492063492063489</v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2749.5</v>
      </c>
      <c r="C17" s="18">
        <f>(C12)+(C15)</f>
        <v>6237</v>
      </c>
      <c r="D17" s="18">
        <f>(B17)-(C17)</f>
        <v>-3487.5</v>
      </c>
      <c r="E17" s="19">
        <f>IF(C17=0,"",(B17)/(C17))</f>
        <v>0.44083694083694086</v>
      </c>
      <c r="F17" s="17"/>
      <c r="G17" s="18">
        <f>B17</f>
        <v>2749.5</v>
      </c>
      <c r="H17" s="18">
        <f>C17</f>
        <v>6237</v>
      </c>
      <c r="I17" s="18">
        <f>(G17)-(H17)</f>
        <v>-3487.5</v>
      </c>
      <c r="J17" s="19">
        <f>IF(H17=0,"",(G17)/(H17))</f>
        <v>0.44083694083694086</v>
      </c>
    </row>
    <row r="18" spans="1:10" hidden="1" x14ac:dyDescent="0.2">
      <c r="A18" s="2" t="s">
        <v>47</v>
      </c>
      <c r="B18" s="9">
        <f>(B17)-(0)</f>
        <v>2749.5</v>
      </c>
      <c r="C18" s="9">
        <f>(C17)-(0)</f>
        <v>6237</v>
      </c>
      <c r="D18" s="9">
        <f>(B18)-(C18)</f>
        <v>-3487.5</v>
      </c>
      <c r="E18" s="13">
        <f>IF(C18=0,"",(B18)/(C18))</f>
        <v>0.44083694083694086</v>
      </c>
      <c r="F18" s="17"/>
      <c r="G18" s="9">
        <f>B18</f>
        <v>2749.5</v>
      </c>
      <c r="H18" s="9">
        <f>C18</f>
        <v>6237</v>
      </c>
      <c r="I18" s="9">
        <f>(G18)-(H18)</f>
        <v>-3487.5</v>
      </c>
      <c r="J18" s="13">
        <f>IF(H18=0,"",(G18)/(H18))</f>
        <v>0.44083694083694086</v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45</v>
      </c>
      <c r="B21" s="7"/>
      <c r="C21" s="7"/>
      <c r="D21" s="8"/>
      <c r="E21" s="12" t="str">
        <f>IF(C21=0,"",(B21)/(C21))</f>
        <v/>
      </c>
      <c r="F21" s="28"/>
      <c r="G21" s="8"/>
      <c r="H21" s="8"/>
      <c r="I21" s="8"/>
      <c r="J21" s="12" t="str">
        <f t="shared" ref="J21:J31" si="1">IF(H21=0,"",(G21)/(H21))</f>
        <v/>
      </c>
    </row>
    <row r="22" spans="1:10" x14ac:dyDescent="0.2">
      <c r="A22" s="2" t="s">
        <v>44</v>
      </c>
      <c r="B22" s="8">
        <f>1500</f>
        <v>1500</v>
      </c>
      <c r="C22" s="8">
        <f>1500</f>
        <v>1500</v>
      </c>
      <c r="D22" s="8"/>
      <c r="E22" s="12">
        <f>IF(C22=0,"",(B22)/(C22))</f>
        <v>1</v>
      </c>
      <c r="F22" s="28"/>
      <c r="G22" s="8">
        <f>B22</f>
        <v>1500</v>
      </c>
      <c r="H22" s="8">
        <f>C22</f>
        <v>1500</v>
      </c>
      <c r="I22" s="8"/>
      <c r="J22" s="12">
        <f t="shared" si="1"/>
        <v>1</v>
      </c>
    </row>
    <row r="23" spans="1:10" x14ac:dyDescent="0.2">
      <c r="A23" s="2" t="s">
        <v>43</v>
      </c>
      <c r="B23" s="8">
        <f>4500</f>
        <v>4500</v>
      </c>
      <c r="C23" s="8">
        <f>4500</f>
        <v>4500</v>
      </c>
      <c r="D23" s="8"/>
      <c r="E23" s="12">
        <f>IF(C23=0,"",(B23)/(C23))</f>
        <v>1</v>
      </c>
      <c r="F23" s="28"/>
      <c r="G23" s="8">
        <f>B23</f>
        <v>4500</v>
      </c>
      <c r="H23" s="8">
        <f>C23</f>
        <v>4500</v>
      </c>
      <c r="I23" s="8"/>
      <c r="J23" s="12">
        <f t="shared" si="1"/>
        <v>1</v>
      </c>
    </row>
    <row r="24" spans="1:10" x14ac:dyDescent="0.2">
      <c r="A24" s="2" t="s">
        <v>42</v>
      </c>
      <c r="B24" s="8">
        <f>64.8</f>
        <v>64.8</v>
      </c>
      <c r="C24" s="8"/>
      <c r="D24" s="8">
        <f>(B24)-(C24)</f>
        <v>64.8</v>
      </c>
      <c r="E24" s="12" t="str">
        <f>IF(C24=0,"",(B24)/(C24))</f>
        <v/>
      </c>
      <c r="F24" s="28"/>
      <c r="G24" s="8">
        <f>B24</f>
        <v>64.8</v>
      </c>
      <c r="H24" s="8"/>
      <c r="I24" s="8">
        <f>(G24)-(H24)</f>
        <v>64.8</v>
      </c>
      <c r="J24" s="12" t="str">
        <f t="shared" si="1"/>
        <v/>
      </c>
    </row>
    <row r="25" spans="1:10" x14ac:dyDescent="0.2">
      <c r="A25" s="2" t="s">
        <v>40</v>
      </c>
      <c r="B25" s="9">
        <f>(((B21)+(B22))+(B23))+(B24)</f>
        <v>6064.8</v>
      </c>
      <c r="C25" s="9">
        <f>(((C21)+(C22))+(C23))+(C24)</f>
        <v>6000</v>
      </c>
      <c r="D25" s="9">
        <f>(B25)-(C25)</f>
        <v>64.800000000000182</v>
      </c>
      <c r="E25" s="13">
        <f>IF(C25=0,"",(B25)/(C25))</f>
        <v>1.0107999999999999</v>
      </c>
      <c r="F25" s="17"/>
      <c r="G25" s="9">
        <f>B25</f>
        <v>6064.8</v>
      </c>
      <c r="H25" s="9">
        <f>C25</f>
        <v>6000</v>
      </c>
      <c r="I25" s="9">
        <f>(G25)-(H25)</f>
        <v>64.800000000000182</v>
      </c>
      <c r="J25" s="13">
        <f t="shared" si="1"/>
        <v>1.0107999999999999</v>
      </c>
    </row>
    <row r="26" spans="1:10" x14ac:dyDescent="0.2">
      <c r="A26" s="2" t="s">
        <v>24</v>
      </c>
      <c r="B26" s="7"/>
      <c r="C26" s="7"/>
      <c r="D26" s="8"/>
      <c r="E26" s="12"/>
      <c r="F26" s="28"/>
      <c r="G26" s="8"/>
      <c r="H26" s="8"/>
      <c r="I26" s="8"/>
      <c r="J26" s="12" t="str">
        <f t="shared" si="1"/>
        <v/>
      </c>
    </row>
    <row r="27" spans="1:10" x14ac:dyDescent="0.2">
      <c r="A27" s="2" t="s">
        <v>60</v>
      </c>
      <c r="B27" s="7"/>
      <c r="C27" s="8">
        <f>60</f>
        <v>60</v>
      </c>
      <c r="D27" s="8">
        <f>(B27)-(C27)</f>
        <v>-60</v>
      </c>
      <c r="E27" s="12">
        <f>IF(C27=0,"",(B27)/(C27))</f>
        <v>0</v>
      </c>
      <c r="F27" s="28"/>
      <c r="G27" s="8"/>
      <c r="H27" s="8">
        <f>C27</f>
        <v>60</v>
      </c>
      <c r="I27" s="8">
        <f>(G27)-(H27)</f>
        <v>-60</v>
      </c>
      <c r="J27" s="12">
        <f t="shared" si="1"/>
        <v>0</v>
      </c>
    </row>
    <row r="28" spans="1:10" x14ac:dyDescent="0.2">
      <c r="A28" s="2" t="s">
        <v>20</v>
      </c>
      <c r="B28" s="9">
        <f>(B26)+(B27)</f>
        <v>0</v>
      </c>
      <c r="C28" s="9">
        <f>(C26)+(C27)</f>
        <v>60</v>
      </c>
      <c r="D28" s="9">
        <f>(B28)-(C28)</f>
        <v>-60</v>
      </c>
      <c r="E28" s="13">
        <f>IF(C28=0,"",(B28)/(C28))</f>
        <v>0</v>
      </c>
      <c r="F28" s="17"/>
      <c r="G28" s="9">
        <f>B28</f>
        <v>0</v>
      </c>
      <c r="H28" s="9">
        <f>C28</f>
        <v>60</v>
      </c>
      <c r="I28" s="9">
        <f>(G28)-(H28)</f>
        <v>-60</v>
      </c>
      <c r="J28" s="13">
        <f t="shared" si="1"/>
        <v>0</v>
      </c>
    </row>
    <row r="29" spans="1:10" x14ac:dyDescent="0.2">
      <c r="A29" s="2" t="s">
        <v>15</v>
      </c>
      <c r="B29" s="7"/>
      <c r="C29" s="7"/>
      <c r="D29" s="8"/>
      <c r="E29" s="12"/>
      <c r="F29" s="28"/>
      <c r="G29" s="8"/>
      <c r="H29" s="8"/>
      <c r="I29" s="8"/>
      <c r="J29" s="12" t="str">
        <f t="shared" si="1"/>
        <v/>
      </c>
    </row>
    <row r="30" spans="1:10" x14ac:dyDescent="0.2">
      <c r="A30" s="2" t="s">
        <v>13</v>
      </c>
      <c r="B30" s="8">
        <f>59</f>
        <v>59</v>
      </c>
      <c r="C30" s="8">
        <f>59</f>
        <v>59</v>
      </c>
      <c r="D30" s="8"/>
      <c r="E30" s="12">
        <f>IF(C30=0,"",(B30)/(C30))</f>
        <v>1</v>
      </c>
      <c r="F30" s="28"/>
      <c r="G30" s="8">
        <f>B30</f>
        <v>59</v>
      </c>
      <c r="H30" s="8">
        <f>C30</f>
        <v>59</v>
      </c>
      <c r="I30" s="8"/>
      <c r="J30" s="12">
        <f t="shared" si="1"/>
        <v>1</v>
      </c>
    </row>
    <row r="31" spans="1:10" x14ac:dyDescent="0.2">
      <c r="A31" s="2" t="s">
        <v>8</v>
      </c>
      <c r="B31" s="9">
        <f>(B29)+(B30)</f>
        <v>59</v>
      </c>
      <c r="C31" s="9">
        <f>(C29)+(C30)</f>
        <v>59</v>
      </c>
      <c r="D31" s="9">
        <f>(B31)-(C31)</f>
        <v>0</v>
      </c>
      <c r="E31" s="13">
        <f>IF(C31=0,"",(B31)/(C31))</f>
        <v>1</v>
      </c>
      <c r="F31" s="17"/>
      <c r="G31" s="9">
        <f>B31</f>
        <v>59</v>
      </c>
      <c r="H31" s="9">
        <f>C31</f>
        <v>59</v>
      </c>
      <c r="I31" s="9">
        <f>(G31)-(H31)</f>
        <v>0</v>
      </c>
      <c r="J31" s="13">
        <f t="shared" si="1"/>
        <v>1</v>
      </c>
    </row>
    <row r="32" spans="1:10" x14ac:dyDescent="0.2">
      <c r="A32" s="2"/>
      <c r="B32" s="20"/>
      <c r="C32" s="20"/>
      <c r="D32" s="20"/>
      <c r="E32" s="21"/>
      <c r="F32" s="17"/>
      <c r="G32" s="20"/>
      <c r="H32" s="20"/>
      <c r="I32" s="20"/>
      <c r="J32" s="21"/>
    </row>
    <row r="33" spans="1:10" x14ac:dyDescent="0.2">
      <c r="A33" s="2" t="s">
        <v>7</v>
      </c>
      <c r="B33" s="9">
        <f>((B25)+(B28))+(B31)</f>
        <v>6123.8</v>
      </c>
      <c r="C33" s="9">
        <f>((C25)+(C28))+(C31)</f>
        <v>6119</v>
      </c>
      <c r="D33" s="9">
        <f>(B33)-(C33)</f>
        <v>4.8000000000001819</v>
      </c>
      <c r="E33" s="13">
        <f>IF(C33=0,"",(B33)/(C33))</f>
        <v>1.0007844419022716</v>
      </c>
      <c r="F33" s="17"/>
      <c r="G33" s="9">
        <f>B33</f>
        <v>6123.8</v>
      </c>
      <c r="H33" s="9">
        <f>C33</f>
        <v>6119</v>
      </c>
      <c r="I33" s="9">
        <f>(G33)-(H33)</f>
        <v>4.8000000000001819</v>
      </c>
      <c r="J33" s="13">
        <f>IF(H33=0,"",(G33)/(H33))</f>
        <v>1.0007844419022716</v>
      </c>
    </row>
    <row r="34" spans="1:10" x14ac:dyDescent="0.2">
      <c r="A34" s="2"/>
      <c r="B34" s="9"/>
      <c r="C34" s="9"/>
      <c r="D34" s="9"/>
      <c r="E34" s="13"/>
      <c r="F34" s="17"/>
      <c r="G34" s="9"/>
      <c r="H34" s="9"/>
      <c r="I34" s="9"/>
      <c r="J34" s="13"/>
    </row>
    <row r="35" spans="1:10" x14ac:dyDescent="0.2">
      <c r="A35" s="2" t="s">
        <v>6</v>
      </c>
      <c r="B35" s="9">
        <f>(B18)-(B33)</f>
        <v>-3374.3</v>
      </c>
      <c r="C35" s="9">
        <f>(C18)-(C33)</f>
        <v>118</v>
      </c>
      <c r="D35" s="9">
        <f>(B35)-(C35)</f>
        <v>-3492.3</v>
      </c>
      <c r="E35" s="13">
        <f>IF(C35=0,"",(B35)/(C35))</f>
        <v>-28.59576271186441</v>
      </c>
      <c r="F35" s="17"/>
      <c r="G35" s="9">
        <f>B35</f>
        <v>-3374.3</v>
      </c>
      <c r="H35" s="9">
        <f>C35</f>
        <v>118</v>
      </c>
      <c r="I35" s="9">
        <f>(G35)-(H35)</f>
        <v>-3492.3</v>
      </c>
      <c r="J35" s="13">
        <f>IF(H35=0,"",(G35)/(H35))</f>
        <v>-28.59576271186441</v>
      </c>
    </row>
    <row r="36" spans="1:10" x14ac:dyDescent="0.2">
      <c r="A36" s="2"/>
      <c r="B36" s="16"/>
      <c r="C36" s="16"/>
      <c r="D36" s="16"/>
      <c r="E36" s="17"/>
      <c r="F36" s="17"/>
      <c r="G36" s="16"/>
      <c r="H36" s="16"/>
      <c r="I36" s="16"/>
      <c r="J36" s="17"/>
    </row>
    <row r="37" spans="1:10" x14ac:dyDescent="0.2">
      <c r="A37" s="2" t="s">
        <v>5</v>
      </c>
      <c r="B37" s="7"/>
      <c r="C37" s="7"/>
      <c r="D37" s="7"/>
      <c r="E37" s="11"/>
      <c r="F37" s="27"/>
      <c r="G37" s="7"/>
      <c r="H37" s="7"/>
      <c r="I37" s="7"/>
      <c r="J37" s="11"/>
    </row>
    <row r="38" spans="1:10" x14ac:dyDescent="0.2">
      <c r="A38" s="2" t="s">
        <v>4</v>
      </c>
      <c r="B38" s="8">
        <f>5750.85</f>
        <v>5750.85</v>
      </c>
      <c r="C38" s="7"/>
      <c r="D38" s="8">
        <f>(B38)-(C38)</f>
        <v>5750.85</v>
      </c>
      <c r="E38" s="12" t="str">
        <f>IF(C38=0,"",(B38)/(C38))</f>
        <v/>
      </c>
      <c r="F38" s="28"/>
      <c r="G38" s="8">
        <f t="shared" ref="G38:H40" si="2">B38</f>
        <v>5750.85</v>
      </c>
      <c r="H38" s="8">
        <f t="shared" si="2"/>
        <v>0</v>
      </c>
      <c r="I38" s="8">
        <f>(G38)-(H38)</f>
        <v>5750.85</v>
      </c>
      <c r="J38" s="12" t="str">
        <f>IF(H38=0,"",(G38)/(H38))</f>
        <v/>
      </c>
    </row>
    <row r="39" spans="1:10" hidden="1" x14ac:dyDescent="0.2">
      <c r="A39" s="2" t="s">
        <v>3</v>
      </c>
      <c r="B39" s="9">
        <f>B38</f>
        <v>5750.85</v>
      </c>
      <c r="C39" s="9">
        <f>C38</f>
        <v>0</v>
      </c>
      <c r="D39" s="9">
        <f>(B39)-(C39)</f>
        <v>5750.85</v>
      </c>
      <c r="E39" s="13" t="str">
        <f>IF(C39=0,"",(B39)/(C39))</f>
        <v/>
      </c>
      <c r="F39" s="17"/>
      <c r="G39" s="9">
        <f t="shared" si="2"/>
        <v>5750.85</v>
      </c>
      <c r="H39" s="9">
        <f t="shared" si="2"/>
        <v>0</v>
      </c>
      <c r="I39" s="9">
        <f>(G39)-(H39)</f>
        <v>5750.85</v>
      </c>
      <c r="J39" s="13" t="str">
        <f>IF(H39=0,"",(G39)/(H39))</f>
        <v/>
      </c>
    </row>
    <row r="40" spans="1:10" x14ac:dyDescent="0.2">
      <c r="A40" s="2" t="s">
        <v>2</v>
      </c>
      <c r="B40" s="9">
        <f>(B39)-(0)</f>
        <v>5750.85</v>
      </c>
      <c r="C40" s="9">
        <f>(C39)-(0)</f>
        <v>0</v>
      </c>
      <c r="D40" s="9">
        <f>(B40)-(C40)</f>
        <v>5750.85</v>
      </c>
      <c r="E40" s="13" t="str">
        <f>IF(C40=0,"",(B40)/(C40))</f>
        <v/>
      </c>
      <c r="F40" s="17"/>
      <c r="G40" s="9">
        <f t="shared" si="2"/>
        <v>5750.85</v>
      </c>
      <c r="H40" s="9">
        <f t="shared" si="2"/>
        <v>0</v>
      </c>
      <c r="I40" s="9">
        <f>(G40)-(H40)</f>
        <v>5750.85</v>
      </c>
      <c r="J40" s="13" t="str">
        <f>IF(H40=0,"",(G40)/(H40))</f>
        <v/>
      </c>
    </row>
    <row r="41" spans="1:10" x14ac:dyDescent="0.2">
      <c r="A41" s="2"/>
      <c r="B41" s="16"/>
      <c r="C41" s="16"/>
      <c r="D41" s="16"/>
      <c r="E41" s="17"/>
      <c r="F41" s="17"/>
      <c r="G41" s="16"/>
      <c r="H41" s="16"/>
      <c r="I41" s="16"/>
      <c r="J41" s="17"/>
    </row>
    <row r="42" spans="1:10" ht="16" thickBot="1" x14ac:dyDescent="0.25">
      <c r="A42" s="2" t="s">
        <v>1</v>
      </c>
      <c r="B42" s="22">
        <f>(B35)+(B40)</f>
        <v>2376.5500000000002</v>
      </c>
      <c r="C42" s="22">
        <f>(C35)+(C40)</f>
        <v>118</v>
      </c>
      <c r="D42" s="22">
        <f>(B42)-(C42)</f>
        <v>2258.5500000000002</v>
      </c>
      <c r="E42" s="23">
        <f>IF(C42=0,"",(B42)/(C42))</f>
        <v>20.140254237288136</v>
      </c>
      <c r="F42" s="17"/>
      <c r="G42" s="22">
        <f>B42</f>
        <v>2376.5500000000002</v>
      </c>
      <c r="H42" s="22">
        <f>C42</f>
        <v>118</v>
      </c>
      <c r="I42" s="22">
        <f>(G42)-(H42)</f>
        <v>2258.5500000000002</v>
      </c>
      <c r="J42" s="23">
        <f>IF(H42=0,"",(G42)/(H42))</f>
        <v>20.140254237288136</v>
      </c>
    </row>
    <row r="43" spans="1:10" ht="17" thickTop="1" thickBot="1" x14ac:dyDescent="0.25">
      <c r="A43" s="2"/>
      <c r="B43" s="7"/>
      <c r="C43" s="7"/>
      <c r="D43" s="7"/>
      <c r="E43" s="11"/>
      <c r="F43" s="27"/>
      <c r="G43" s="7"/>
      <c r="H43" s="7"/>
      <c r="I43" s="7"/>
      <c r="J43" s="11"/>
    </row>
    <row r="44" spans="1:10" ht="16" thickBot="1" x14ac:dyDescent="0.25">
      <c r="A44" s="30" t="s">
        <v>75</v>
      </c>
      <c r="B44" s="24"/>
      <c r="C44" s="24"/>
      <c r="D44" s="24"/>
      <c r="E44" s="25"/>
      <c r="F44" s="29"/>
      <c r="G44" s="31">
        <f>G7+G42</f>
        <v>-2035.3099999999995</v>
      </c>
      <c r="H44" s="24"/>
      <c r="I44" s="24"/>
      <c r="J44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4558-1F1A-4375-90BD-3ECBCAF0863B}">
  <sheetPr codeName="Sheet9">
    <pageSetUpPr fitToPage="1"/>
  </sheetPr>
  <dimension ref="A1:J64"/>
  <sheetViews>
    <sheetView workbookViewId="0">
      <selection activeCell="D34" sqref="D34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72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41812.629999999997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 t="str">
        <f t="shared" ref="J10:J18" si="0">IF(H10=0,"",(G10)/(H10))</f>
        <v/>
      </c>
    </row>
    <row r="11" spans="1:10" x14ac:dyDescent="0.2">
      <c r="A11" s="2" t="s">
        <v>53</v>
      </c>
      <c r="B11" s="8">
        <f>6388</f>
        <v>6388</v>
      </c>
      <c r="C11" s="8">
        <f>4000</f>
        <v>4000</v>
      </c>
      <c r="D11" s="8">
        <f>(B11)-(C11)</f>
        <v>2388</v>
      </c>
      <c r="E11" s="12">
        <f>IF(C11=0,"",(B11)/(C11))</f>
        <v>1.597</v>
      </c>
      <c r="F11" s="28"/>
      <c r="G11" s="8">
        <f>B11</f>
        <v>6388</v>
      </c>
      <c r="H11" s="8">
        <f>C11</f>
        <v>4000</v>
      </c>
      <c r="I11" s="8">
        <f>(G11)-(H11)</f>
        <v>2388</v>
      </c>
      <c r="J11" s="12">
        <f t="shared" si="0"/>
        <v>1.597</v>
      </c>
    </row>
    <row r="12" spans="1:10" x14ac:dyDescent="0.2">
      <c r="A12" s="2" t="s">
        <v>52</v>
      </c>
      <c r="B12" s="9">
        <f>(B10)+(B11)</f>
        <v>6388</v>
      </c>
      <c r="C12" s="9">
        <f>(C10)+(C11)</f>
        <v>4000</v>
      </c>
      <c r="D12" s="9">
        <f>(B12)-(C12)</f>
        <v>2388</v>
      </c>
      <c r="E12" s="13">
        <f>IF(C12=0,"",(B12)/(C12))</f>
        <v>1.597</v>
      </c>
      <c r="F12" s="17"/>
      <c r="G12" s="9">
        <f>B12</f>
        <v>6388</v>
      </c>
      <c r="H12" s="9">
        <f>C12</f>
        <v>4000</v>
      </c>
      <c r="I12" s="9">
        <f>(G12)-(H12)</f>
        <v>2388</v>
      </c>
      <c r="J12" s="13">
        <f t="shared" si="0"/>
        <v>1.597</v>
      </c>
    </row>
    <row r="13" spans="1:10" x14ac:dyDescent="0.2">
      <c r="A13" s="2" t="s">
        <v>66</v>
      </c>
      <c r="B13" s="7"/>
      <c r="C13" s="7"/>
      <c r="D13" s="8"/>
      <c r="E13" s="12"/>
      <c r="F13" s="28"/>
      <c r="G13" s="8"/>
      <c r="H13" s="8"/>
      <c r="I13" s="8"/>
      <c r="J13" s="12" t="str">
        <f t="shared" si="0"/>
        <v/>
      </c>
    </row>
    <row r="14" spans="1:10" x14ac:dyDescent="0.2">
      <c r="A14" s="2" t="s">
        <v>65</v>
      </c>
      <c r="B14" s="7"/>
      <c r="C14" s="8">
        <f>175</f>
        <v>175</v>
      </c>
      <c r="D14" s="8">
        <f>(B14)-(C14)</f>
        <v>-175</v>
      </c>
      <c r="E14" s="12">
        <f>IF(C14=0,"",(B14)/(C14))</f>
        <v>0</v>
      </c>
      <c r="F14" s="28"/>
      <c r="G14" s="8"/>
      <c r="H14" s="8">
        <f>C14</f>
        <v>175</v>
      </c>
      <c r="I14" s="8">
        <f>(G14)-(H14)</f>
        <v>-175</v>
      </c>
      <c r="J14" s="12">
        <f t="shared" si="0"/>
        <v>0</v>
      </c>
    </row>
    <row r="15" spans="1:10" x14ac:dyDescent="0.2">
      <c r="A15" s="2" t="s">
        <v>64</v>
      </c>
      <c r="B15" s="9">
        <f>(B13)+(B14)</f>
        <v>0</v>
      </c>
      <c r="C15" s="9">
        <f>(C13)+(C14)</f>
        <v>175</v>
      </c>
      <c r="D15" s="9">
        <f>(B15)-(C15)</f>
        <v>-175</v>
      </c>
      <c r="E15" s="13">
        <f>IF(C15=0,"",(B15)/(C15))</f>
        <v>0</v>
      </c>
      <c r="F15" s="17"/>
      <c r="G15" s="9">
        <f>B15</f>
        <v>0</v>
      </c>
      <c r="H15" s="9">
        <f>C15</f>
        <v>175</v>
      </c>
      <c r="I15" s="9">
        <f>(G15)-(H15)</f>
        <v>-175</v>
      </c>
      <c r="J15" s="13">
        <f t="shared" si="0"/>
        <v>0</v>
      </c>
    </row>
    <row r="16" spans="1:10" x14ac:dyDescent="0.2">
      <c r="A16" s="2" t="s">
        <v>51</v>
      </c>
      <c r="B16" s="7"/>
      <c r="C16" s="7"/>
      <c r="D16" s="8"/>
      <c r="E16" s="12"/>
      <c r="F16" s="28"/>
      <c r="G16" s="8"/>
      <c r="H16" s="8"/>
      <c r="I16" s="8"/>
      <c r="J16" s="12" t="str">
        <f t="shared" si="0"/>
        <v/>
      </c>
    </row>
    <row r="17" spans="1:10" x14ac:dyDescent="0.2">
      <c r="A17" s="2" t="s">
        <v>50</v>
      </c>
      <c r="B17" s="8">
        <f>-638.8</f>
        <v>-638.79999999999995</v>
      </c>
      <c r="C17" s="8">
        <f>-417.5</f>
        <v>-417.5</v>
      </c>
      <c r="D17" s="8">
        <f>(B17)-(C17)</f>
        <v>-221.29999999999995</v>
      </c>
      <c r="E17" s="12">
        <f>IF(C17=0,"",(B17)/(C17))</f>
        <v>1.5300598802395209</v>
      </c>
      <c r="F17" s="28"/>
      <c r="G17" s="8">
        <f>B17</f>
        <v>-638.79999999999995</v>
      </c>
      <c r="H17" s="8">
        <f>C17</f>
        <v>-417.5</v>
      </c>
      <c r="I17" s="8">
        <f>(G17)-(H17)</f>
        <v>-221.29999999999995</v>
      </c>
      <c r="J17" s="12">
        <f t="shared" si="0"/>
        <v>1.5300598802395209</v>
      </c>
    </row>
    <row r="18" spans="1:10" x14ac:dyDescent="0.2">
      <c r="A18" s="2" t="s">
        <v>49</v>
      </c>
      <c r="B18" s="9">
        <f>(B16)+(B17)</f>
        <v>-638.79999999999995</v>
      </c>
      <c r="C18" s="9">
        <f>(C16)+(C17)</f>
        <v>-417.5</v>
      </c>
      <c r="D18" s="9">
        <f>(B18)-(C18)</f>
        <v>-221.29999999999995</v>
      </c>
      <c r="E18" s="13">
        <f>IF(C18=0,"",(B18)/(C18))</f>
        <v>1.5300598802395209</v>
      </c>
      <c r="F18" s="17"/>
      <c r="G18" s="9">
        <f>B18</f>
        <v>-638.79999999999995</v>
      </c>
      <c r="H18" s="9">
        <f>C18</f>
        <v>-417.5</v>
      </c>
      <c r="I18" s="9">
        <f>(G18)-(H18)</f>
        <v>-221.29999999999995</v>
      </c>
      <c r="J18" s="13">
        <f t="shared" si="0"/>
        <v>1.5300598802395209</v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48</v>
      </c>
      <c r="B20" s="18">
        <f>((B12)+(B15))+(B18)</f>
        <v>5749.2</v>
      </c>
      <c r="C20" s="18">
        <f>((C12)+(C15))+(C18)</f>
        <v>3757.5</v>
      </c>
      <c r="D20" s="18">
        <f>(B20)-(C20)</f>
        <v>1991.6999999999998</v>
      </c>
      <c r="E20" s="19">
        <f>IF(C20=0,"",(B20)/(C20))</f>
        <v>1.5300598802395209</v>
      </c>
      <c r="F20" s="17"/>
      <c r="G20" s="18">
        <f>B20</f>
        <v>5749.2</v>
      </c>
      <c r="H20" s="18">
        <f>C20</f>
        <v>3757.5</v>
      </c>
      <c r="I20" s="18">
        <f>(G20)-(H20)</f>
        <v>1991.6999999999998</v>
      </c>
      <c r="J20" s="19">
        <f>IF(H20=0,"",(G20)/(H20))</f>
        <v>1.5300598802395209</v>
      </c>
    </row>
    <row r="21" spans="1:10" hidden="1" x14ac:dyDescent="0.2">
      <c r="A21" s="2" t="s">
        <v>47</v>
      </c>
      <c r="B21" s="9">
        <f>(B20)-(0)</f>
        <v>5749.2</v>
      </c>
      <c r="C21" s="9">
        <f>(C20)-(0)</f>
        <v>3757.5</v>
      </c>
      <c r="D21" s="9">
        <f>(B21)-(C21)</f>
        <v>1991.6999999999998</v>
      </c>
      <c r="E21" s="13">
        <f>IF(C21=0,"",(B21)/(C21))</f>
        <v>1.5300598802395209</v>
      </c>
      <c r="F21" s="17"/>
      <c r="G21" s="9">
        <f>B21</f>
        <v>5749.2</v>
      </c>
      <c r="H21" s="9">
        <f>C21</f>
        <v>3757.5</v>
      </c>
      <c r="I21" s="9">
        <f>(G21)-(H21)</f>
        <v>1991.6999999999998</v>
      </c>
      <c r="J21" s="13">
        <f>IF(H21=0,"",(G21)/(H21))</f>
        <v>1.5300598802395209</v>
      </c>
    </row>
    <row r="22" spans="1:10" x14ac:dyDescent="0.2">
      <c r="A22" s="2"/>
      <c r="B22" s="16"/>
      <c r="C22" s="16"/>
      <c r="D22" s="16"/>
      <c r="E22" s="17"/>
      <c r="F22" s="17"/>
      <c r="G22" s="16"/>
      <c r="H22" s="16"/>
      <c r="I22" s="16"/>
      <c r="J22" s="17"/>
    </row>
    <row r="23" spans="1:10" x14ac:dyDescent="0.2">
      <c r="A23" s="2" t="s">
        <v>46</v>
      </c>
      <c r="B23" s="7"/>
      <c r="C23" s="7"/>
      <c r="D23" s="7"/>
      <c r="E23" s="11"/>
      <c r="F23" s="27"/>
      <c r="G23" s="7"/>
      <c r="H23" s="7"/>
      <c r="I23" s="7"/>
      <c r="J23" s="11"/>
    </row>
    <row r="24" spans="1:10" x14ac:dyDescent="0.2">
      <c r="A24" s="2" t="s">
        <v>45</v>
      </c>
      <c r="B24" s="7"/>
      <c r="C24" s="7"/>
      <c r="D24" s="8"/>
      <c r="E24" s="12"/>
      <c r="F24" s="28"/>
      <c r="G24" s="8"/>
      <c r="H24" s="8"/>
      <c r="I24" s="8"/>
      <c r="J24" s="12"/>
    </row>
    <row r="25" spans="1:10" x14ac:dyDescent="0.2">
      <c r="A25" s="2" t="s">
        <v>44</v>
      </c>
      <c r="B25" s="8">
        <f>2000</f>
        <v>2000</v>
      </c>
      <c r="C25" s="8">
        <f>2000</f>
        <v>2000</v>
      </c>
      <c r="D25" s="8"/>
      <c r="E25" s="12">
        <f>IF(C25=0,"",(B25)/(C25))</f>
        <v>1</v>
      </c>
      <c r="F25" s="28"/>
      <c r="G25" s="8">
        <f t="shared" ref="G25:H27" si="1">B25</f>
        <v>2000</v>
      </c>
      <c r="H25" s="8">
        <f t="shared" si="1"/>
        <v>2000</v>
      </c>
      <c r="I25" s="8"/>
      <c r="J25" s="12">
        <f t="shared" ref="J25:J52" si="2">IF(H25=0,"",(G25)/(H25))</f>
        <v>1</v>
      </c>
    </row>
    <row r="26" spans="1:10" x14ac:dyDescent="0.2">
      <c r="A26" s="2" t="s">
        <v>41</v>
      </c>
      <c r="B26" s="8">
        <f>153</f>
        <v>153</v>
      </c>
      <c r="C26" s="8">
        <f>153</f>
        <v>153</v>
      </c>
      <c r="D26" s="8"/>
      <c r="E26" s="12">
        <f>IF(C26=0,"",(B26)/(C26))</f>
        <v>1</v>
      </c>
      <c r="F26" s="28"/>
      <c r="G26" s="8">
        <f t="shared" si="1"/>
        <v>153</v>
      </c>
      <c r="H26" s="8">
        <f t="shared" si="1"/>
        <v>153</v>
      </c>
      <c r="I26" s="8"/>
      <c r="J26" s="12">
        <f t="shared" si="2"/>
        <v>1</v>
      </c>
    </row>
    <row r="27" spans="1:10" x14ac:dyDescent="0.2">
      <c r="A27" s="2" t="s">
        <v>40</v>
      </c>
      <c r="B27" s="9">
        <f>((B24)+(B25))+(B26)</f>
        <v>2153</v>
      </c>
      <c r="C27" s="9">
        <f>((C24)+(C25))+(C26)</f>
        <v>2153</v>
      </c>
      <c r="D27" s="9">
        <f>(B27)-(C27)</f>
        <v>0</v>
      </c>
      <c r="E27" s="13">
        <f>IF(C27=0,"",(B27)/(C27))</f>
        <v>1</v>
      </c>
      <c r="F27" s="17"/>
      <c r="G27" s="9">
        <f t="shared" si="1"/>
        <v>2153</v>
      </c>
      <c r="H27" s="9">
        <f t="shared" si="1"/>
        <v>2153</v>
      </c>
      <c r="I27" s="9">
        <f>(G27)-(H27)</f>
        <v>0</v>
      </c>
      <c r="J27" s="13">
        <f t="shared" si="2"/>
        <v>1</v>
      </c>
    </row>
    <row r="28" spans="1:10" x14ac:dyDescent="0.2">
      <c r="A28" s="2" t="s">
        <v>39</v>
      </c>
      <c r="B28" s="7"/>
      <c r="C28" s="7"/>
      <c r="D28" s="8"/>
      <c r="E28" s="12"/>
      <c r="F28" s="28"/>
      <c r="G28" s="8"/>
      <c r="H28" s="8"/>
      <c r="I28" s="8"/>
      <c r="J28" s="12" t="str">
        <f t="shared" si="2"/>
        <v/>
      </c>
    </row>
    <row r="29" spans="1:10" x14ac:dyDescent="0.2">
      <c r="A29" s="2" t="s">
        <v>38</v>
      </c>
      <c r="B29" s="7"/>
      <c r="C29" s="8">
        <f>500</f>
        <v>500</v>
      </c>
      <c r="D29" s="8">
        <f>(B29)-(C29)</f>
        <v>-500</v>
      </c>
      <c r="E29" s="12">
        <f>IF(C29=0,"",(B29)/(C29))</f>
        <v>0</v>
      </c>
      <c r="F29" s="28"/>
      <c r="G29" s="8"/>
      <c r="H29" s="8">
        <f>C29</f>
        <v>500</v>
      </c>
      <c r="I29" s="8">
        <f>(G29)-(H29)</f>
        <v>-500</v>
      </c>
      <c r="J29" s="12">
        <f t="shared" si="2"/>
        <v>0</v>
      </c>
    </row>
    <row r="30" spans="1:10" x14ac:dyDescent="0.2">
      <c r="A30" s="2" t="s">
        <v>37</v>
      </c>
      <c r="B30" s="9">
        <f>(B28)+(B29)</f>
        <v>0</v>
      </c>
      <c r="C30" s="9">
        <f>(C28)+(C29)</f>
        <v>500</v>
      </c>
      <c r="D30" s="9">
        <f>(B30)-(C30)</f>
        <v>-500</v>
      </c>
      <c r="E30" s="13">
        <f>IF(C30=0,"",(B30)/(C30))</f>
        <v>0</v>
      </c>
      <c r="F30" s="17"/>
      <c r="G30" s="9">
        <f>B30</f>
        <v>0</v>
      </c>
      <c r="H30" s="9">
        <f>C30</f>
        <v>500</v>
      </c>
      <c r="I30" s="9">
        <f>(G30)-(H30)</f>
        <v>-500</v>
      </c>
      <c r="J30" s="13">
        <f t="shared" si="2"/>
        <v>0</v>
      </c>
    </row>
    <row r="31" spans="1:10" x14ac:dyDescent="0.2">
      <c r="A31" s="2" t="s">
        <v>36</v>
      </c>
      <c r="B31" s="7"/>
      <c r="C31" s="7"/>
      <c r="D31" s="8"/>
      <c r="E31" s="12"/>
      <c r="F31" s="28"/>
      <c r="G31" s="8"/>
      <c r="H31" s="8"/>
      <c r="I31" s="8"/>
      <c r="J31" s="12" t="str">
        <f t="shared" si="2"/>
        <v/>
      </c>
    </row>
    <row r="32" spans="1:10" x14ac:dyDescent="0.2">
      <c r="A32" s="2" t="s">
        <v>35</v>
      </c>
      <c r="B32" s="7"/>
      <c r="C32" s="8">
        <f>70</f>
        <v>70</v>
      </c>
      <c r="D32" s="8">
        <f t="shared" ref="D32:D52" si="3">(B32)-(C32)</f>
        <v>-70</v>
      </c>
      <c r="E32" s="12">
        <f t="shared" ref="E32:E52" si="4">IF(C32=0,"",(B32)/(C32))</f>
        <v>0</v>
      </c>
      <c r="F32" s="28"/>
      <c r="G32" s="8"/>
      <c r="H32" s="8">
        <f t="shared" ref="H32:H52" si="5">C32</f>
        <v>70</v>
      </c>
      <c r="I32" s="8">
        <f t="shared" ref="I32:I52" si="6">(G32)-(H32)</f>
        <v>-70</v>
      </c>
      <c r="J32" s="12">
        <f t="shared" si="2"/>
        <v>0</v>
      </c>
    </row>
    <row r="33" spans="1:10" x14ac:dyDescent="0.2">
      <c r="A33" s="2" t="s">
        <v>34</v>
      </c>
      <c r="B33" s="7"/>
      <c r="C33" s="8">
        <f>500</f>
        <v>500</v>
      </c>
      <c r="D33" s="8">
        <f t="shared" si="3"/>
        <v>-500</v>
      </c>
      <c r="E33" s="12">
        <f t="shared" si="4"/>
        <v>0</v>
      </c>
      <c r="F33" s="28"/>
      <c r="G33" s="8"/>
      <c r="H33" s="8">
        <f t="shared" si="5"/>
        <v>500</v>
      </c>
      <c r="I33" s="8">
        <f t="shared" si="6"/>
        <v>-500</v>
      </c>
      <c r="J33" s="12">
        <f t="shared" si="2"/>
        <v>0</v>
      </c>
    </row>
    <row r="34" spans="1:10" x14ac:dyDescent="0.2">
      <c r="A34" s="2" t="s">
        <v>33</v>
      </c>
      <c r="B34" s="7"/>
      <c r="C34" s="8">
        <f>25</f>
        <v>25</v>
      </c>
      <c r="D34" s="8">
        <f t="shared" si="3"/>
        <v>-25</v>
      </c>
      <c r="E34" s="12">
        <f t="shared" si="4"/>
        <v>0</v>
      </c>
      <c r="F34" s="28"/>
      <c r="G34" s="8"/>
      <c r="H34" s="8">
        <f t="shared" si="5"/>
        <v>25</v>
      </c>
      <c r="I34" s="8">
        <f t="shared" si="6"/>
        <v>-25</v>
      </c>
      <c r="J34" s="12">
        <f t="shared" si="2"/>
        <v>0</v>
      </c>
    </row>
    <row r="35" spans="1:10" x14ac:dyDescent="0.2">
      <c r="A35" s="2" t="s">
        <v>32</v>
      </c>
      <c r="B35" s="7"/>
      <c r="C35" s="8">
        <f>500</f>
        <v>500</v>
      </c>
      <c r="D35" s="8">
        <f t="shared" si="3"/>
        <v>-500</v>
      </c>
      <c r="E35" s="12">
        <f t="shared" si="4"/>
        <v>0</v>
      </c>
      <c r="F35" s="28"/>
      <c r="G35" s="8"/>
      <c r="H35" s="8">
        <f t="shared" si="5"/>
        <v>500</v>
      </c>
      <c r="I35" s="8">
        <f t="shared" si="6"/>
        <v>-500</v>
      </c>
      <c r="J35" s="12">
        <f t="shared" si="2"/>
        <v>0</v>
      </c>
    </row>
    <row r="36" spans="1:10" x14ac:dyDescent="0.2">
      <c r="A36" s="2" t="s">
        <v>31</v>
      </c>
      <c r="B36" s="7"/>
      <c r="C36" s="8">
        <f>250</f>
        <v>250</v>
      </c>
      <c r="D36" s="8">
        <f t="shared" si="3"/>
        <v>-250</v>
      </c>
      <c r="E36" s="12">
        <f t="shared" si="4"/>
        <v>0</v>
      </c>
      <c r="F36" s="28"/>
      <c r="G36" s="8"/>
      <c r="H36" s="8">
        <f t="shared" si="5"/>
        <v>250</v>
      </c>
      <c r="I36" s="8">
        <f t="shared" si="6"/>
        <v>-250</v>
      </c>
      <c r="J36" s="12">
        <f t="shared" si="2"/>
        <v>0</v>
      </c>
    </row>
    <row r="37" spans="1:10" hidden="1" x14ac:dyDescent="0.2">
      <c r="A37" s="2" t="s">
        <v>30</v>
      </c>
      <c r="B37" s="7"/>
      <c r="C37" s="8">
        <f>0</f>
        <v>0</v>
      </c>
      <c r="D37" s="8">
        <f t="shared" si="3"/>
        <v>0</v>
      </c>
      <c r="E37" s="12" t="str">
        <f t="shared" si="4"/>
        <v/>
      </c>
      <c r="F37" s="28"/>
      <c r="G37" s="8">
        <f t="shared" ref="G37:G52" si="7">B37</f>
        <v>0</v>
      </c>
      <c r="H37" s="8">
        <f t="shared" si="5"/>
        <v>0</v>
      </c>
      <c r="I37" s="8">
        <f t="shared" si="6"/>
        <v>0</v>
      </c>
      <c r="J37" s="12" t="str">
        <f t="shared" si="2"/>
        <v/>
      </c>
    </row>
    <row r="38" spans="1:10" x14ac:dyDescent="0.2">
      <c r="A38" s="2" t="s">
        <v>28</v>
      </c>
      <c r="B38" s="9">
        <f>((((((B31)+(B32))+(B33))+(B34))+(B35))+(B36))+(B37)</f>
        <v>0</v>
      </c>
      <c r="C38" s="9">
        <f>((((((C31)+(C32))+(C33))+(C34))+(C35))+(C36))+(C37)</f>
        <v>1345</v>
      </c>
      <c r="D38" s="9">
        <f t="shared" si="3"/>
        <v>-1345</v>
      </c>
      <c r="E38" s="13">
        <f t="shared" si="4"/>
        <v>0</v>
      </c>
      <c r="F38" s="17"/>
      <c r="G38" s="9">
        <f t="shared" si="7"/>
        <v>0</v>
      </c>
      <c r="H38" s="9">
        <f t="shared" si="5"/>
        <v>1345</v>
      </c>
      <c r="I38" s="9">
        <f t="shared" si="6"/>
        <v>-1345</v>
      </c>
      <c r="J38" s="13">
        <f t="shared" si="2"/>
        <v>0</v>
      </c>
    </row>
    <row r="39" spans="1:10" hidden="1" x14ac:dyDescent="0.2">
      <c r="A39" s="2" t="s">
        <v>27</v>
      </c>
      <c r="B39" s="7"/>
      <c r="C39" s="7"/>
      <c r="D39" s="8">
        <f t="shared" si="3"/>
        <v>0</v>
      </c>
      <c r="E39" s="12" t="str">
        <f t="shared" si="4"/>
        <v/>
      </c>
      <c r="F39" s="28"/>
      <c r="G39" s="8">
        <f t="shared" si="7"/>
        <v>0</v>
      </c>
      <c r="H39" s="8">
        <f t="shared" si="5"/>
        <v>0</v>
      </c>
      <c r="I39" s="8">
        <f t="shared" si="6"/>
        <v>0</v>
      </c>
      <c r="J39" s="12" t="str">
        <f t="shared" si="2"/>
        <v/>
      </c>
    </row>
    <row r="40" spans="1:10" hidden="1" x14ac:dyDescent="0.2">
      <c r="A40" s="2" t="s">
        <v>26</v>
      </c>
      <c r="B40" s="7"/>
      <c r="C40" s="8">
        <f>0</f>
        <v>0</v>
      </c>
      <c r="D40" s="8">
        <f t="shared" si="3"/>
        <v>0</v>
      </c>
      <c r="E40" s="12" t="str">
        <f t="shared" si="4"/>
        <v/>
      </c>
      <c r="F40" s="28"/>
      <c r="G40" s="8">
        <f t="shared" si="7"/>
        <v>0</v>
      </c>
      <c r="H40" s="8">
        <f t="shared" si="5"/>
        <v>0</v>
      </c>
      <c r="I40" s="8">
        <f t="shared" si="6"/>
        <v>0</v>
      </c>
      <c r="J40" s="12" t="str">
        <f t="shared" si="2"/>
        <v/>
      </c>
    </row>
    <row r="41" spans="1:10" hidden="1" x14ac:dyDescent="0.2">
      <c r="A41" s="2" t="s">
        <v>25</v>
      </c>
      <c r="B41" s="9">
        <f>(B39)+(B40)</f>
        <v>0</v>
      </c>
      <c r="C41" s="9">
        <f>(C39)+(C40)</f>
        <v>0</v>
      </c>
      <c r="D41" s="9">
        <f t="shared" si="3"/>
        <v>0</v>
      </c>
      <c r="E41" s="13" t="str">
        <f t="shared" si="4"/>
        <v/>
      </c>
      <c r="F41" s="17"/>
      <c r="G41" s="9">
        <f t="shared" si="7"/>
        <v>0</v>
      </c>
      <c r="H41" s="9">
        <f t="shared" si="5"/>
        <v>0</v>
      </c>
      <c r="I41" s="9">
        <f t="shared" si="6"/>
        <v>0</v>
      </c>
      <c r="J41" s="13" t="str">
        <f t="shared" si="2"/>
        <v/>
      </c>
    </row>
    <row r="42" spans="1:10" hidden="1" x14ac:dyDescent="0.2">
      <c r="A42" s="2" t="s">
        <v>24</v>
      </c>
      <c r="B42" s="7"/>
      <c r="C42" s="7"/>
      <c r="D42" s="8">
        <f t="shared" si="3"/>
        <v>0</v>
      </c>
      <c r="E42" s="12" t="str">
        <f t="shared" si="4"/>
        <v/>
      </c>
      <c r="F42" s="28"/>
      <c r="G42" s="8">
        <f t="shared" si="7"/>
        <v>0</v>
      </c>
      <c r="H42" s="8">
        <f t="shared" si="5"/>
        <v>0</v>
      </c>
      <c r="I42" s="8">
        <f t="shared" si="6"/>
        <v>0</v>
      </c>
      <c r="J42" s="12" t="str">
        <f t="shared" si="2"/>
        <v/>
      </c>
    </row>
    <row r="43" spans="1:10" hidden="1" x14ac:dyDescent="0.2">
      <c r="A43" s="2" t="s">
        <v>59</v>
      </c>
      <c r="B43" s="7"/>
      <c r="C43" s="8">
        <f>0</f>
        <v>0</v>
      </c>
      <c r="D43" s="8">
        <f t="shared" si="3"/>
        <v>0</v>
      </c>
      <c r="E43" s="12" t="str">
        <f t="shared" si="4"/>
        <v/>
      </c>
      <c r="F43" s="28"/>
      <c r="G43" s="8">
        <f t="shared" si="7"/>
        <v>0</v>
      </c>
      <c r="H43" s="8">
        <f t="shared" si="5"/>
        <v>0</v>
      </c>
      <c r="I43" s="8">
        <f t="shared" si="6"/>
        <v>0</v>
      </c>
      <c r="J43" s="12" t="str">
        <f t="shared" si="2"/>
        <v/>
      </c>
    </row>
    <row r="44" spans="1:10" hidden="1" x14ac:dyDescent="0.2">
      <c r="A44" s="2" t="s">
        <v>22</v>
      </c>
      <c r="B44" s="7"/>
      <c r="C44" s="8">
        <f>0</f>
        <v>0</v>
      </c>
      <c r="D44" s="8">
        <f t="shared" si="3"/>
        <v>0</v>
      </c>
      <c r="E44" s="12" t="str">
        <f t="shared" si="4"/>
        <v/>
      </c>
      <c r="F44" s="28"/>
      <c r="G44" s="8">
        <f t="shared" si="7"/>
        <v>0</v>
      </c>
      <c r="H44" s="8">
        <f t="shared" si="5"/>
        <v>0</v>
      </c>
      <c r="I44" s="8">
        <f t="shared" si="6"/>
        <v>0</v>
      </c>
      <c r="J44" s="12" t="str">
        <f t="shared" si="2"/>
        <v/>
      </c>
    </row>
    <row r="45" spans="1:10" hidden="1" x14ac:dyDescent="0.2">
      <c r="A45" s="2" t="s">
        <v>21</v>
      </c>
      <c r="B45" s="7"/>
      <c r="C45" s="8">
        <f>0</f>
        <v>0</v>
      </c>
      <c r="D45" s="8">
        <f t="shared" si="3"/>
        <v>0</v>
      </c>
      <c r="E45" s="12" t="str">
        <f t="shared" si="4"/>
        <v/>
      </c>
      <c r="F45" s="28"/>
      <c r="G45" s="8">
        <f t="shared" si="7"/>
        <v>0</v>
      </c>
      <c r="H45" s="8">
        <f t="shared" si="5"/>
        <v>0</v>
      </c>
      <c r="I45" s="8">
        <f t="shared" si="6"/>
        <v>0</v>
      </c>
      <c r="J45" s="12" t="str">
        <f t="shared" si="2"/>
        <v/>
      </c>
    </row>
    <row r="46" spans="1:10" hidden="1" x14ac:dyDescent="0.2">
      <c r="A46" s="2" t="s">
        <v>58</v>
      </c>
      <c r="B46" s="7"/>
      <c r="C46" s="8">
        <f>0</f>
        <v>0</v>
      </c>
      <c r="D46" s="8">
        <f t="shared" si="3"/>
        <v>0</v>
      </c>
      <c r="E46" s="12" t="str">
        <f t="shared" si="4"/>
        <v/>
      </c>
      <c r="F46" s="28"/>
      <c r="G46" s="8">
        <f t="shared" si="7"/>
        <v>0</v>
      </c>
      <c r="H46" s="8">
        <f t="shared" si="5"/>
        <v>0</v>
      </c>
      <c r="I46" s="8">
        <f t="shared" si="6"/>
        <v>0</v>
      </c>
      <c r="J46" s="12" t="str">
        <f t="shared" si="2"/>
        <v/>
      </c>
    </row>
    <row r="47" spans="1:10" hidden="1" x14ac:dyDescent="0.2">
      <c r="A47" s="2" t="s">
        <v>20</v>
      </c>
      <c r="B47" s="9">
        <f>((((B42)+(B43))+(B44))+(B45))+(B46)</f>
        <v>0</v>
      </c>
      <c r="C47" s="9">
        <f>((((C42)+(C43))+(C44))+(C45))+(C46)</f>
        <v>0</v>
      </c>
      <c r="D47" s="9">
        <f t="shared" si="3"/>
        <v>0</v>
      </c>
      <c r="E47" s="13" t="str">
        <f t="shared" si="4"/>
        <v/>
      </c>
      <c r="F47" s="17"/>
      <c r="G47" s="9">
        <f t="shared" si="7"/>
        <v>0</v>
      </c>
      <c r="H47" s="9">
        <f t="shared" si="5"/>
        <v>0</v>
      </c>
      <c r="I47" s="9">
        <f t="shared" si="6"/>
        <v>0</v>
      </c>
      <c r="J47" s="13" t="str">
        <f t="shared" si="2"/>
        <v/>
      </c>
    </row>
    <row r="48" spans="1:10" hidden="1" x14ac:dyDescent="0.2">
      <c r="A48" s="2" t="s">
        <v>19</v>
      </c>
      <c r="B48" s="7"/>
      <c r="C48" s="7"/>
      <c r="D48" s="8">
        <f t="shared" si="3"/>
        <v>0</v>
      </c>
      <c r="E48" s="12" t="str">
        <f t="shared" si="4"/>
        <v/>
      </c>
      <c r="F48" s="28"/>
      <c r="G48" s="8">
        <f t="shared" si="7"/>
        <v>0</v>
      </c>
      <c r="H48" s="8">
        <f t="shared" si="5"/>
        <v>0</v>
      </c>
      <c r="I48" s="8">
        <f t="shared" si="6"/>
        <v>0</v>
      </c>
      <c r="J48" s="12" t="str">
        <f t="shared" si="2"/>
        <v/>
      </c>
    </row>
    <row r="49" spans="1:10" hidden="1" x14ac:dyDescent="0.2">
      <c r="A49" s="2" t="s">
        <v>18</v>
      </c>
      <c r="B49" s="7"/>
      <c r="C49" s="7"/>
      <c r="D49" s="8">
        <f t="shared" si="3"/>
        <v>0</v>
      </c>
      <c r="E49" s="12" t="str">
        <f t="shared" si="4"/>
        <v/>
      </c>
      <c r="F49" s="28"/>
      <c r="G49" s="8">
        <f t="shared" si="7"/>
        <v>0</v>
      </c>
      <c r="H49" s="8">
        <f t="shared" si="5"/>
        <v>0</v>
      </c>
      <c r="I49" s="8">
        <f t="shared" si="6"/>
        <v>0</v>
      </c>
      <c r="J49" s="12" t="str">
        <f t="shared" si="2"/>
        <v/>
      </c>
    </row>
    <row r="50" spans="1:10" hidden="1" x14ac:dyDescent="0.2">
      <c r="A50" s="2" t="s">
        <v>57</v>
      </c>
      <c r="B50" s="7"/>
      <c r="C50" s="8">
        <f>0</f>
        <v>0</v>
      </c>
      <c r="D50" s="8">
        <f t="shared" si="3"/>
        <v>0</v>
      </c>
      <c r="E50" s="12" t="str">
        <f t="shared" si="4"/>
        <v/>
      </c>
      <c r="F50" s="28"/>
      <c r="G50" s="8">
        <f t="shared" si="7"/>
        <v>0</v>
      </c>
      <c r="H50" s="8">
        <f t="shared" si="5"/>
        <v>0</v>
      </c>
      <c r="I50" s="8">
        <f t="shared" si="6"/>
        <v>0</v>
      </c>
      <c r="J50" s="12" t="str">
        <f t="shared" si="2"/>
        <v/>
      </c>
    </row>
    <row r="51" spans="1:10" hidden="1" x14ac:dyDescent="0.2">
      <c r="A51" s="2" t="s">
        <v>17</v>
      </c>
      <c r="B51" s="9">
        <f>(B49)+(B50)</f>
        <v>0</v>
      </c>
      <c r="C51" s="9">
        <f>(C49)+(C50)</f>
        <v>0</v>
      </c>
      <c r="D51" s="9">
        <f t="shared" si="3"/>
        <v>0</v>
      </c>
      <c r="E51" s="13" t="str">
        <f t="shared" si="4"/>
        <v/>
      </c>
      <c r="F51" s="17"/>
      <c r="G51" s="9">
        <f t="shared" si="7"/>
        <v>0</v>
      </c>
      <c r="H51" s="9">
        <f t="shared" si="5"/>
        <v>0</v>
      </c>
      <c r="I51" s="9">
        <f t="shared" si="6"/>
        <v>0</v>
      </c>
      <c r="J51" s="13" t="str">
        <f t="shared" si="2"/>
        <v/>
      </c>
    </row>
    <row r="52" spans="1:10" hidden="1" x14ac:dyDescent="0.2">
      <c r="A52" s="2" t="s">
        <v>16</v>
      </c>
      <c r="B52" s="9">
        <f>(B48)+(B51)</f>
        <v>0</v>
      </c>
      <c r="C52" s="9">
        <f>(C48)+(C51)</f>
        <v>0</v>
      </c>
      <c r="D52" s="9">
        <f t="shared" si="3"/>
        <v>0</v>
      </c>
      <c r="E52" s="13" t="str">
        <f t="shared" si="4"/>
        <v/>
      </c>
      <c r="F52" s="17"/>
      <c r="G52" s="9">
        <f t="shared" si="7"/>
        <v>0</v>
      </c>
      <c r="H52" s="9">
        <f t="shared" si="5"/>
        <v>0</v>
      </c>
      <c r="I52" s="9">
        <f t="shared" si="6"/>
        <v>0</v>
      </c>
      <c r="J52" s="13" t="str">
        <f t="shared" si="2"/>
        <v/>
      </c>
    </row>
    <row r="53" spans="1:10" x14ac:dyDescent="0.2">
      <c r="A53" s="2" t="s">
        <v>15</v>
      </c>
      <c r="B53" s="7"/>
      <c r="C53" s="7"/>
      <c r="D53" s="8"/>
      <c r="E53" s="12"/>
      <c r="F53" s="28"/>
      <c r="G53" s="8"/>
      <c r="H53" s="8"/>
      <c r="I53" s="8"/>
      <c r="J53" s="12"/>
    </row>
    <row r="54" spans="1:10" x14ac:dyDescent="0.2">
      <c r="A54" s="2" t="s">
        <v>13</v>
      </c>
      <c r="B54" s="7"/>
      <c r="C54" s="8">
        <f>100</f>
        <v>100</v>
      </c>
      <c r="D54" s="8">
        <f>(B54)-(C54)</f>
        <v>-100</v>
      </c>
      <c r="E54" s="12">
        <f>IF(C54=0,"",(B54)/(C54))</f>
        <v>0</v>
      </c>
      <c r="F54" s="28"/>
      <c r="G54" s="8"/>
      <c r="H54" s="8">
        <f>C54</f>
        <v>100</v>
      </c>
      <c r="I54" s="8">
        <f>(G54)-(H54)</f>
        <v>-100</v>
      </c>
      <c r="J54" s="12">
        <f>IF(H54=0,"",(G54)/(H54))</f>
        <v>0</v>
      </c>
    </row>
    <row r="55" spans="1:10" x14ac:dyDescent="0.2">
      <c r="A55" s="2" t="s">
        <v>12</v>
      </c>
      <c r="B55" s="7"/>
      <c r="C55" s="8">
        <f>500</f>
        <v>500</v>
      </c>
      <c r="D55" s="8">
        <f>(B55)-(C55)</f>
        <v>-500</v>
      </c>
      <c r="E55" s="12">
        <f>IF(C55=0,"",(B55)/(C55))</f>
        <v>0</v>
      </c>
      <c r="F55" s="28"/>
      <c r="G55" s="8"/>
      <c r="H55" s="8">
        <f>C55</f>
        <v>500</v>
      </c>
      <c r="I55" s="8">
        <f>(G55)-(H55)</f>
        <v>-500</v>
      </c>
      <c r="J55" s="12">
        <f>IF(H55=0,"",(G55)/(H55))</f>
        <v>0</v>
      </c>
    </row>
    <row r="56" spans="1:10" x14ac:dyDescent="0.2">
      <c r="A56" s="2" t="s">
        <v>11</v>
      </c>
      <c r="B56" s="7"/>
      <c r="C56" s="8">
        <f>250</f>
        <v>250</v>
      </c>
      <c r="D56" s="8">
        <f>(B56)-(C56)</f>
        <v>-250</v>
      </c>
      <c r="E56" s="12">
        <f>IF(C56=0,"",(B56)/(C56))</f>
        <v>0</v>
      </c>
      <c r="F56" s="28"/>
      <c r="G56" s="8"/>
      <c r="H56" s="8">
        <f>C56</f>
        <v>250</v>
      </c>
      <c r="I56" s="8">
        <f>(G56)-(H56)</f>
        <v>-250</v>
      </c>
      <c r="J56" s="12">
        <f>IF(H56=0,"",(G56)/(H56))</f>
        <v>0</v>
      </c>
    </row>
    <row r="57" spans="1:10" x14ac:dyDescent="0.2">
      <c r="A57" s="2" t="s">
        <v>8</v>
      </c>
      <c r="B57" s="9">
        <f>(((B53)+(B54))+(B55))+(B56)</f>
        <v>0</v>
      </c>
      <c r="C57" s="9">
        <f>(((C53)+(C54))+(C55))+(C56)</f>
        <v>850</v>
      </c>
      <c r="D57" s="9">
        <f>(B57)-(C57)</f>
        <v>-850</v>
      </c>
      <c r="E57" s="13">
        <f>IF(C57=0,"",(B57)/(C57))</f>
        <v>0</v>
      </c>
      <c r="F57" s="17"/>
      <c r="G57" s="9">
        <f>B57</f>
        <v>0</v>
      </c>
      <c r="H57" s="9">
        <f>C57</f>
        <v>850</v>
      </c>
      <c r="I57" s="9">
        <f>(G57)-(H57)</f>
        <v>-850</v>
      </c>
      <c r="J57" s="13">
        <f>IF(H57=0,"",(G57)/(H57))</f>
        <v>0</v>
      </c>
    </row>
    <row r="58" spans="1:10" x14ac:dyDescent="0.2">
      <c r="A58" s="2"/>
      <c r="B58" s="16"/>
      <c r="C58" s="16"/>
      <c r="D58" s="16"/>
      <c r="E58" s="17"/>
      <c r="F58" s="17"/>
      <c r="G58" s="16"/>
      <c r="H58" s="16"/>
      <c r="I58" s="16"/>
      <c r="J58" s="17"/>
    </row>
    <row r="59" spans="1:10" x14ac:dyDescent="0.2">
      <c r="A59" s="2" t="s">
        <v>7</v>
      </c>
      <c r="B59" s="9">
        <f>((((((B27)+(B30))+(B38))+(B41))+(B47))+(B52))+(B57)</f>
        <v>2153</v>
      </c>
      <c r="C59" s="9">
        <f>((((((C27)+(C30))+(C38))+(C41))+(C47))+(C52))+(C57)</f>
        <v>4848</v>
      </c>
      <c r="D59" s="9">
        <f>(B59)-(C59)</f>
        <v>-2695</v>
      </c>
      <c r="E59" s="13">
        <f>IF(C59=0,"",(B59)/(C59))</f>
        <v>0.44410066006600663</v>
      </c>
      <c r="F59" s="17"/>
      <c r="G59" s="9">
        <f>B59</f>
        <v>2153</v>
      </c>
      <c r="H59" s="9">
        <f>C59</f>
        <v>4848</v>
      </c>
      <c r="I59" s="9">
        <f>(G59)-(H59)</f>
        <v>-2695</v>
      </c>
      <c r="J59" s="13">
        <f>IF(H59=0,"",(G59)/(H59))</f>
        <v>0.44410066006600663</v>
      </c>
    </row>
    <row r="60" spans="1:10" x14ac:dyDescent="0.2">
      <c r="A60" s="2"/>
      <c r="B60" s="9"/>
      <c r="C60" s="9"/>
      <c r="D60" s="9"/>
      <c r="E60" s="13"/>
      <c r="F60" s="17"/>
      <c r="G60" s="9"/>
      <c r="H60" s="9"/>
      <c r="I60" s="9"/>
      <c r="J60" s="13"/>
    </row>
    <row r="61" spans="1:10" hidden="1" x14ac:dyDescent="0.2">
      <c r="A61" s="2" t="s">
        <v>6</v>
      </c>
      <c r="B61" s="9">
        <f>(B21)-(B59)</f>
        <v>3596.2</v>
      </c>
      <c r="C61" s="9">
        <f>(C21)-(C59)</f>
        <v>-1090.5</v>
      </c>
      <c r="D61" s="9">
        <f>(B61)-(C61)</f>
        <v>4686.7</v>
      </c>
      <c r="E61" s="13">
        <f>IF(C61=0,"",(B61)/(C61))</f>
        <v>-3.2977533241632275</v>
      </c>
      <c r="F61" s="17"/>
      <c r="G61" s="9">
        <f>B61</f>
        <v>3596.2</v>
      </c>
      <c r="H61" s="9">
        <f>C61</f>
        <v>-1090.5</v>
      </c>
      <c r="I61" s="9">
        <f>(G61)-(H61)</f>
        <v>4686.7</v>
      </c>
      <c r="J61" s="13">
        <f>IF(H61=0,"",(G61)/(H61))</f>
        <v>-3.2977533241632275</v>
      </c>
    </row>
    <row r="62" spans="1:10" ht="16" thickBot="1" x14ac:dyDescent="0.25">
      <c r="A62" s="2" t="s">
        <v>1</v>
      </c>
      <c r="B62" s="22">
        <f>(B61)+(0)</f>
        <v>3596.2</v>
      </c>
      <c r="C62" s="22">
        <f>(C61)+(0)</f>
        <v>-1090.5</v>
      </c>
      <c r="D62" s="22">
        <f>(B62)-(C62)</f>
        <v>4686.7</v>
      </c>
      <c r="E62" s="23">
        <f>IF(C62=0,"",(B62)/(C62))</f>
        <v>-3.2977533241632275</v>
      </c>
      <c r="F62" s="17"/>
      <c r="G62" s="22">
        <f>B62</f>
        <v>3596.2</v>
      </c>
      <c r="H62" s="22">
        <f>C62</f>
        <v>-1090.5</v>
      </c>
      <c r="I62" s="22">
        <f>(G62)-(H62)</f>
        <v>4686.7</v>
      </c>
      <c r="J62" s="23">
        <f>IF(H62=0,"",(G62)/(H62))</f>
        <v>-3.2977533241632275</v>
      </c>
    </row>
    <row r="63" spans="1:10" ht="17" thickTop="1" thickBot="1" x14ac:dyDescent="0.25">
      <c r="A63" s="2"/>
      <c r="B63" s="7"/>
      <c r="C63" s="7"/>
      <c r="D63" s="7"/>
      <c r="E63" s="11"/>
      <c r="F63" s="27"/>
      <c r="G63" s="7"/>
      <c r="H63" s="7"/>
      <c r="I63" s="7"/>
      <c r="J63" s="11"/>
    </row>
    <row r="64" spans="1:10" ht="16" thickBot="1" x14ac:dyDescent="0.25">
      <c r="A64" s="30" t="s">
        <v>75</v>
      </c>
      <c r="B64" s="24"/>
      <c r="C64" s="24"/>
      <c r="D64" s="24"/>
      <c r="E64" s="25"/>
      <c r="F64" s="29"/>
      <c r="G64" s="31">
        <f>G7+G62</f>
        <v>45408.829999999994</v>
      </c>
      <c r="H64" s="24"/>
      <c r="I64" s="24"/>
      <c r="J64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5BF1-5A79-449C-829E-7F43E2C109EA}">
  <sheetPr codeName="Sheet10">
    <pageSetUpPr fitToPage="1"/>
  </sheetPr>
  <dimension ref="A1:J31"/>
  <sheetViews>
    <sheetView workbookViewId="0">
      <selection activeCell="A2" sqref="A2:J2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80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1650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 t="str">
        <f t="shared" ref="J10:J15" si="0">IF(H10=0,"",(G10)/(H10))</f>
        <v/>
      </c>
    </row>
    <row r="11" spans="1:10" x14ac:dyDescent="0.2">
      <c r="A11" s="2" t="s">
        <v>53</v>
      </c>
      <c r="B11" s="8">
        <f>500</f>
        <v>500</v>
      </c>
      <c r="C11" s="7"/>
      <c r="D11" s="8">
        <f>(B11)-(C11)</f>
        <v>500</v>
      </c>
      <c r="E11" s="12" t="str">
        <f>IF(C11=0,"",(B11)/(C11))</f>
        <v/>
      </c>
      <c r="F11" s="28"/>
      <c r="G11" s="8">
        <f>B11</f>
        <v>500</v>
      </c>
      <c r="H11" s="8"/>
      <c r="I11" s="8">
        <f>(G11)-(H11)</f>
        <v>500</v>
      </c>
      <c r="J11" s="12" t="str">
        <f t="shared" si="0"/>
        <v/>
      </c>
    </row>
    <row r="12" spans="1:10" x14ac:dyDescent="0.2">
      <c r="A12" s="2" t="s">
        <v>52</v>
      </c>
      <c r="B12" s="9">
        <f>(B10)+(B11)</f>
        <v>500</v>
      </c>
      <c r="C12" s="9">
        <f>(C10)+(C11)</f>
        <v>0</v>
      </c>
      <c r="D12" s="9">
        <f>(B12)-(C12)</f>
        <v>500</v>
      </c>
      <c r="E12" s="13" t="str">
        <f>IF(C12=0,"",(B12)/(C12))</f>
        <v/>
      </c>
      <c r="F12" s="17"/>
      <c r="G12" s="9">
        <f>B12</f>
        <v>500</v>
      </c>
      <c r="H12" s="9">
        <f>C12</f>
        <v>0</v>
      </c>
      <c r="I12" s="9">
        <f>(G12)-(H12)</f>
        <v>500</v>
      </c>
      <c r="J12" s="13" t="str">
        <f t="shared" si="0"/>
        <v/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 t="str">
        <f t="shared" si="0"/>
        <v/>
      </c>
    </row>
    <row r="14" spans="1:10" x14ac:dyDescent="0.2">
      <c r="A14" s="2" t="s">
        <v>50</v>
      </c>
      <c r="B14" s="8">
        <f>-50</f>
        <v>-50</v>
      </c>
      <c r="C14" s="7"/>
      <c r="D14" s="8">
        <f>(B14)-(C14)</f>
        <v>-50</v>
      </c>
      <c r="E14" s="12" t="str">
        <f>IF(C14=0,"",(B14)/(C14))</f>
        <v/>
      </c>
      <c r="F14" s="28"/>
      <c r="G14" s="8">
        <f>B14</f>
        <v>-50</v>
      </c>
      <c r="H14" s="8"/>
      <c r="I14" s="8">
        <f>(G14)-(H14)</f>
        <v>-50</v>
      </c>
      <c r="J14" s="12" t="str">
        <f t="shared" si="0"/>
        <v/>
      </c>
    </row>
    <row r="15" spans="1:10" x14ac:dyDescent="0.2">
      <c r="A15" s="2" t="s">
        <v>49</v>
      </c>
      <c r="B15" s="9">
        <f>(B13)+(B14)</f>
        <v>-50</v>
      </c>
      <c r="C15" s="9">
        <f>(C13)+(C14)</f>
        <v>0</v>
      </c>
      <c r="D15" s="9">
        <f>(B15)-(C15)</f>
        <v>-50</v>
      </c>
      <c r="E15" s="13" t="str">
        <f>IF(C15=0,"",(B15)/(C15))</f>
        <v/>
      </c>
      <c r="F15" s="17"/>
      <c r="G15" s="9">
        <f>B15</f>
        <v>-50</v>
      </c>
      <c r="H15" s="9">
        <f>C15</f>
        <v>0</v>
      </c>
      <c r="I15" s="9">
        <f>(G15)-(H15)</f>
        <v>-50</v>
      </c>
      <c r="J15" s="13" t="str">
        <f t="shared" si="0"/>
        <v/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450</v>
      </c>
      <c r="C17" s="18">
        <f>(C12)+(C15)</f>
        <v>0</v>
      </c>
      <c r="D17" s="18">
        <f>(B17)-(C17)</f>
        <v>450</v>
      </c>
      <c r="E17" s="19" t="str">
        <f>IF(C17=0,"",(B17)/(C17))</f>
        <v/>
      </c>
      <c r="F17" s="17"/>
      <c r="G17" s="18">
        <f>B17</f>
        <v>450</v>
      </c>
      <c r="H17" s="18">
        <f>C17</f>
        <v>0</v>
      </c>
      <c r="I17" s="18">
        <f>(G17)-(H17)</f>
        <v>450</v>
      </c>
      <c r="J17" s="19" t="str">
        <f>IF(H17=0,"",(G17)/(H17))</f>
        <v/>
      </c>
    </row>
    <row r="18" spans="1:10" hidden="1" x14ac:dyDescent="0.2">
      <c r="A18" s="2" t="s">
        <v>47</v>
      </c>
      <c r="B18" s="9">
        <f>(B17)-(0)</f>
        <v>450</v>
      </c>
      <c r="C18" s="9">
        <f>(C17)-(0)</f>
        <v>0</v>
      </c>
      <c r="D18" s="9">
        <f>(B18)-(C18)</f>
        <v>450</v>
      </c>
      <c r="E18" s="13" t="str">
        <f>IF(C18=0,"",(B18)/(C18))</f>
        <v/>
      </c>
      <c r="F18" s="17"/>
      <c r="G18" s="9">
        <f>B18</f>
        <v>450</v>
      </c>
      <c r="H18" s="9">
        <f>C18</f>
        <v>0</v>
      </c>
      <c r="I18" s="9">
        <f>(G18)-(H18)</f>
        <v>450</v>
      </c>
      <c r="J18" s="13" t="str">
        <f>IF(H18=0,"",(G18)/(H18))</f>
        <v/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45</v>
      </c>
      <c r="B21" s="7"/>
      <c r="C21" s="7"/>
      <c r="D21" s="8"/>
      <c r="E21" s="12"/>
      <c r="F21" s="28"/>
      <c r="G21" s="8"/>
      <c r="H21" s="8"/>
      <c r="I21" s="8"/>
      <c r="J21" s="12" t="str">
        <f>IF(H21=0,"",(G21)/(H21))</f>
        <v/>
      </c>
    </row>
    <row r="22" spans="1:10" x14ac:dyDescent="0.2">
      <c r="A22" s="2" t="s">
        <v>44</v>
      </c>
      <c r="B22" s="8">
        <f>500</f>
        <v>500</v>
      </c>
      <c r="C22" s="7"/>
      <c r="D22" s="8">
        <f>(B22)-(C22)</f>
        <v>500</v>
      </c>
      <c r="E22" s="12" t="str">
        <f>IF(C22=0,"",(B22)/(C22))</f>
        <v/>
      </c>
      <c r="F22" s="28"/>
      <c r="G22" s="8">
        <f>B22</f>
        <v>500</v>
      </c>
      <c r="H22" s="8"/>
      <c r="I22" s="8">
        <f>(G22)-(H22)</f>
        <v>500</v>
      </c>
      <c r="J22" s="12" t="str">
        <f>IF(H22=0,"",(G22)/(H22))</f>
        <v/>
      </c>
    </row>
    <row r="23" spans="1:10" x14ac:dyDescent="0.2">
      <c r="A23" s="2" t="s">
        <v>41</v>
      </c>
      <c r="B23" s="8">
        <f>38.25</f>
        <v>38.25</v>
      </c>
      <c r="C23" s="7"/>
      <c r="D23" s="8">
        <f>(B23)-(C23)</f>
        <v>38.25</v>
      </c>
      <c r="E23" s="12" t="str">
        <f>IF(C23=0,"",(B23)/(C23))</f>
        <v/>
      </c>
      <c r="F23" s="28"/>
      <c r="G23" s="8">
        <f>B23</f>
        <v>38.25</v>
      </c>
      <c r="H23" s="8"/>
      <c r="I23" s="8">
        <f>(G23)-(H23)</f>
        <v>38.25</v>
      </c>
      <c r="J23" s="12" t="str">
        <f>IF(H23=0,"",(G23)/(H23))</f>
        <v/>
      </c>
    </row>
    <row r="24" spans="1:10" x14ac:dyDescent="0.2">
      <c r="A24" s="2" t="s">
        <v>40</v>
      </c>
      <c r="B24" s="9">
        <f>((B21)+(B22))+(B23)</f>
        <v>538.25</v>
      </c>
      <c r="C24" s="9">
        <f>((C21)+(C22))+(C23)</f>
        <v>0</v>
      </c>
      <c r="D24" s="9">
        <f>(B24)-(C24)</f>
        <v>538.25</v>
      </c>
      <c r="E24" s="13" t="str">
        <f>IF(C24=0,"",(B24)/(C24))</f>
        <v/>
      </c>
      <c r="F24" s="17"/>
      <c r="G24" s="9">
        <f>B24</f>
        <v>538.25</v>
      </c>
      <c r="H24" s="9">
        <f>C24</f>
        <v>0</v>
      </c>
      <c r="I24" s="9">
        <f>(G24)-(H24)</f>
        <v>538.25</v>
      </c>
      <c r="J24" s="13" t="str">
        <f>IF(H24=0,"",(G24)/(H24))</f>
        <v/>
      </c>
    </row>
    <row r="25" spans="1:10" x14ac:dyDescent="0.2">
      <c r="A25" s="2"/>
      <c r="B25" s="16"/>
      <c r="C25" s="16"/>
      <c r="D25" s="16"/>
      <c r="E25" s="17"/>
      <c r="F25" s="17"/>
      <c r="G25" s="16"/>
      <c r="H25" s="16"/>
      <c r="I25" s="16"/>
      <c r="J25" s="17"/>
    </row>
    <row r="26" spans="1:10" x14ac:dyDescent="0.2">
      <c r="A26" s="2" t="s">
        <v>7</v>
      </c>
      <c r="B26" s="9">
        <f>B24</f>
        <v>538.25</v>
      </c>
      <c r="C26" s="9">
        <f>C24</f>
        <v>0</v>
      </c>
      <c r="D26" s="9">
        <f>(B26)-(C26)</f>
        <v>538.25</v>
      </c>
      <c r="E26" s="13" t="str">
        <f>IF(C26=0,"",(B26)/(C26))</f>
        <v/>
      </c>
      <c r="F26" s="17"/>
      <c r="G26" s="9">
        <f>B26</f>
        <v>538.25</v>
      </c>
      <c r="H26" s="9">
        <f>C26</f>
        <v>0</v>
      </c>
      <c r="I26" s="9">
        <f>(G26)-(H26)</f>
        <v>538.25</v>
      </c>
      <c r="J26" s="13" t="str">
        <f>IF(H26=0,"",(G26)/(H26))</f>
        <v/>
      </c>
    </row>
    <row r="27" spans="1:10" x14ac:dyDescent="0.2">
      <c r="A27" s="2"/>
      <c r="B27" s="9"/>
      <c r="C27" s="9"/>
      <c r="D27" s="9"/>
      <c r="E27" s="13"/>
      <c r="F27" s="17"/>
      <c r="G27" s="9"/>
      <c r="H27" s="9"/>
      <c r="I27" s="9"/>
      <c r="J27" s="13"/>
    </row>
    <row r="28" spans="1:10" hidden="1" x14ac:dyDescent="0.2">
      <c r="A28" s="2" t="s">
        <v>6</v>
      </c>
      <c r="B28" s="9">
        <f>(B18)-(B26)</f>
        <v>-88.25</v>
      </c>
      <c r="C28" s="9">
        <f>(C18)-(C26)</f>
        <v>0</v>
      </c>
      <c r="D28" s="9">
        <f>(B28)-(C28)</f>
        <v>-88.25</v>
      </c>
      <c r="E28" s="13" t="str">
        <f>IF(C28=0,"",(B28)/(C28))</f>
        <v/>
      </c>
      <c r="F28" s="17"/>
      <c r="G28" s="9">
        <f>B28</f>
        <v>-88.25</v>
      </c>
      <c r="H28" s="9">
        <f>C28</f>
        <v>0</v>
      </c>
      <c r="I28" s="9">
        <f>(G28)-(H28)</f>
        <v>-88.25</v>
      </c>
      <c r="J28" s="13" t="str">
        <f>IF(H28=0,"",(G28)/(H28))</f>
        <v/>
      </c>
    </row>
    <row r="29" spans="1:10" ht="16" thickBot="1" x14ac:dyDescent="0.25">
      <c r="A29" s="2" t="s">
        <v>1</v>
      </c>
      <c r="B29" s="22">
        <f>(B28)+(0)</f>
        <v>-88.25</v>
      </c>
      <c r="C29" s="22">
        <f>(C28)+(0)</f>
        <v>0</v>
      </c>
      <c r="D29" s="22">
        <f>(B29)-(C29)</f>
        <v>-88.25</v>
      </c>
      <c r="E29" s="23" t="str">
        <f>IF(C29=0,"",(B29)/(C29))</f>
        <v/>
      </c>
      <c r="F29" s="17"/>
      <c r="G29" s="22">
        <f>B29</f>
        <v>-88.25</v>
      </c>
      <c r="H29" s="22">
        <f>C29</f>
        <v>0</v>
      </c>
      <c r="I29" s="22">
        <f>(G29)-(H29)</f>
        <v>-88.25</v>
      </c>
      <c r="J29" s="23" t="str">
        <f>IF(H29=0,"",(G29)/(H29))</f>
        <v/>
      </c>
    </row>
    <row r="30" spans="1:10" ht="17" thickTop="1" thickBot="1" x14ac:dyDescent="0.25">
      <c r="A30" s="2"/>
      <c r="B30" s="7"/>
      <c r="C30" s="7"/>
      <c r="D30" s="7"/>
      <c r="E30" s="11"/>
      <c r="F30" s="27"/>
      <c r="G30" s="7"/>
      <c r="H30" s="7"/>
      <c r="I30" s="7"/>
      <c r="J30" s="11"/>
    </row>
    <row r="31" spans="1:10" ht="16" thickBot="1" x14ac:dyDescent="0.25">
      <c r="A31" s="30" t="s">
        <v>75</v>
      </c>
      <c r="B31" s="24"/>
      <c r="C31" s="24"/>
      <c r="D31" s="24"/>
      <c r="E31" s="25"/>
      <c r="F31" s="29"/>
      <c r="G31" s="31">
        <f>G7+G29</f>
        <v>1561.75</v>
      </c>
      <c r="H31" s="24"/>
      <c r="I31" s="24"/>
      <c r="J31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B41A-2C1E-4393-BBDE-3F1E46E362EF}">
  <sheetPr codeName="Sheet13">
    <pageSetUpPr fitToPage="1"/>
  </sheetPr>
  <dimension ref="A1:J38"/>
  <sheetViews>
    <sheetView workbookViewId="0">
      <selection activeCell="M19" sqref="M19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81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1936.48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 t="str">
        <f>IF(H10=0,"",(G10)/(H10))</f>
        <v/>
      </c>
    </row>
    <row r="11" spans="1:10" x14ac:dyDescent="0.2">
      <c r="A11" s="2" t="s">
        <v>53</v>
      </c>
      <c r="B11" s="8">
        <f>342</f>
        <v>342</v>
      </c>
      <c r="C11" s="8">
        <f>400</f>
        <v>400</v>
      </c>
      <c r="D11" s="8">
        <f>(B11)-(C11)</f>
        <v>-58</v>
      </c>
      <c r="E11" s="12">
        <f>IF(C11=0,"",(B11)/(C11))</f>
        <v>0.85499999999999998</v>
      </c>
      <c r="F11" s="28"/>
      <c r="G11" s="8">
        <f>B11</f>
        <v>342</v>
      </c>
      <c r="H11" s="8">
        <f>C11</f>
        <v>400</v>
      </c>
      <c r="I11" s="8">
        <f>(G11)-(H11)</f>
        <v>-58</v>
      </c>
      <c r="J11" s="12">
        <f>IF(H11=0,"",(G11)/(H11))</f>
        <v>0.85499999999999998</v>
      </c>
    </row>
    <row r="12" spans="1:10" x14ac:dyDescent="0.2">
      <c r="A12" s="2" t="s">
        <v>52</v>
      </c>
      <c r="B12" s="9">
        <f>(B10)+(B11)</f>
        <v>342</v>
      </c>
      <c r="C12" s="9">
        <f>(C10)+(C11)</f>
        <v>400</v>
      </c>
      <c r="D12" s="9">
        <f>(B12)-(C12)</f>
        <v>-58</v>
      </c>
      <c r="E12" s="13">
        <f>IF(C12=0,"",(B12)/(C12))</f>
        <v>0.85499999999999998</v>
      </c>
      <c r="F12" s="17"/>
      <c r="G12" s="9">
        <f>B12</f>
        <v>342</v>
      </c>
      <c r="H12" s="9">
        <f>C12</f>
        <v>400</v>
      </c>
      <c r="I12" s="9">
        <f>(G12)-(H12)</f>
        <v>-58</v>
      </c>
      <c r="J12" s="13">
        <f>IF(H12=0,"",(G12)/(H12))</f>
        <v>0.85499999999999998</v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/>
    </row>
    <row r="14" spans="1:10" x14ac:dyDescent="0.2">
      <c r="A14" s="2" t="s">
        <v>50</v>
      </c>
      <c r="B14" s="8">
        <f>-34.2</f>
        <v>-34.200000000000003</v>
      </c>
      <c r="C14" s="8">
        <f>-40</f>
        <v>-40</v>
      </c>
      <c r="D14" s="8">
        <f>(B14)-(C14)</f>
        <v>5.7999999999999972</v>
      </c>
      <c r="E14" s="12">
        <f>IF(C14=0,"",(B14)/(C14))</f>
        <v>0.85500000000000009</v>
      </c>
      <c r="F14" s="28"/>
      <c r="G14" s="8">
        <f>B14</f>
        <v>-34.200000000000003</v>
      </c>
      <c r="H14" s="8">
        <f>C14</f>
        <v>-40</v>
      </c>
      <c r="I14" s="8">
        <f>(G14)-(H14)</f>
        <v>5.7999999999999972</v>
      </c>
      <c r="J14" s="12">
        <f>IF(H14=0,"",(G14)/(H14))</f>
        <v>0.85500000000000009</v>
      </c>
    </row>
    <row r="15" spans="1:10" x14ac:dyDescent="0.2">
      <c r="A15" s="2" t="s">
        <v>49</v>
      </c>
      <c r="B15" s="9">
        <f>(B13)+(B14)</f>
        <v>-34.200000000000003</v>
      </c>
      <c r="C15" s="9">
        <f>(C13)+(C14)</f>
        <v>-40</v>
      </c>
      <c r="D15" s="9">
        <f>(B15)-(C15)</f>
        <v>5.7999999999999972</v>
      </c>
      <c r="E15" s="13">
        <f>IF(C15=0,"",(B15)/(C15))</f>
        <v>0.85500000000000009</v>
      </c>
      <c r="F15" s="17"/>
      <c r="G15" s="9">
        <f>B15</f>
        <v>-34.200000000000003</v>
      </c>
      <c r="H15" s="9">
        <f>C15</f>
        <v>-40</v>
      </c>
      <c r="I15" s="9">
        <f>(G15)-(H15)</f>
        <v>5.7999999999999972</v>
      </c>
      <c r="J15" s="13">
        <f>IF(H15=0,"",(G15)/(H15))</f>
        <v>0.85500000000000009</v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307.8</v>
      </c>
      <c r="C17" s="18">
        <f>(C12)+(C15)</f>
        <v>360</v>
      </c>
      <c r="D17" s="18">
        <f>(B17)-(C17)</f>
        <v>-52.199999999999989</v>
      </c>
      <c r="E17" s="19">
        <f>IF(C17=0,"",(B17)/(C17))</f>
        <v>0.85499999999999998</v>
      </c>
      <c r="F17" s="17"/>
      <c r="G17" s="18">
        <f>B17</f>
        <v>307.8</v>
      </c>
      <c r="H17" s="18">
        <f>C17</f>
        <v>360</v>
      </c>
      <c r="I17" s="18">
        <f>(G17)-(H17)</f>
        <v>-52.199999999999989</v>
      </c>
      <c r="J17" s="19">
        <f>IF(H17=0,"",(G17)/(H17))</f>
        <v>0.85499999999999998</v>
      </c>
    </row>
    <row r="18" spans="1:10" hidden="1" x14ac:dyDescent="0.2">
      <c r="A18" s="2" t="s">
        <v>47</v>
      </c>
      <c r="B18" s="9">
        <f>(B17)-(0)</f>
        <v>307.8</v>
      </c>
      <c r="C18" s="9">
        <f>(C17)-(0)</f>
        <v>360</v>
      </c>
      <c r="D18" s="9">
        <f>(B18)-(C18)</f>
        <v>-52.199999999999989</v>
      </c>
      <c r="E18" s="13">
        <f>IF(C18=0,"",(B18)/(C18))</f>
        <v>0.85499999999999998</v>
      </c>
      <c r="F18" s="17"/>
      <c r="G18" s="9">
        <f>B18</f>
        <v>307.8</v>
      </c>
      <c r="H18" s="9">
        <f>C18</f>
        <v>360</v>
      </c>
      <c r="I18" s="9">
        <f>(G18)-(H18)</f>
        <v>-52.199999999999989</v>
      </c>
      <c r="J18" s="13">
        <f>IF(H18=0,"",(G18)/(H18))</f>
        <v>0.85499999999999998</v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45</v>
      </c>
      <c r="B21" s="7"/>
      <c r="C21" s="7"/>
      <c r="D21" s="8"/>
      <c r="E21" s="12"/>
      <c r="F21" s="28"/>
      <c r="G21" s="8"/>
      <c r="H21" s="8"/>
      <c r="I21" s="8"/>
      <c r="J21" s="12" t="str">
        <f>IF(H21=0,"",(G21)/(H21))</f>
        <v/>
      </c>
    </row>
    <row r="22" spans="1:10" x14ac:dyDescent="0.2">
      <c r="A22" s="2" t="s">
        <v>44</v>
      </c>
      <c r="B22" s="8">
        <f>340</f>
        <v>340</v>
      </c>
      <c r="C22" s="8">
        <f>340</f>
        <v>340</v>
      </c>
      <c r="D22" s="8"/>
      <c r="E22" s="12">
        <f>IF(C22=0,"",(B22)/(C22))</f>
        <v>1</v>
      </c>
      <c r="F22" s="28"/>
      <c r="G22" s="8">
        <f>B22</f>
        <v>340</v>
      </c>
      <c r="H22" s="8">
        <f>C22</f>
        <v>340</v>
      </c>
      <c r="I22" s="8"/>
      <c r="J22" s="12">
        <f>IF(H22=0,"",(G22)/(H22))</f>
        <v>1</v>
      </c>
    </row>
    <row r="23" spans="1:10" x14ac:dyDescent="0.2">
      <c r="A23" s="2" t="s">
        <v>42</v>
      </c>
      <c r="B23" s="8">
        <f>3.37</f>
        <v>3.37</v>
      </c>
      <c r="C23" s="7"/>
      <c r="D23" s="8">
        <f>(B23)-(C23)</f>
        <v>3.37</v>
      </c>
      <c r="E23" s="12" t="str">
        <f>IF(C23=0,"",(B23)/(C23))</f>
        <v/>
      </c>
      <c r="F23" s="28"/>
      <c r="G23" s="8">
        <f>B23</f>
        <v>3.37</v>
      </c>
      <c r="H23" s="8"/>
      <c r="I23" s="8">
        <f>(G23)-(H23)</f>
        <v>3.37</v>
      </c>
      <c r="J23" s="12" t="str">
        <f>IF(H23=0,"",(G23)/(H23))</f>
        <v/>
      </c>
    </row>
    <row r="24" spans="1:10" x14ac:dyDescent="0.2">
      <c r="A24" s="2" t="s">
        <v>41</v>
      </c>
      <c r="B24" s="8">
        <f>26.01</f>
        <v>26.01</v>
      </c>
      <c r="C24" s="8">
        <f>26.01</f>
        <v>26.01</v>
      </c>
      <c r="D24" s="8"/>
      <c r="E24" s="12">
        <f>IF(C24=0,"",(B24)/(C24))</f>
        <v>1</v>
      </c>
      <c r="F24" s="28"/>
      <c r="G24" s="8">
        <f>B24</f>
        <v>26.01</v>
      </c>
      <c r="H24" s="8">
        <f>C24</f>
        <v>26.01</v>
      </c>
      <c r="I24" s="8"/>
      <c r="J24" s="12">
        <f>IF(H24=0,"",(G24)/(H24))</f>
        <v>1</v>
      </c>
    </row>
    <row r="25" spans="1:10" x14ac:dyDescent="0.2">
      <c r="A25" s="2" t="s">
        <v>40</v>
      </c>
      <c r="B25" s="9">
        <f>(((B21)+(B22))+(B23))+(B24)</f>
        <v>369.38</v>
      </c>
      <c r="C25" s="9">
        <f>(((C21)+(C22))+(C23))+(C24)</f>
        <v>366.01</v>
      </c>
      <c r="D25" s="9">
        <f>(B25)-(C25)</f>
        <v>3.3700000000000045</v>
      </c>
      <c r="E25" s="13">
        <f>IF(C25=0,"",(B25)/(C25))</f>
        <v>1.0092073987049535</v>
      </c>
      <c r="F25" s="17"/>
      <c r="G25" s="9">
        <f>B25</f>
        <v>369.38</v>
      </c>
      <c r="H25" s="9">
        <f>C25</f>
        <v>366.01</v>
      </c>
      <c r="I25" s="9">
        <f>(G25)-(H25)</f>
        <v>3.3700000000000045</v>
      </c>
      <c r="J25" s="13">
        <f>IF(H25=0,"",(G25)/(H25))</f>
        <v>1.0092073987049535</v>
      </c>
    </row>
    <row r="26" spans="1:10" x14ac:dyDescent="0.2">
      <c r="A26" s="2"/>
      <c r="B26" s="20"/>
      <c r="C26" s="20"/>
      <c r="D26" s="20"/>
      <c r="E26" s="21"/>
      <c r="F26" s="17"/>
      <c r="G26" s="20"/>
      <c r="H26" s="20"/>
      <c r="I26" s="20"/>
      <c r="J26" s="21"/>
    </row>
    <row r="27" spans="1:10" x14ac:dyDescent="0.2">
      <c r="A27" s="2" t="s">
        <v>7</v>
      </c>
      <c r="B27" s="9">
        <f>B25</f>
        <v>369.38</v>
      </c>
      <c r="C27" s="9">
        <f>C25</f>
        <v>366.01</v>
      </c>
      <c r="D27" s="9">
        <f>(B27)-(C27)</f>
        <v>3.3700000000000045</v>
      </c>
      <c r="E27" s="13">
        <f>IF(C27=0,"",(B27)/(C27))</f>
        <v>1.0092073987049535</v>
      </c>
      <c r="F27" s="17"/>
      <c r="G27" s="9">
        <f>B27</f>
        <v>369.38</v>
      </c>
      <c r="H27" s="9">
        <f>C27</f>
        <v>366.01</v>
      </c>
      <c r="I27" s="9">
        <f>(G27)-(H27)</f>
        <v>3.3700000000000045</v>
      </c>
      <c r="J27" s="13">
        <f>IF(H27=0,"",(G27)/(H27))</f>
        <v>1.0092073987049535</v>
      </c>
    </row>
    <row r="28" spans="1:10" x14ac:dyDescent="0.2">
      <c r="A28" s="2"/>
      <c r="B28" s="9"/>
      <c r="C28" s="9"/>
      <c r="D28" s="9"/>
      <c r="E28" s="13"/>
      <c r="F28" s="17"/>
      <c r="G28" s="9"/>
      <c r="H28" s="9"/>
      <c r="I28" s="9"/>
      <c r="J28" s="13"/>
    </row>
    <row r="29" spans="1:10" x14ac:dyDescent="0.2">
      <c r="A29" s="2" t="s">
        <v>6</v>
      </c>
      <c r="B29" s="9">
        <f>(B18)-(B27)</f>
        <v>-61.579999999999984</v>
      </c>
      <c r="C29" s="9">
        <f>(C18)-(C27)</f>
        <v>-6.0099999999999909</v>
      </c>
      <c r="D29" s="9">
        <f>(B29)-(C29)</f>
        <v>-55.569999999999993</v>
      </c>
      <c r="E29" s="13">
        <f>IF(C29=0,"",(B29)/(C29))</f>
        <v>10.246256239600678</v>
      </c>
      <c r="F29" s="17"/>
      <c r="G29" s="9">
        <f>B29</f>
        <v>-61.579999999999984</v>
      </c>
      <c r="H29" s="9">
        <f>C29</f>
        <v>-6.0099999999999909</v>
      </c>
      <c r="I29" s="9">
        <f>(G29)-(H29)</f>
        <v>-55.569999999999993</v>
      </c>
      <c r="J29" s="13">
        <f>IF(H29=0,"",(G29)/(H29))</f>
        <v>10.246256239600678</v>
      </c>
    </row>
    <row r="30" spans="1:10" x14ac:dyDescent="0.2">
      <c r="A30" s="2"/>
      <c r="B30" s="16"/>
      <c r="C30" s="16"/>
      <c r="D30" s="16"/>
      <c r="E30" s="17"/>
      <c r="F30" s="17"/>
      <c r="G30" s="16"/>
      <c r="H30" s="16"/>
      <c r="I30" s="16"/>
      <c r="J30" s="17"/>
    </row>
    <row r="31" spans="1:10" x14ac:dyDescent="0.2">
      <c r="A31" s="2" t="s">
        <v>5</v>
      </c>
      <c r="B31" s="7"/>
      <c r="C31" s="7"/>
      <c r="D31" s="7"/>
      <c r="E31" s="11"/>
      <c r="F31" s="27"/>
      <c r="G31" s="7"/>
      <c r="H31" s="7"/>
      <c r="I31" s="7"/>
      <c r="J31" s="11"/>
    </row>
    <row r="32" spans="1:10" x14ac:dyDescent="0.2">
      <c r="A32" s="2" t="s">
        <v>4</v>
      </c>
      <c r="B32" s="8">
        <f>5750.85</f>
        <v>5750.85</v>
      </c>
      <c r="C32" s="7"/>
      <c r="D32" s="8">
        <f>(B32)-(C32)</f>
        <v>5750.85</v>
      </c>
      <c r="E32" s="12" t="str">
        <f>IF(C32=0,"",(B32)/(C32))</f>
        <v/>
      </c>
      <c r="F32" s="28"/>
      <c r="G32" s="8">
        <f t="shared" ref="G32:H34" si="0">B32</f>
        <v>5750.85</v>
      </c>
      <c r="H32" s="8">
        <f t="shared" si="0"/>
        <v>0</v>
      </c>
      <c r="I32" s="8">
        <f>(G32)-(H32)</f>
        <v>5750.85</v>
      </c>
      <c r="J32" s="12" t="str">
        <f>IF(H32=0,"",(G32)/(H32))</f>
        <v/>
      </c>
    </row>
    <row r="33" spans="1:10" hidden="1" x14ac:dyDescent="0.2">
      <c r="A33" s="2" t="s">
        <v>3</v>
      </c>
      <c r="B33" s="9">
        <f>B32</f>
        <v>5750.85</v>
      </c>
      <c r="C33" s="9">
        <f>C32</f>
        <v>0</v>
      </c>
      <c r="D33" s="9">
        <f>(B33)-(C33)</f>
        <v>5750.85</v>
      </c>
      <c r="E33" s="13" t="str">
        <f>IF(C33=0,"",(B33)/(C33))</f>
        <v/>
      </c>
      <c r="F33" s="17"/>
      <c r="G33" s="9">
        <f t="shared" si="0"/>
        <v>5750.85</v>
      </c>
      <c r="H33" s="9">
        <f t="shared" si="0"/>
        <v>0</v>
      </c>
      <c r="I33" s="9">
        <f>(G33)-(H33)</f>
        <v>5750.85</v>
      </c>
      <c r="J33" s="13" t="str">
        <f>IF(H33=0,"",(G33)/(H33))</f>
        <v/>
      </c>
    </row>
    <row r="34" spans="1:10" x14ac:dyDescent="0.2">
      <c r="A34" s="2" t="s">
        <v>2</v>
      </c>
      <c r="B34" s="9">
        <f>(B33)-(0)</f>
        <v>5750.85</v>
      </c>
      <c r="C34" s="9">
        <f>(C33)-(0)</f>
        <v>0</v>
      </c>
      <c r="D34" s="9">
        <f>(B34)-(C34)</f>
        <v>5750.85</v>
      </c>
      <c r="E34" s="13" t="str">
        <f>IF(C34=0,"",(B34)/(C34))</f>
        <v/>
      </c>
      <c r="F34" s="17"/>
      <c r="G34" s="9">
        <f t="shared" si="0"/>
        <v>5750.85</v>
      </c>
      <c r="H34" s="9">
        <f t="shared" si="0"/>
        <v>0</v>
      </c>
      <c r="I34" s="9">
        <f>(G34)-(H34)</f>
        <v>5750.85</v>
      </c>
      <c r="J34" s="13" t="str">
        <f>IF(H34=0,"",(G34)/(H34))</f>
        <v/>
      </c>
    </row>
    <row r="35" spans="1:10" x14ac:dyDescent="0.2">
      <c r="A35" s="2"/>
      <c r="B35" s="16"/>
      <c r="C35" s="16"/>
      <c r="D35" s="16"/>
      <c r="E35" s="17"/>
      <c r="F35" s="17"/>
      <c r="G35" s="16"/>
      <c r="H35" s="16"/>
      <c r="I35" s="16"/>
      <c r="J35" s="17"/>
    </row>
    <row r="36" spans="1:10" ht="16" thickBot="1" x14ac:dyDescent="0.25">
      <c r="A36" s="2" t="s">
        <v>1</v>
      </c>
      <c r="B36" s="22">
        <f>(B29)+(B34)</f>
        <v>5689.27</v>
      </c>
      <c r="C36" s="22">
        <f>(C29)+(C34)</f>
        <v>-6.0099999999999909</v>
      </c>
      <c r="D36" s="22">
        <f>(B36)-(C36)</f>
        <v>5695.2800000000007</v>
      </c>
      <c r="E36" s="23">
        <f>IF(C36=0,"",(B36)/(C36))</f>
        <v>-946.63394342762217</v>
      </c>
      <c r="F36" s="17"/>
      <c r="G36" s="22">
        <f>B36</f>
        <v>5689.27</v>
      </c>
      <c r="H36" s="22">
        <f>C36</f>
        <v>-6.0099999999999909</v>
      </c>
      <c r="I36" s="22">
        <f>(G36)-(H36)</f>
        <v>5695.2800000000007</v>
      </c>
      <c r="J36" s="23">
        <f>IF(H36=0,"",(G36)/(H36))</f>
        <v>-946.63394342762217</v>
      </c>
    </row>
    <row r="37" spans="1:10" ht="17" thickTop="1" thickBot="1" x14ac:dyDescent="0.25">
      <c r="A37" s="2"/>
      <c r="B37" s="7"/>
      <c r="C37" s="7"/>
      <c r="D37" s="7"/>
      <c r="E37" s="11"/>
      <c r="F37" s="27"/>
      <c r="G37" s="7"/>
      <c r="H37" s="7"/>
      <c r="I37" s="7"/>
      <c r="J37" s="11"/>
    </row>
    <row r="38" spans="1:10" ht="16" thickBot="1" x14ac:dyDescent="0.25">
      <c r="A38" s="30" t="s">
        <v>75</v>
      </c>
      <c r="B38" s="24"/>
      <c r="C38" s="24"/>
      <c r="D38" s="24"/>
      <c r="E38" s="25"/>
      <c r="F38" s="29"/>
      <c r="G38" s="31">
        <f>G7+G36</f>
        <v>7625.75</v>
      </c>
      <c r="H38" s="24"/>
      <c r="I38" s="24"/>
      <c r="J38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B9E8-9F52-4FB2-842B-1C88A7FBEC9C}">
  <sheetPr codeName="Sheet15">
    <pageSetUpPr fitToPage="1"/>
  </sheetPr>
  <dimension ref="A1:J26"/>
  <sheetViews>
    <sheetView workbookViewId="0">
      <selection activeCell="E35" sqref="E35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82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3031.95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 t="str">
        <f t="shared" ref="J10:J15" si="0">IF(H10=0,"",(G10)/(H10))</f>
        <v/>
      </c>
    </row>
    <row r="11" spans="1:10" x14ac:dyDescent="0.2">
      <c r="A11" s="2" t="s">
        <v>53</v>
      </c>
      <c r="B11" s="8">
        <f>51.5</f>
        <v>51.5</v>
      </c>
      <c r="C11" s="7"/>
      <c r="D11" s="8">
        <f>(B11)-(C11)</f>
        <v>51.5</v>
      </c>
      <c r="E11" s="12" t="str">
        <f>IF(C11=0,"",(B11)/(C11))</f>
        <v/>
      </c>
      <c r="F11" s="28"/>
      <c r="G11" s="8">
        <f>B11</f>
        <v>51.5</v>
      </c>
      <c r="H11" s="8"/>
      <c r="I11" s="8">
        <f>(G11)-(H11)</f>
        <v>51.5</v>
      </c>
      <c r="J11" s="12" t="str">
        <f t="shared" si="0"/>
        <v/>
      </c>
    </row>
    <row r="12" spans="1:10" x14ac:dyDescent="0.2">
      <c r="A12" s="2" t="s">
        <v>52</v>
      </c>
      <c r="B12" s="9">
        <f>(B10)+(B11)</f>
        <v>51.5</v>
      </c>
      <c r="C12" s="9">
        <f>(C10)+(C11)</f>
        <v>0</v>
      </c>
      <c r="D12" s="9">
        <f>(B12)-(C12)</f>
        <v>51.5</v>
      </c>
      <c r="E12" s="13" t="str">
        <f>IF(C12=0,"",(B12)/(C12))</f>
        <v/>
      </c>
      <c r="F12" s="17"/>
      <c r="G12" s="9">
        <f>B12</f>
        <v>51.5</v>
      </c>
      <c r="H12" s="9">
        <f>C12</f>
        <v>0</v>
      </c>
      <c r="I12" s="9">
        <f>(G12)-(H12)</f>
        <v>51.5</v>
      </c>
      <c r="J12" s="13" t="str">
        <f t="shared" si="0"/>
        <v/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 t="str">
        <f t="shared" si="0"/>
        <v/>
      </c>
    </row>
    <row r="14" spans="1:10" x14ac:dyDescent="0.2">
      <c r="A14" s="2" t="s">
        <v>50</v>
      </c>
      <c r="B14" s="8">
        <f>-5.15</f>
        <v>-5.15</v>
      </c>
      <c r="C14" s="7"/>
      <c r="D14" s="8">
        <f>(B14)-(C14)</f>
        <v>-5.15</v>
      </c>
      <c r="E14" s="12" t="str">
        <f>IF(C14=0,"",(B14)/(C14))</f>
        <v/>
      </c>
      <c r="F14" s="28"/>
      <c r="G14" s="8">
        <f>B14</f>
        <v>-5.15</v>
      </c>
      <c r="H14" s="8"/>
      <c r="I14" s="8">
        <f>(G14)-(H14)</f>
        <v>-5.15</v>
      </c>
      <c r="J14" s="12" t="str">
        <f t="shared" si="0"/>
        <v/>
      </c>
    </row>
    <row r="15" spans="1:10" x14ac:dyDescent="0.2">
      <c r="A15" s="2" t="s">
        <v>49</v>
      </c>
      <c r="B15" s="9">
        <f>(B13)+(B14)</f>
        <v>-5.15</v>
      </c>
      <c r="C15" s="9">
        <f>(C13)+(C14)</f>
        <v>0</v>
      </c>
      <c r="D15" s="9">
        <f>(B15)-(C15)</f>
        <v>-5.15</v>
      </c>
      <c r="E15" s="13" t="str">
        <f>IF(C15=0,"",(B15)/(C15))</f>
        <v/>
      </c>
      <c r="F15" s="17"/>
      <c r="G15" s="9">
        <f>B15</f>
        <v>-5.15</v>
      </c>
      <c r="H15" s="9">
        <f>C15</f>
        <v>0</v>
      </c>
      <c r="I15" s="9">
        <f>(G15)-(H15)</f>
        <v>-5.15</v>
      </c>
      <c r="J15" s="13" t="str">
        <f t="shared" si="0"/>
        <v/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46.35</v>
      </c>
      <c r="C17" s="18">
        <f>(C12)+(C15)</f>
        <v>0</v>
      </c>
      <c r="D17" s="18">
        <f>(B17)-(C17)</f>
        <v>46.35</v>
      </c>
      <c r="E17" s="19" t="str">
        <f>IF(C17=0,"",(B17)/(C17))</f>
        <v/>
      </c>
      <c r="F17" s="17"/>
      <c r="G17" s="18">
        <f>B17</f>
        <v>46.35</v>
      </c>
      <c r="H17" s="18">
        <f>C17</f>
        <v>0</v>
      </c>
      <c r="I17" s="18">
        <f>(G17)-(H17)</f>
        <v>46.35</v>
      </c>
      <c r="J17" s="19" t="str">
        <f>IF(H17=0,"",(G17)/(H17))</f>
        <v/>
      </c>
    </row>
    <row r="18" spans="1:10" hidden="1" x14ac:dyDescent="0.2">
      <c r="A18" s="2" t="s">
        <v>47</v>
      </c>
      <c r="B18" s="9">
        <f>(B17)-(0)</f>
        <v>46.35</v>
      </c>
      <c r="C18" s="9">
        <f>(C17)-(0)</f>
        <v>0</v>
      </c>
      <c r="D18" s="9">
        <f>(B18)-(C18)</f>
        <v>46.35</v>
      </c>
      <c r="E18" s="13" t="str">
        <f>IF(C18=0,"",(B18)/(C18))</f>
        <v/>
      </c>
      <c r="F18" s="17"/>
      <c r="G18" s="9">
        <f>B18</f>
        <v>46.35</v>
      </c>
      <c r="H18" s="9">
        <f>C18</f>
        <v>0</v>
      </c>
      <c r="I18" s="9">
        <f>(G18)-(H18)</f>
        <v>46.35</v>
      </c>
      <c r="J18" s="13" t="str">
        <f>IF(H18=0,"",(G18)/(H18))</f>
        <v/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7</v>
      </c>
      <c r="B21" s="32"/>
      <c r="C21" s="32"/>
      <c r="D21" s="9">
        <f>(B21)-(C21)</f>
        <v>0</v>
      </c>
      <c r="E21" s="13" t="str">
        <f>IF(C21=0,"",(B21)/(C21))</f>
        <v/>
      </c>
      <c r="F21" s="17"/>
      <c r="G21" s="9">
        <f>B21</f>
        <v>0</v>
      </c>
      <c r="H21" s="9">
        <f>C21</f>
        <v>0</v>
      </c>
      <c r="I21" s="9">
        <f>(G21)-(H21)</f>
        <v>0</v>
      </c>
      <c r="J21" s="13" t="str">
        <f>IF(H21=0,"",(G21)/(H21))</f>
        <v/>
      </c>
    </row>
    <row r="22" spans="1:10" x14ac:dyDescent="0.2">
      <c r="A22" s="2"/>
      <c r="B22" s="7"/>
      <c r="C22" s="7"/>
      <c r="D22" s="9"/>
      <c r="E22" s="13"/>
      <c r="F22" s="17"/>
      <c r="G22" s="9"/>
      <c r="H22" s="9"/>
      <c r="I22" s="9"/>
      <c r="J22" s="13"/>
    </row>
    <row r="23" spans="1:10" hidden="1" x14ac:dyDescent="0.2">
      <c r="A23" s="2" t="s">
        <v>6</v>
      </c>
      <c r="B23" s="9">
        <f>(B18)-(B21)</f>
        <v>46.35</v>
      </c>
      <c r="C23" s="9">
        <f>(C18)-(C21)</f>
        <v>0</v>
      </c>
      <c r="D23" s="9">
        <f>(B23)-(C23)</f>
        <v>46.35</v>
      </c>
      <c r="E23" s="13" t="str">
        <f>IF(C23=0,"",(B23)/(C23))</f>
        <v/>
      </c>
      <c r="F23" s="17"/>
      <c r="G23" s="9">
        <f>B23</f>
        <v>46.35</v>
      </c>
      <c r="H23" s="9">
        <f>C23</f>
        <v>0</v>
      </c>
      <c r="I23" s="9">
        <f>(G23)-(H23)</f>
        <v>46.35</v>
      </c>
      <c r="J23" s="13" t="str">
        <f>IF(H23=0,"",(G23)/(H23))</f>
        <v/>
      </c>
    </row>
    <row r="24" spans="1:10" ht="16" thickBot="1" x14ac:dyDescent="0.25">
      <c r="A24" s="2" t="s">
        <v>1</v>
      </c>
      <c r="B24" s="22">
        <f>(B23)+(0)</f>
        <v>46.35</v>
      </c>
      <c r="C24" s="22">
        <f>(C23)+(0)</f>
        <v>0</v>
      </c>
      <c r="D24" s="22">
        <f>(B24)-(C24)</f>
        <v>46.35</v>
      </c>
      <c r="E24" s="23" t="str">
        <f>IF(C24=0,"",(B24)/(C24))</f>
        <v/>
      </c>
      <c r="F24" s="17"/>
      <c r="G24" s="22">
        <f>B24</f>
        <v>46.35</v>
      </c>
      <c r="H24" s="22">
        <f>C24</f>
        <v>0</v>
      </c>
      <c r="I24" s="22">
        <f>(G24)-(H24)</f>
        <v>46.35</v>
      </c>
      <c r="J24" s="23" t="str">
        <f>IF(H24=0,"",(G24)/(H24))</f>
        <v/>
      </c>
    </row>
    <row r="25" spans="1:10" ht="17" thickTop="1" thickBot="1" x14ac:dyDescent="0.25">
      <c r="A25" s="2"/>
      <c r="B25" s="7"/>
      <c r="C25" s="7"/>
      <c r="D25" s="7"/>
      <c r="E25" s="11"/>
      <c r="F25" s="27"/>
      <c r="G25" s="7"/>
      <c r="H25" s="7"/>
      <c r="I25" s="7"/>
      <c r="J25" s="11"/>
    </row>
    <row r="26" spans="1:10" ht="16" thickBot="1" x14ac:dyDescent="0.25">
      <c r="A26" s="30" t="s">
        <v>75</v>
      </c>
      <c r="B26" s="24"/>
      <c r="C26" s="24"/>
      <c r="D26" s="24"/>
      <c r="E26" s="25"/>
      <c r="F26" s="3"/>
      <c r="G26" s="31">
        <f>G7+G24</f>
        <v>3078.2999999999997</v>
      </c>
      <c r="H26" s="24"/>
      <c r="I26" s="24"/>
      <c r="J26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0714-D830-46CA-8E25-B6171B0B1A8D}">
  <sheetPr codeName="Sheet16">
    <pageSetUpPr fitToPage="1"/>
  </sheetPr>
  <dimension ref="A1:J26"/>
  <sheetViews>
    <sheetView workbookViewId="0">
      <selection activeCell="I35" sqref="I35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83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6254.67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 t="str">
        <f t="shared" ref="J10:J15" si="0">IF(H10=0,"",(G10)/(H10))</f>
        <v/>
      </c>
    </row>
    <row r="11" spans="1:10" x14ac:dyDescent="0.2">
      <c r="A11" s="2" t="s">
        <v>53</v>
      </c>
      <c r="B11" s="8">
        <f>433.25</f>
        <v>433.25</v>
      </c>
      <c r="C11" s="7"/>
      <c r="D11" s="8">
        <f>(B11)-(C11)</f>
        <v>433.25</v>
      </c>
      <c r="E11" s="12" t="str">
        <f>IF(C11=0,"",(B11)/(C11))</f>
        <v/>
      </c>
      <c r="F11" s="28"/>
      <c r="G11" s="8">
        <f>B11</f>
        <v>433.25</v>
      </c>
      <c r="H11" s="8"/>
      <c r="I11" s="8">
        <f>(G11)-(H11)</f>
        <v>433.25</v>
      </c>
      <c r="J11" s="12" t="str">
        <f t="shared" si="0"/>
        <v/>
      </c>
    </row>
    <row r="12" spans="1:10" x14ac:dyDescent="0.2">
      <c r="A12" s="2" t="s">
        <v>52</v>
      </c>
      <c r="B12" s="9">
        <f>(B10)+(B11)</f>
        <v>433.25</v>
      </c>
      <c r="C12" s="9">
        <f>(C10)+(C11)</f>
        <v>0</v>
      </c>
      <c r="D12" s="9">
        <f>(B12)-(C12)</f>
        <v>433.25</v>
      </c>
      <c r="E12" s="13" t="str">
        <f>IF(C12=0,"",(B12)/(C12))</f>
        <v/>
      </c>
      <c r="F12" s="17"/>
      <c r="G12" s="9">
        <f>B12</f>
        <v>433.25</v>
      </c>
      <c r="H12" s="9">
        <f>C12</f>
        <v>0</v>
      </c>
      <c r="I12" s="9">
        <f>(G12)-(H12)</f>
        <v>433.25</v>
      </c>
      <c r="J12" s="13" t="str">
        <f t="shared" si="0"/>
        <v/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 t="str">
        <f t="shared" si="0"/>
        <v/>
      </c>
    </row>
    <row r="14" spans="1:10" x14ac:dyDescent="0.2">
      <c r="A14" s="2" t="s">
        <v>50</v>
      </c>
      <c r="B14" s="8">
        <f>-43.33</f>
        <v>-43.33</v>
      </c>
      <c r="C14" s="7"/>
      <c r="D14" s="8">
        <f>(B14)-(C14)</f>
        <v>-43.33</v>
      </c>
      <c r="E14" s="12" t="str">
        <f>IF(C14=0,"",(B14)/(C14))</f>
        <v/>
      </c>
      <c r="F14" s="28"/>
      <c r="G14" s="8">
        <f>B14</f>
        <v>-43.33</v>
      </c>
      <c r="H14" s="8"/>
      <c r="I14" s="8">
        <f>(G14)-(H14)</f>
        <v>-43.33</v>
      </c>
      <c r="J14" s="12" t="str">
        <f t="shared" si="0"/>
        <v/>
      </c>
    </row>
    <row r="15" spans="1:10" x14ac:dyDescent="0.2">
      <c r="A15" s="2" t="s">
        <v>49</v>
      </c>
      <c r="B15" s="9">
        <f>(B13)+(B14)</f>
        <v>-43.33</v>
      </c>
      <c r="C15" s="9">
        <f>(C13)+(C14)</f>
        <v>0</v>
      </c>
      <c r="D15" s="9">
        <f>(B15)-(C15)</f>
        <v>-43.33</v>
      </c>
      <c r="E15" s="13" t="str">
        <f>IF(C15=0,"",(B15)/(C15))</f>
        <v/>
      </c>
      <c r="F15" s="17"/>
      <c r="G15" s="9">
        <f>B15</f>
        <v>-43.33</v>
      </c>
      <c r="H15" s="9">
        <f>C15</f>
        <v>0</v>
      </c>
      <c r="I15" s="9">
        <f>(G15)-(H15)</f>
        <v>-43.33</v>
      </c>
      <c r="J15" s="13" t="str">
        <f t="shared" si="0"/>
        <v/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389.92</v>
      </c>
      <c r="C17" s="18">
        <f>(C12)+(C15)</f>
        <v>0</v>
      </c>
      <c r="D17" s="18">
        <f>(B17)-(C17)</f>
        <v>389.92</v>
      </c>
      <c r="E17" s="19" t="str">
        <f>IF(C17=0,"",(B17)/(C17))</f>
        <v/>
      </c>
      <c r="F17" s="17"/>
      <c r="G17" s="18">
        <f>B17</f>
        <v>389.92</v>
      </c>
      <c r="H17" s="18">
        <f>C17</f>
        <v>0</v>
      </c>
      <c r="I17" s="18">
        <f>(G17)-(H17)</f>
        <v>389.92</v>
      </c>
      <c r="J17" s="19" t="str">
        <f>IF(H17=0,"",(G17)/(H17))</f>
        <v/>
      </c>
    </row>
    <row r="18" spans="1:10" hidden="1" x14ac:dyDescent="0.2">
      <c r="A18" s="2" t="s">
        <v>47</v>
      </c>
      <c r="B18" s="9">
        <f>(B17)-(0)</f>
        <v>389.92</v>
      </c>
      <c r="C18" s="9">
        <f>(C17)-(0)</f>
        <v>0</v>
      </c>
      <c r="D18" s="9">
        <f>(B18)-(C18)</f>
        <v>389.92</v>
      </c>
      <c r="E18" s="13" t="str">
        <f>IF(C18=0,"",(B18)/(C18))</f>
        <v/>
      </c>
      <c r="F18" s="17"/>
      <c r="G18" s="9">
        <f>B18</f>
        <v>389.92</v>
      </c>
      <c r="H18" s="9">
        <f>C18</f>
        <v>0</v>
      </c>
      <c r="I18" s="9">
        <f>(G18)-(H18)</f>
        <v>389.92</v>
      </c>
      <c r="J18" s="13" t="str">
        <f>IF(H18=0,"",(G18)/(H18))</f>
        <v/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7</v>
      </c>
      <c r="B21" s="32"/>
      <c r="C21" s="32"/>
      <c r="D21" s="9">
        <f>(B21)-(C21)</f>
        <v>0</v>
      </c>
      <c r="E21" s="13" t="str">
        <f>IF(C21=0,"",(B21)/(C21))</f>
        <v/>
      </c>
      <c r="F21" s="17"/>
      <c r="G21" s="9">
        <f>B21</f>
        <v>0</v>
      </c>
      <c r="H21" s="9">
        <f>C21</f>
        <v>0</v>
      </c>
      <c r="I21" s="9">
        <f>(G21)-(H21)</f>
        <v>0</v>
      </c>
      <c r="J21" s="13" t="str">
        <f>IF(H21=0,"",(G21)/(H21))</f>
        <v/>
      </c>
    </row>
    <row r="22" spans="1:10" x14ac:dyDescent="0.2">
      <c r="A22" s="2"/>
      <c r="B22" s="7"/>
      <c r="C22" s="7"/>
      <c r="D22" s="9"/>
      <c r="E22" s="13"/>
      <c r="F22" s="17"/>
      <c r="G22" s="9"/>
      <c r="H22" s="9"/>
      <c r="I22" s="9"/>
      <c r="J22" s="13"/>
    </row>
    <row r="23" spans="1:10" hidden="1" x14ac:dyDescent="0.2">
      <c r="A23" s="2" t="s">
        <v>6</v>
      </c>
      <c r="B23" s="9">
        <f>(B18)-(B21)</f>
        <v>389.92</v>
      </c>
      <c r="C23" s="9">
        <f>(C18)-(C21)</f>
        <v>0</v>
      </c>
      <c r="D23" s="9">
        <f>(B23)-(C23)</f>
        <v>389.92</v>
      </c>
      <c r="E23" s="13" t="str">
        <f>IF(C23=0,"",(B23)/(C23))</f>
        <v/>
      </c>
      <c r="F23" s="17"/>
      <c r="G23" s="9">
        <f>B23</f>
        <v>389.92</v>
      </c>
      <c r="H23" s="9">
        <f>C23</f>
        <v>0</v>
      </c>
      <c r="I23" s="9">
        <f>(G23)-(H23)</f>
        <v>389.92</v>
      </c>
      <c r="J23" s="13" t="str">
        <f>IF(H23=0,"",(G23)/(H23))</f>
        <v/>
      </c>
    </row>
    <row r="24" spans="1:10" ht="16" thickBot="1" x14ac:dyDescent="0.25">
      <c r="A24" s="2" t="s">
        <v>1</v>
      </c>
      <c r="B24" s="22">
        <f>(B23)+(0)</f>
        <v>389.92</v>
      </c>
      <c r="C24" s="22">
        <f>(C23)+(0)</f>
        <v>0</v>
      </c>
      <c r="D24" s="22">
        <f>(B24)-(C24)</f>
        <v>389.92</v>
      </c>
      <c r="E24" s="23" t="str">
        <f>IF(C24=0,"",(B24)/(C24))</f>
        <v/>
      </c>
      <c r="F24" s="17"/>
      <c r="G24" s="22">
        <f>B24</f>
        <v>389.92</v>
      </c>
      <c r="H24" s="22">
        <f>C24</f>
        <v>0</v>
      </c>
      <c r="I24" s="22">
        <f>(G24)-(H24)</f>
        <v>389.92</v>
      </c>
      <c r="J24" s="23" t="str">
        <f>IF(H24=0,"",(G24)/(H24))</f>
        <v/>
      </c>
    </row>
    <row r="25" spans="1:10" ht="17" thickTop="1" thickBot="1" x14ac:dyDescent="0.25">
      <c r="A25" s="2"/>
      <c r="B25" s="7"/>
      <c r="C25" s="7"/>
      <c r="D25" s="7"/>
      <c r="E25" s="11"/>
      <c r="F25" s="27"/>
      <c r="G25" s="7"/>
      <c r="H25" s="7"/>
      <c r="I25" s="7"/>
      <c r="J25" s="11"/>
    </row>
    <row r="26" spans="1:10" ht="16" thickBot="1" x14ac:dyDescent="0.25">
      <c r="A26" s="30" t="s">
        <v>75</v>
      </c>
      <c r="B26" s="24"/>
      <c r="C26" s="24"/>
      <c r="D26" s="24"/>
      <c r="E26" s="25"/>
      <c r="F26" s="29"/>
      <c r="G26" s="31">
        <f>G7+G24</f>
        <v>6644.59</v>
      </c>
      <c r="H26" s="24"/>
      <c r="I26" s="24"/>
      <c r="J26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8C40-3FDF-4CC5-B87E-73BE8F77DEF9}">
  <sheetPr codeName="Sheet17">
    <pageSetUpPr fitToPage="1"/>
  </sheetPr>
  <dimension ref="A1:J40"/>
  <sheetViews>
    <sheetView workbookViewId="0">
      <selection activeCell="L32" sqref="L32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84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7026.07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/>
    </row>
    <row r="11" spans="1:10" x14ac:dyDescent="0.2">
      <c r="A11" s="2" t="s">
        <v>53</v>
      </c>
      <c r="B11" s="8">
        <f>4442.75</f>
        <v>4442.75</v>
      </c>
      <c r="C11" s="8">
        <f>4500</f>
        <v>4500</v>
      </c>
      <c r="D11" s="8">
        <f>(B11)-(C11)</f>
        <v>-57.25</v>
      </c>
      <c r="E11" s="12">
        <f>IF(C11=0,"",(B11)/(C11))</f>
        <v>0.98727777777777781</v>
      </c>
      <c r="F11" s="28"/>
      <c r="G11" s="8">
        <f t="shared" ref="G11:H15" si="0">B11</f>
        <v>4442.75</v>
      </c>
      <c r="H11" s="8">
        <f t="shared" si="0"/>
        <v>4500</v>
      </c>
      <c r="I11" s="8">
        <f>(G11)-(H11)</f>
        <v>-57.25</v>
      </c>
      <c r="J11" s="12">
        <f t="shared" ref="J11:J18" si="1">IF(H11=0,"",(G11)/(H11))</f>
        <v>0.98727777777777781</v>
      </c>
    </row>
    <row r="12" spans="1:10" x14ac:dyDescent="0.2">
      <c r="A12" s="2" t="s">
        <v>52</v>
      </c>
      <c r="B12" s="9">
        <f>(B10)+(B11)</f>
        <v>4442.75</v>
      </c>
      <c r="C12" s="9">
        <f>(C10)+(C11)</f>
        <v>4500</v>
      </c>
      <c r="D12" s="9">
        <f>(B12)-(C12)</f>
        <v>-57.25</v>
      </c>
      <c r="E12" s="13">
        <f>IF(C12=0,"",(B12)/(C12))</f>
        <v>0.98727777777777781</v>
      </c>
      <c r="F12" s="17"/>
      <c r="G12" s="9">
        <f t="shared" si="0"/>
        <v>4442.75</v>
      </c>
      <c r="H12" s="9">
        <f t="shared" si="0"/>
        <v>4500</v>
      </c>
      <c r="I12" s="9">
        <f>(G12)-(H12)</f>
        <v>-57.25</v>
      </c>
      <c r="J12" s="13">
        <f t="shared" si="1"/>
        <v>0.98727777777777781</v>
      </c>
    </row>
    <row r="13" spans="1:10" hidden="1" x14ac:dyDescent="0.2">
      <c r="A13" s="2" t="s">
        <v>63</v>
      </c>
      <c r="B13" s="7"/>
      <c r="C13" s="7"/>
      <c r="D13" s="8">
        <f>(B13)-(C13)</f>
        <v>0</v>
      </c>
      <c r="E13" s="12" t="str">
        <f>IF(C13=0,"",(B13)/(C13))</f>
        <v/>
      </c>
      <c r="F13" s="28"/>
      <c r="G13" s="8">
        <f t="shared" si="0"/>
        <v>0</v>
      </c>
      <c r="H13" s="8">
        <f t="shared" si="0"/>
        <v>0</v>
      </c>
      <c r="I13" s="8">
        <f>(G13)-(H13)</f>
        <v>0</v>
      </c>
      <c r="J13" s="12" t="str">
        <f t="shared" si="1"/>
        <v/>
      </c>
    </row>
    <row r="14" spans="1:10" hidden="1" x14ac:dyDescent="0.2">
      <c r="A14" s="2" t="s">
        <v>62</v>
      </c>
      <c r="B14" s="7"/>
      <c r="C14" s="8">
        <f>0</f>
        <v>0</v>
      </c>
      <c r="D14" s="8">
        <f>(B14)-(C14)</f>
        <v>0</v>
      </c>
      <c r="E14" s="12" t="str">
        <f>IF(C14=0,"",(B14)/(C14))</f>
        <v/>
      </c>
      <c r="F14" s="28"/>
      <c r="G14" s="8">
        <f t="shared" si="0"/>
        <v>0</v>
      </c>
      <c r="H14" s="8">
        <f t="shared" si="0"/>
        <v>0</v>
      </c>
      <c r="I14" s="8">
        <f>(G14)-(H14)</f>
        <v>0</v>
      </c>
      <c r="J14" s="12" t="str">
        <f t="shared" si="1"/>
        <v/>
      </c>
    </row>
    <row r="15" spans="1:10" hidden="1" x14ac:dyDescent="0.2">
      <c r="A15" s="2" t="s">
        <v>61</v>
      </c>
      <c r="B15" s="9">
        <f>(B13)+(B14)</f>
        <v>0</v>
      </c>
      <c r="C15" s="9">
        <f>(C13)+(C14)</f>
        <v>0</v>
      </c>
      <c r="D15" s="9">
        <f>(B15)-(C15)</f>
        <v>0</v>
      </c>
      <c r="E15" s="13" t="str">
        <f>IF(C15=0,"",(B15)/(C15))</f>
        <v/>
      </c>
      <c r="F15" s="17"/>
      <c r="G15" s="9">
        <f t="shared" si="0"/>
        <v>0</v>
      </c>
      <c r="H15" s="9">
        <f t="shared" si="0"/>
        <v>0</v>
      </c>
      <c r="I15" s="9">
        <f>(G15)-(H15)</f>
        <v>0</v>
      </c>
      <c r="J15" s="13" t="str">
        <f t="shared" si="1"/>
        <v/>
      </c>
    </row>
    <row r="16" spans="1:10" x14ac:dyDescent="0.2">
      <c r="A16" s="2" t="s">
        <v>51</v>
      </c>
      <c r="B16" s="7"/>
      <c r="C16" s="7"/>
      <c r="D16" s="8"/>
      <c r="E16" s="12"/>
      <c r="F16" s="28"/>
      <c r="G16" s="8"/>
      <c r="H16" s="8"/>
      <c r="I16" s="8"/>
      <c r="J16" s="12" t="str">
        <f t="shared" si="1"/>
        <v/>
      </c>
    </row>
    <row r="17" spans="1:10" x14ac:dyDescent="0.2">
      <c r="A17" s="2" t="s">
        <v>50</v>
      </c>
      <c r="B17" s="8">
        <f>-444.28</f>
        <v>-444.28</v>
      </c>
      <c r="C17" s="8">
        <f>-450</f>
        <v>-450</v>
      </c>
      <c r="D17" s="8">
        <f>(B17)-(C17)</f>
        <v>5.7200000000000273</v>
      </c>
      <c r="E17" s="12">
        <f>IF(C17=0,"",(B17)/(C17))</f>
        <v>0.98728888888888888</v>
      </c>
      <c r="F17" s="28"/>
      <c r="G17" s="8">
        <f>B17</f>
        <v>-444.28</v>
      </c>
      <c r="H17" s="8">
        <f>C17</f>
        <v>-450</v>
      </c>
      <c r="I17" s="8">
        <f>(G17)-(H17)</f>
        <v>5.7200000000000273</v>
      </c>
      <c r="J17" s="12">
        <f t="shared" si="1"/>
        <v>0.98728888888888888</v>
      </c>
    </row>
    <row r="18" spans="1:10" x14ac:dyDescent="0.2">
      <c r="A18" s="2" t="s">
        <v>49</v>
      </c>
      <c r="B18" s="9">
        <f>(B16)+(B17)</f>
        <v>-444.28</v>
      </c>
      <c r="C18" s="9">
        <f>(C16)+(C17)</f>
        <v>-450</v>
      </c>
      <c r="D18" s="9">
        <f>(B18)-(C18)</f>
        <v>5.7200000000000273</v>
      </c>
      <c r="E18" s="13">
        <f>IF(C18=0,"",(B18)/(C18))</f>
        <v>0.98728888888888888</v>
      </c>
      <c r="F18" s="17"/>
      <c r="G18" s="9">
        <f>B18</f>
        <v>-444.28</v>
      </c>
      <c r="H18" s="9">
        <f>C18</f>
        <v>-450</v>
      </c>
      <c r="I18" s="9">
        <f>(G18)-(H18)</f>
        <v>5.7200000000000273</v>
      </c>
      <c r="J18" s="13">
        <f t="shared" si="1"/>
        <v>0.98728888888888888</v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48</v>
      </c>
      <c r="B20" s="18">
        <f>((B12)+(B15))+(B18)</f>
        <v>3998.4700000000003</v>
      </c>
      <c r="C20" s="18">
        <f>((C12)+(C15))+(C18)</f>
        <v>4050</v>
      </c>
      <c r="D20" s="18">
        <f>(B20)-(C20)</f>
        <v>-51.529999999999745</v>
      </c>
      <c r="E20" s="19">
        <f>IF(C20=0,"",(B20)/(C20))</f>
        <v>0.98727654320987657</v>
      </c>
      <c r="F20" s="17"/>
      <c r="G20" s="18">
        <f>B20</f>
        <v>3998.4700000000003</v>
      </c>
      <c r="H20" s="18">
        <f>C20</f>
        <v>4050</v>
      </c>
      <c r="I20" s="18">
        <f>(G20)-(H20)</f>
        <v>-51.529999999999745</v>
      </c>
      <c r="J20" s="19">
        <f>IF(H20=0,"",(G20)/(H20))</f>
        <v>0.98727654320987657</v>
      </c>
    </row>
    <row r="21" spans="1:10" hidden="1" x14ac:dyDescent="0.2">
      <c r="A21" s="2" t="s">
        <v>47</v>
      </c>
      <c r="B21" s="9">
        <f>(B20)-(0)</f>
        <v>3998.4700000000003</v>
      </c>
      <c r="C21" s="9">
        <f>(C20)-(0)</f>
        <v>4050</v>
      </c>
      <c r="D21" s="9">
        <f>(B21)-(C21)</f>
        <v>-51.529999999999745</v>
      </c>
      <c r="E21" s="13">
        <f>IF(C21=0,"",(B21)/(C21))</f>
        <v>0.98727654320987657</v>
      </c>
      <c r="F21" s="17"/>
      <c r="G21" s="9">
        <f>B21</f>
        <v>3998.4700000000003</v>
      </c>
      <c r="H21" s="9">
        <f>C21</f>
        <v>4050</v>
      </c>
      <c r="I21" s="9">
        <f>(G21)-(H21)</f>
        <v>-51.529999999999745</v>
      </c>
      <c r="J21" s="13">
        <f>IF(H21=0,"",(G21)/(H21))</f>
        <v>0.98727654320987657</v>
      </c>
    </row>
    <row r="22" spans="1:10" x14ac:dyDescent="0.2">
      <c r="A22" s="2"/>
      <c r="B22" s="16"/>
      <c r="C22" s="16"/>
      <c r="D22" s="16"/>
      <c r="E22" s="17"/>
      <c r="F22" s="17"/>
      <c r="G22" s="16"/>
      <c r="H22" s="16"/>
      <c r="I22" s="16"/>
      <c r="J22" s="17"/>
    </row>
    <row r="23" spans="1:10" x14ac:dyDescent="0.2">
      <c r="A23" s="2" t="s">
        <v>46</v>
      </c>
      <c r="B23" s="7"/>
      <c r="C23" s="7"/>
      <c r="D23" s="7"/>
      <c r="E23" s="11"/>
      <c r="F23" s="27"/>
      <c r="G23" s="7"/>
      <c r="H23" s="7"/>
      <c r="I23" s="7"/>
      <c r="J23" s="11"/>
    </row>
    <row r="24" spans="1:10" x14ac:dyDescent="0.2">
      <c r="A24" s="2" t="s">
        <v>45</v>
      </c>
      <c r="B24" s="7"/>
      <c r="C24" s="7"/>
      <c r="D24" s="8"/>
      <c r="E24" s="12"/>
      <c r="F24" s="28"/>
      <c r="G24" s="8"/>
      <c r="H24" s="8"/>
      <c r="I24" s="8"/>
      <c r="J24" s="12" t="str">
        <f>IF(H24=0,"",(G24)/(H24))</f>
        <v/>
      </c>
    </row>
    <row r="25" spans="1:10" x14ac:dyDescent="0.2">
      <c r="A25" s="2" t="s">
        <v>44</v>
      </c>
      <c r="B25" s="8">
        <f>4900</f>
        <v>4900</v>
      </c>
      <c r="C25" s="8">
        <f>4900</f>
        <v>4900</v>
      </c>
      <c r="D25" s="8"/>
      <c r="E25" s="12">
        <f>IF(C25=0,"",(B25)/(C25))</f>
        <v>1</v>
      </c>
      <c r="F25" s="28"/>
      <c r="G25" s="8">
        <f t="shared" ref="G25:H27" si="2">B25</f>
        <v>4900</v>
      </c>
      <c r="H25" s="8">
        <f t="shared" si="2"/>
        <v>4900</v>
      </c>
      <c r="I25" s="8"/>
      <c r="J25" s="12">
        <f>IF(H25=0,"",(G25)/(H25))</f>
        <v>1</v>
      </c>
    </row>
    <row r="26" spans="1:10" x14ac:dyDescent="0.2">
      <c r="A26" s="2" t="s">
        <v>41</v>
      </c>
      <c r="B26" s="8">
        <f>374.85</f>
        <v>374.85</v>
      </c>
      <c r="C26" s="8">
        <f>374.85</f>
        <v>374.85</v>
      </c>
      <c r="D26" s="8"/>
      <c r="E26" s="12">
        <f>IF(C26=0,"",(B26)/(C26))</f>
        <v>1</v>
      </c>
      <c r="F26" s="28"/>
      <c r="G26" s="8">
        <f t="shared" si="2"/>
        <v>374.85</v>
      </c>
      <c r="H26" s="8">
        <f t="shared" si="2"/>
        <v>374.85</v>
      </c>
      <c r="I26" s="8"/>
      <c r="J26" s="12">
        <f>IF(H26=0,"",(G26)/(H26))</f>
        <v>1</v>
      </c>
    </row>
    <row r="27" spans="1:10" x14ac:dyDescent="0.2">
      <c r="A27" s="2" t="s">
        <v>40</v>
      </c>
      <c r="B27" s="9">
        <f>((B24)+(B25))+(B26)</f>
        <v>5274.85</v>
      </c>
      <c r="C27" s="9">
        <f>((C24)+(C25))+(C26)</f>
        <v>5274.85</v>
      </c>
      <c r="D27" s="9">
        <f>(B27)-(C27)</f>
        <v>0</v>
      </c>
      <c r="E27" s="13">
        <f>IF(C27=0,"",(B27)/(C27))</f>
        <v>1</v>
      </c>
      <c r="F27" s="17"/>
      <c r="G27" s="9">
        <f t="shared" si="2"/>
        <v>5274.85</v>
      </c>
      <c r="H27" s="9">
        <f t="shared" si="2"/>
        <v>5274.85</v>
      </c>
      <c r="I27" s="9">
        <f>(G27)-(H27)</f>
        <v>0</v>
      </c>
      <c r="J27" s="13">
        <f>IF(H27=0,"",(G27)/(H27))</f>
        <v>1</v>
      </c>
    </row>
    <row r="28" spans="1:10" x14ac:dyDescent="0.2">
      <c r="A28" s="2"/>
      <c r="B28" s="20"/>
      <c r="C28" s="20"/>
      <c r="D28" s="20"/>
      <c r="E28" s="21"/>
      <c r="F28" s="17"/>
      <c r="G28" s="20"/>
      <c r="H28" s="20"/>
      <c r="I28" s="20"/>
      <c r="J28" s="21"/>
    </row>
    <row r="29" spans="1:10" x14ac:dyDescent="0.2">
      <c r="A29" s="2" t="s">
        <v>7</v>
      </c>
      <c r="B29" s="9">
        <f>B27</f>
        <v>5274.85</v>
      </c>
      <c r="C29" s="9">
        <f>C27</f>
        <v>5274.85</v>
      </c>
      <c r="D29" s="9">
        <f>(B29)-(C29)</f>
        <v>0</v>
      </c>
      <c r="E29" s="13">
        <f>IF(C29=0,"",(B29)/(C29))</f>
        <v>1</v>
      </c>
      <c r="F29" s="17"/>
      <c r="G29" s="9">
        <f>B29</f>
        <v>5274.85</v>
      </c>
      <c r="H29" s="9">
        <f>C29</f>
        <v>5274.85</v>
      </c>
      <c r="I29" s="9">
        <f>(G29)-(H29)</f>
        <v>0</v>
      </c>
      <c r="J29" s="13">
        <f>IF(H29=0,"",(G29)/(H29))</f>
        <v>1</v>
      </c>
    </row>
    <row r="30" spans="1:10" x14ac:dyDescent="0.2">
      <c r="A30" s="2"/>
      <c r="B30" s="9"/>
      <c r="C30" s="9"/>
      <c r="D30" s="9"/>
      <c r="E30" s="13"/>
      <c r="F30" s="17"/>
      <c r="G30" s="9"/>
      <c r="H30" s="9"/>
      <c r="I30" s="9"/>
      <c r="J30" s="13"/>
    </row>
    <row r="31" spans="1:10" x14ac:dyDescent="0.2">
      <c r="A31" s="2" t="s">
        <v>6</v>
      </c>
      <c r="B31" s="9">
        <f>(B21)-(B29)</f>
        <v>-1276.3800000000001</v>
      </c>
      <c r="C31" s="9">
        <f>(C21)-(C29)</f>
        <v>-1224.8500000000004</v>
      </c>
      <c r="D31" s="9">
        <f>(B31)-(C31)</f>
        <v>-51.529999999999745</v>
      </c>
      <c r="E31" s="13">
        <f>IF(C31=0,"",(B31)/(C31))</f>
        <v>1.0420704576070536</v>
      </c>
      <c r="F31" s="17"/>
      <c r="G31" s="9">
        <f>B31</f>
        <v>-1276.3800000000001</v>
      </c>
      <c r="H31" s="9">
        <f>C31</f>
        <v>-1224.8500000000004</v>
      </c>
      <c r="I31" s="9">
        <f>(G31)-(H31)</f>
        <v>-51.529999999999745</v>
      </c>
      <c r="J31" s="13">
        <f>IF(H31=0,"",(G31)/(H31))</f>
        <v>1.0420704576070536</v>
      </c>
    </row>
    <row r="32" spans="1:10" x14ac:dyDescent="0.2">
      <c r="A32" s="2"/>
      <c r="B32" s="16"/>
      <c r="C32" s="16"/>
      <c r="D32" s="16"/>
      <c r="E32" s="17"/>
      <c r="F32" s="17"/>
      <c r="G32" s="16"/>
      <c r="H32" s="16"/>
      <c r="I32" s="16"/>
      <c r="J32" s="17"/>
    </row>
    <row r="33" spans="1:10" x14ac:dyDescent="0.2">
      <c r="A33" s="2" t="s">
        <v>5</v>
      </c>
      <c r="B33" s="7"/>
      <c r="C33" s="7"/>
      <c r="D33" s="7"/>
      <c r="E33" s="11"/>
      <c r="F33" s="27"/>
      <c r="G33" s="7"/>
      <c r="H33" s="7"/>
      <c r="I33" s="7"/>
      <c r="J33" s="11"/>
    </row>
    <row r="34" spans="1:10" x14ac:dyDescent="0.2">
      <c r="A34" s="2" t="s">
        <v>4</v>
      </c>
      <c r="B34" s="8">
        <f>5750.85</f>
        <v>5750.85</v>
      </c>
      <c r="C34" s="7"/>
      <c r="D34" s="8">
        <f>(B34)-(C34)</f>
        <v>5750.85</v>
      </c>
      <c r="E34" s="12" t="str">
        <f>IF(C34=0,"",(B34)/(C34))</f>
        <v/>
      </c>
      <c r="F34" s="28"/>
      <c r="G34" s="8">
        <f>B34</f>
        <v>5750.85</v>
      </c>
      <c r="H34" s="8"/>
      <c r="I34" s="8">
        <f>(G34)-(H34)</f>
        <v>5750.85</v>
      </c>
      <c r="J34" s="12" t="str">
        <f>IF(H34=0,"",(G34)/(H34))</f>
        <v/>
      </c>
    </row>
    <row r="35" spans="1:10" hidden="1" x14ac:dyDescent="0.2">
      <c r="A35" s="2" t="s">
        <v>3</v>
      </c>
      <c r="B35" s="9">
        <f>B34</f>
        <v>5750.85</v>
      </c>
      <c r="C35" s="9">
        <f>C34</f>
        <v>0</v>
      </c>
      <c r="D35" s="9">
        <f>(B35)-(C35)</f>
        <v>5750.85</v>
      </c>
      <c r="E35" s="13" t="str">
        <f>IF(C35=0,"",(B35)/(C35))</f>
        <v/>
      </c>
      <c r="F35" s="17"/>
      <c r="G35" s="9">
        <f>B35</f>
        <v>5750.85</v>
      </c>
      <c r="H35" s="9">
        <f>C35</f>
        <v>0</v>
      </c>
      <c r="I35" s="9">
        <f>(G35)-(H35)</f>
        <v>5750.85</v>
      </c>
      <c r="J35" s="13" t="str">
        <f>IF(H35=0,"",(G35)/(H35))</f>
        <v/>
      </c>
    </row>
    <row r="36" spans="1:10" x14ac:dyDescent="0.2">
      <c r="A36" s="2" t="s">
        <v>2</v>
      </c>
      <c r="B36" s="9">
        <f>(B35)-(0)</f>
        <v>5750.85</v>
      </c>
      <c r="C36" s="9">
        <f>(C35)-(0)</f>
        <v>0</v>
      </c>
      <c r="D36" s="9">
        <f>(B36)-(C36)</f>
        <v>5750.85</v>
      </c>
      <c r="E36" s="13" t="str">
        <f>IF(C36=0,"",(B36)/(C36))</f>
        <v/>
      </c>
      <c r="F36" s="17"/>
      <c r="G36" s="9">
        <f>B36</f>
        <v>5750.85</v>
      </c>
      <c r="H36" s="9">
        <f>C36</f>
        <v>0</v>
      </c>
      <c r="I36" s="9">
        <f>(G36)-(H36)</f>
        <v>5750.85</v>
      </c>
      <c r="J36" s="13" t="str">
        <f>IF(H36=0,"",(G36)/(H36))</f>
        <v/>
      </c>
    </row>
    <row r="37" spans="1:10" x14ac:dyDescent="0.2">
      <c r="A37" s="2"/>
      <c r="B37" s="16"/>
      <c r="C37" s="16"/>
      <c r="D37" s="16"/>
      <c r="E37" s="17"/>
      <c r="F37" s="17"/>
      <c r="G37" s="16"/>
      <c r="H37" s="16"/>
      <c r="I37" s="16"/>
      <c r="J37" s="17"/>
    </row>
    <row r="38" spans="1:10" ht="16" thickBot="1" x14ac:dyDescent="0.25">
      <c r="A38" s="2" t="s">
        <v>1</v>
      </c>
      <c r="B38" s="22">
        <f>(B31)+(B36)</f>
        <v>4474.47</v>
      </c>
      <c r="C38" s="22">
        <f>(C31)+(C36)</f>
        <v>-1224.8500000000004</v>
      </c>
      <c r="D38" s="22">
        <f>(B38)-(C38)</f>
        <v>5699.3200000000006</v>
      </c>
      <c r="E38" s="23">
        <f>IF(C38=0,"",(B38)/(C38))</f>
        <v>-3.6530758868432862</v>
      </c>
      <c r="F38" s="17"/>
      <c r="G38" s="22">
        <f>B38</f>
        <v>4474.47</v>
      </c>
      <c r="H38" s="22">
        <f>C38</f>
        <v>-1224.8500000000004</v>
      </c>
      <c r="I38" s="22">
        <f>(G38)-(H38)</f>
        <v>5699.3200000000006</v>
      </c>
      <c r="J38" s="23">
        <f>IF(H38=0,"",(G38)/(H38))</f>
        <v>-3.6530758868432862</v>
      </c>
    </row>
    <row r="39" spans="1:10" ht="17" thickTop="1" thickBot="1" x14ac:dyDescent="0.25">
      <c r="A39" s="2"/>
      <c r="B39" s="7"/>
      <c r="C39" s="7"/>
      <c r="D39" s="7"/>
      <c r="E39" s="11"/>
      <c r="F39" s="27"/>
      <c r="G39" s="7"/>
      <c r="H39" s="7"/>
      <c r="I39" s="7"/>
      <c r="J39" s="11"/>
    </row>
    <row r="40" spans="1:10" ht="16" thickBot="1" x14ac:dyDescent="0.25">
      <c r="A40" s="30" t="s">
        <v>75</v>
      </c>
      <c r="B40" s="24"/>
      <c r="C40" s="24"/>
      <c r="D40" s="24"/>
      <c r="E40" s="25"/>
      <c r="F40" s="29"/>
      <c r="G40" s="31">
        <f>G7+G38</f>
        <v>11500.54</v>
      </c>
      <c r="H40" s="24"/>
      <c r="I40" s="24"/>
      <c r="J40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3148-DAE8-407F-9163-23570658639B}">
  <sheetPr codeName="Sheet19">
    <pageSetUpPr fitToPage="1"/>
  </sheetPr>
  <dimension ref="A1:J41"/>
  <sheetViews>
    <sheetView workbookViewId="0">
      <selection activeCell="L31" sqref="L31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85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-1527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 t="str">
        <f>IF(H10=0,"",(G10)/(H10))</f>
        <v/>
      </c>
    </row>
    <row r="11" spans="1:10" x14ac:dyDescent="0.2">
      <c r="A11" s="2" t="s">
        <v>53</v>
      </c>
      <c r="B11" s="8">
        <f>2908</f>
        <v>2908</v>
      </c>
      <c r="C11" s="8">
        <f>3000</f>
        <v>3000</v>
      </c>
      <c r="D11" s="8">
        <f>(B11)-(C11)</f>
        <v>-92</v>
      </c>
      <c r="E11" s="12">
        <f>IF(C11=0,"",(B11)/(C11))</f>
        <v>0.96933333333333338</v>
      </c>
      <c r="F11" s="28"/>
      <c r="G11" s="8">
        <f>B11</f>
        <v>2908</v>
      </c>
      <c r="H11" s="8">
        <f>C11</f>
        <v>3000</v>
      </c>
      <c r="I11" s="8">
        <f>(G11)-(H11)</f>
        <v>-92</v>
      </c>
      <c r="J11" s="12">
        <f>IF(H11=0,"",(G11)/(H11))</f>
        <v>0.96933333333333338</v>
      </c>
    </row>
    <row r="12" spans="1:10" x14ac:dyDescent="0.2">
      <c r="A12" s="2" t="s">
        <v>52</v>
      </c>
      <c r="B12" s="9">
        <f>(B10)+(B11)</f>
        <v>2908</v>
      </c>
      <c r="C12" s="9">
        <f>(C10)+(C11)</f>
        <v>3000</v>
      </c>
      <c r="D12" s="9">
        <f>(B12)-(C12)</f>
        <v>-92</v>
      </c>
      <c r="E12" s="13">
        <f>IF(C12=0,"",(B12)/(C12))</f>
        <v>0.96933333333333338</v>
      </c>
      <c r="F12" s="17"/>
      <c r="G12" s="9">
        <f>B12</f>
        <v>2908</v>
      </c>
      <c r="H12" s="9">
        <f>C12</f>
        <v>3000</v>
      </c>
      <c r="I12" s="9">
        <f>(G12)-(H12)</f>
        <v>-92</v>
      </c>
      <c r="J12" s="13">
        <f>IF(H12=0,"",(G12)/(H12))</f>
        <v>0.96933333333333338</v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/>
    </row>
    <row r="14" spans="1:10" x14ac:dyDescent="0.2">
      <c r="A14" s="2" t="s">
        <v>50</v>
      </c>
      <c r="B14" s="8">
        <f>-290.8</f>
        <v>-290.8</v>
      </c>
      <c r="C14" s="8">
        <f>-300</f>
        <v>-300</v>
      </c>
      <c r="D14" s="8">
        <f>(B14)-(C14)</f>
        <v>9.1999999999999886</v>
      </c>
      <c r="E14" s="12">
        <f>IF(C14=0,"",(B14)/(C14))</f>
        <v>0.96933333333333338</v>
      </c>
      <c r="F14" s="28"/>
      <c r="G14" s="8">
        <f>B14</f>
        <v>-290.8</v>
      </c>
      <c r="H14" s="8">
        <f>C14</f>
        <v>-300</v>
      </c>
      <c r="I14" s="8">
        <f>(G14)-(H14)</f>
        <v>9.1999999999999886</v>
      </c>
      <c r="J14" s="12">
        <f>IF(H14=0,"",(G14)/(H14))</f>
        <v>0.96933333333333338</v>
      </c>
    </row>
    <row r="15" spans="1:10" x14ac:dyDescent="0.2">
      <c r="A15" s="2" t="s">
        <v>49</v>
      </c>
      <c r="B15" s="9">
        <f>(B13)+(B14)</f>
        <v>-290.8</v>
      </c>
      <c r="C15" s="9">
        <f>(C13)+(C14)</f>
        <v>-300</v>
      </c>
      <c r="D15" s="9">
        <f>(B15)-(C15)</f>
        <v>9.1999999999999886</v>
      </c>
      <c r="E15" s="13">
        <f>IF(C15=0,"",(B15)/(C15))</f>
        <v>0.96933333333333338</v>
      </c>
      <c r="F15" s="17"/>
      <c r="G15" s="9">
        <f>B15</f>
        <v>-290.8</v>
      </c>
      <c r="H15" s="9">
        <f>C15</f>
        <v>-300</v>
      </c>
      <c r="I15" s="9">
        <f>(G15)-(H15)</f>
        <v>9.1999999999999886</v>
      </c>
      <c r="J15" s="13">
        <f>IF(H15=0,"",(G15)/(H15))</f>
        <v>0.96933333333333338</v>
      </c>
    </row>
    <row r="16" spans="1:10" x14ac:dyDescent="0.2">
      <c r="A16" s="2"/>
      <c r="B16" s="16"/>
      <c r="C16" s="16"/>
      <c r="D16" s="16"/>
      <c r="E16" s="17"/>
      <c r="F16" s="17"/>
      <c r="G16" s="16"/>
      <c r="H16" s="16"/>
      <c r="I16" s="16"/>
      <c r="J16" s="17"/>
    </row>
    <row r="17" spans="1:10" x14ac:dyDescent="0.2">
      <c r="A17" s="2" t="s">
        <v>48</v>
      </c>
      <c r="B17" s="18">
        <f>(B12)+(B15)</f>
        <v>2617.1999999999998</v>
      </c>
      <c r="C17" s="18">
        <f>(C12)+(C15)</f>
        <v>2700</v>
      </c>
      <c r="D17" s="18">
        <f>(B17)-(C17)</f>
        <v>-82.800000000000182</v>
      </c>
      <c r="E17" s="19">
        <f>IF(C17=0,"",(B17)/(C17))</f>
        <v>0.96933333333333327</v>
      </c>
      <c r="F17" s="17"/>
      <c r="G17" s="18">
        <f>B17</f>
        <v>2617.1999999999998</v>
      </c>
      <c r="H17" s="18">
        <f>C17</f>
        <v>2700</v>
      </c>
      <c r="I17" s="18">
        <f>(G17)-(H17)</f>
        <v>-82.800000000000182</v>
      </c>
      <c r="J17" s="19">
        <f>IF(H17=0,"",(G17)/(H17))</f>
        <v>0.96933333333333327</v>
      </c>
    </row>
    <row r="18" spans="1:10" hidden="1" x14ac:dyDescent="0.2">
      <c r="A18" s="2" t="s">
        <v>47</v>
      </c>
      <c r="B18" s="9">
        <f>(B17)-(0)</f>
        <v>2617.1999999999998</v>
      </c>
      <c r="C18" s="9">
        <f>(C17)-(0)</f>
        <v>2700</v>
      </c>
      <c r="D18" s="9">
        <f>(B18)-(C18)</f>
        <v>-82.800000000000182</v>
      </c>
      <c r="E18" s="13">
        <f>IF(C18=0,"",(B18)/(C18))</f>
        <v>0.96933333333333327</v>
      </c>
      <c r="F18" s="17"/>
      <c r="G18" s="9">
        <f>B18</f>
        <v>2617.1999999999998</v>
      </c>
      <c r="H18" s="9">
        <f>C18</f>
        <v>2700</v>
      </c>
      <c r="I18" s="9">
        <f>(G18)-(H18)</f>
        <v>-82.800000000000182</v>
      </c>
      <c r="J18" s="13">
        <f>IF(H18=0,"",(G18)/(H18))</f>
        <v>0.96933333333333327</v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45</v>
      </c>
      <c r="B21" s="7"/>
      <c r="C21" s="7"/>
      <c r="D21" s="8"/>
      <c r="E21" s="12" t="str">
        <f>IF(C21=0,"",(B21)/(C21))</f>
        <v/>
      </c>
      <c r="F21" s="28"/>
      <c r="G21" s="8"/>
      <c r="H21" s="8"/>
      <c r="I21" s="8"/>
      <c r="J21" s="12" t="str">
        <f t="shared" ref="J21:J28" si="0">IF(H21=0,"",(G21)/(H21))</f>
        <v/>
      </c>
    </row>
    <row r="22" spans="1:10" x14ac:dyDescent="0.2">
      <c r="A22" s="2" t="s">
        <v>44</v>
      </c>
      <c r="B22" s="8">
        <f>2500</f>
        <v>2500</v>
      </c>
      <c r="C22" s="8">
        <f>2500</f>
        <v>2500</v>
      </c>
      <c r="D22" s="8"/>
      <c r="E22" s="12">
        <f>IF(C22=0,"",(B22)/(C22))</f>
        <v>1</v>
      </c>
      <c r="F22" s="28"/>
      <c r="G22" s="8">
        <f t="shared" ref="G22:H25" si="1">B22</f>
        <v>2500</v>
      </c>
      <c r="H22" s="8">
        <f t="shared" si="1"/>
        <v>2500</v>
      </c>
      <c r="I22" s="8"/>
      <c r="J22" s="12">
        <f t="shared" si="0"/>
        <v>1</v>
      </c>
    </row>
    <row r="23" spans="1:10" hidden="1" x14ac:dyDescent="0.2">
      <c r="A23" s="2" t="s">
        <v>42</v>
      </c>
      <c r="B23" s="7"/>
      <c r="C23" s="8">
        <f>0</f>
        <v>0</v>
      </c>
      <c r="D23" s="8"/>
      <c r="E23" s="12" t="str">
        <f>IF(C23=0,"",(B23)/(C23))</f>
        <v/>
      </c>
      <c r="F23" s="28"/>
      <c r="G23" s="8">
        <f t="shared" si="1"/>
        <v>0</v>
      </c>
      <c r="H23" s="8">
        <f t="shared" si="1"/>
        <v>0</v>
      </c>
      <c r="I23" s="8"/>
      <c r="J23" s="12" t="str">
        <f t="shared" si="0"/>
        <v/>
      </c>
    </row>
    <row r="24" spans="1:10" x14ac:dyDescent="0.2">
      <c r="A24" s="2" t="s">
        <v>41</v>
      </c>
      <c r="B24" s="8">
        <f>191.25</f>
        <v>191.25</v>
      </c>
      <c r="C24" s="8">
        <f>191.25</f>
        <v>191.25</v>
      </c>
      <c r="D24" s="8"/>
      <c r="E24" s="12">
        <f>IF(C24=0,"",(B24)/(C24))</f>
        <v>1</v>
      </c>
      <c r="F24" s="28"/>
      <c r="G24" s="8">
        <f t="shared" si="1"/>
        <v>191.25</v>
      </c>
      <c r="H24" s="8">
        <f t="shared" si="1"/>
        <v>191.25</v>
      </c>
      <c r="I24" s="8"/>
      <c r="J24" s="12">
        <f t="shared" si="0"/>
        <v>1</v>
      </c>
    </row>
    <row r="25" spans="1:10" x14ac:dyDescent="0.2">
      <c r="A25" s="2" t="s">
        <v>40</v>
      </c>
      <c r="B25" s="9">
        <f>(((B21)+(B22))+(B23))+(B24)</f>
        <v>2691.25</v>
      </c>
      <c r="C25" s="9">
        <f>(((C21)+(C22))+(C23))+(C24)</f>
        <v>2691.25</v>
      </c>
      <c r="D25" s="9">
        <f>(B25)-(C25)</f>
        <v>0</v>
      </c>
      <c r="E25" s="13">
        <f>IF(C25=0,"",(B25)/(C25))</f>
        <v>1</v>
      </c>
      <c r="F25" s="17"/>
      <c r="G25" s="9">
        <f t="shared" si="1"/>
        <v>2691.25</v>
      </c>
      <c r="H25" s="9">
        <f t="shared" si="1"/>
        <v>2691.25</v>
      </c>
      <c r="I25" s="9">
        <f>(G25)-(H25)</f>
        <v>0</v>
      </c>
      <c r="J25" s="13">
        <f t="shared" si="0"/>
        <v>1</v>
      </c>
    </row>
    <row r="26" spans="1:10" x14ac:dyDescent="0.2">
      <c r="A26" s="2" t="s">
        <v>15</v>
      </c>
      <c r="B26" s="7"/>
      <c r="C26" s="7"/>
      <c r="D26" s="8"/>
      <c r="E26" s="12"/>
      <c r="F26" s="28"/>
      <c r="G26" s="8"/>
      <c r="H26" s="8"/>
      <c r="I26" s="8"/>
      <c r="J26" s="12" t="str">
        <f t="shared" si="0"/>
        <v/>
      </c>
    </row>
    <row r="27" spans="1:10" x14ac:dyDescent="0.2">
      <c r="A27" s="2" t="s">
        <v>13</v>
      </c>
      <c r="B27" s="8">
        <f>118</f>
        <v>118</v>
      </c>
      <c r="C27" s="7"/>
      <c r="D27" s="8">
        <f>(B27)-(C27)</f>
        <v>118</v>
      </c>
      <c r="E27" s="12" t="str">
        <f>IF(C27=0,"",(B27)/(C27))</f>
        <v/>
      </c>
      <c r="F27" s="28"/>
      <c r="G27" s="8">
        <f>B27</f>
        <v>118</v>
      </c>
      <c r="H27" s="8"/>
      <c r="I27" s="8">
        <f>(G27)-(H27)</f>
        <v>118</v>
      </c>
      <c r="J27" s="12" t="str">
        <f t="shared" si="0"/>
        <v/>
      </c>
    </row>
    <row r="28" spans="1:10" x14ac:dyDescent="0.2">
      <c r="A28" s="2" t="s">
        <v>8</v>
      </c>
      <c r="B28" s="9">
        <f>(B26)+(B27)</f>
        <v>118</v>
      </c>
      <c r="C28" s="9">
        <f>(C26)+(C27)</f>
        <v>0</v>
      </c>
      <c r="D28" s="9">
        <f>(B28)-(C28)</f>
        <v>118</v>
      </c>
      <c r="E28" s="13" t="str">
        <f>IF(C28=0,"",(B28)/(C28))</f>
        <v/>
      </c>
      <c r="F28" s="17"/>
      <c r="G28" s="9">
        <f>B28</f>
        <v>118</v>
      </c>
      <c r="H28" s="9">
        <f>C28</f>
        <v>0</v>
      </c>
      <c r="I28" s="9">
        <f>(G28)-(H28)</f>
        <v>118</v>
      </c>
      <c r="J28" s="13" t="str">
        <f t="shared" si="0"/>
        <v/>
      </c>
    </row>
    <row r="29" spans="1:10" x14ac:dyDescent="0.2">
      <c r="A29" s="2"/>
      <c r="B29" s="20"/>
      <c r="C29" s="20"/>
      <c r="D29" s="20"/>
      <c r="E29" s="21"/>
      <c r="F29" s="17"/>
      <c r="G29" s="20"/>
      <c r="H29" s="20"/>
      <c r="I29" s="20"/>
      <c r="J29" s="21"/>
    </row>
    <row r="30" spans="1:10" x14ac:dyDescent="0.2">
      <c r="A30" s="2" t="s">
        <v>7</v>
      </c>
      <c r="B30" s="9">
        <f>(B25)+(B28)</f>
        <v>2809.25</v>
      </c>
      <c r="C30" s="9">
        <f>(C25)+(C28)</f>
        <v>2691.25</v>
      </c>
      <c r="D30" s="9">
        <f>(B30)-(C30)</f>
        <v>118</v>
      </c>
      <c r="E30" s="13">
        <f>IF(C30=0,"",(B30)/(C30))</f>
        <v>1.0438457965629355</v>
      </c>
      <c r="F30" s="17"/>
      <c r="G30" s="9">
        <f>B30</f>
        <v>2809.25</v>
      </c>
      <c r="H30" s="9">
        <f>C30</f>
        <v>2691.25</v>
      </c>
      <c r="I30" s="9">
        <f>(G30)-(H30)</f>
        <v>118</v>
      </c>
      <c r="J30" s="13">
        <f>IF(H30=0,"",(G30)/(H30))</f>
        <v>1.0438457965629355</v>
      </c>
    </row>
    <row r="31" spans="1:10" x14ac:dyDescent="0.2">
      <c r="A31" s="2"/>
      <c r="B31" s="9"/>
      <c r="C31" s="9"/>
      <c r="D31" s="9"/>
      <c r="E31" s="13"/>
      <c r="F31" s="17"/>
      <c r="G31" s="9"/>
      <c r="H31" s="9"/>
      <c r="I31" s="9"/>
      <c r="J31" s="13"/>
    </row>
    <row r="32" spans="1:10" x14ac:dyDescent="0.2">
      <c r="A32" s="2" t="s">
        <v>6</v>
      </c>
      <c r="B32" s="9">
        <f>(B18)-(B30)</f>
        <v>-192.05000000000018</v>
      </c>
      <c r="C32" s="9">
        <f>(C18)-(C30)</f>
        <v>8.75</v>
      </c>
      <c r="D32" s="9">
        <f>(B32)-(C32)</f>
        <v>-200.80000000000018</v>
      </c>
      <c r="E32" s="13">
        <f>IF(C32=0,"",(B32)/(C32))</f>
        <v>-21.948571428571448</v>
      </c>
      <c r="F32" s="17"/>
      <c r="G32" s="9">
        <f>B32</f>
        <v>-192.05000000000018</v>
      </c>
      <c r="H32" s="9">
        <f>C32</f>
        <v>8.75</v>
      </c>
      <c r="I32" s="9">
        <f>(G32)-(H32)</f>
        <v>-200.80000000000018</v>
      </c>
      <c r="J32" s="13">
        <f>IF(H32=0,"",(G32)/(H32))</f>
        <v>-21.948571428571448</v>
      </c>
    </row>
    <row r="33" spans="1:10" x14ac:dyDescent="0.2">
      <c r="A33" s="2"/>
      <c r="B33" s="16"/>
      <c r="C33" s="16"/>
      <c r="D33" s="16"/>
      <c r="E33" s="17"/>
      <c r="F33" s="17"/>
      <c r="G33" s="16"/>
      <c r="H33" s="16"/>
      <c r="I33" s="16"/>
      <c r="J33" s="17"/>
    </row>
    <row r="34" spans="1:10" x14ac:dyDescent="0.2">
      <c r="A34" s="2" t="s">
        <v>5</v>
      </c>
      <c r="B34" s="7"/>
      <c r="C34" s="7"/>
      <c r="D34" s="7"/>
      <c r="E34" s="11"/>
      <c r="F34" s="27"/>
      <c r="G34" s="7"/>
      <c r="H34" s="7"/>
      <c r="I34" s="7"/>
      <c r="J34" s="11"/>
    </row>
    <row r="35" spans="1:10" x14ac:dyDescent="0.2">
      <c r="A35" s="2" t="s">
        <v>4</v>
      </c>
      <c r="B35" s="8">
        <f>11501.7</f>
        <v>11501.7</v>
      </c>
      <c r="C35" s="7"/>
      <c r="D35" s="8">
        <f>(B35)-(C35)</f>
        <v>11501.7</v>
      </c>
      <c r="E35" s="12" t="str">
        <f>IF(C35=0,"",(B35)/(C35))</f>
        <v/>
      </c>
      <c r="F35" s="28"/>
      <c r="G35" s="8">
        <f>B35</f>
        <v>11501.7</v>
      </c>
      <c r="H35" s="8"/>
      <c r="I35" s="8">
        <f>(G35)-(H35)</f>
        <v>11501.7</v>
      </c>
      <c r="J35" s="12" t="str">
        <f>IF(H35=0,"",(G35)/(H35))</f>
        <v/>
      </c>
    </row>
    <row r="36" spans="1:10" hidden="1" x14ac:dyDescent="0.2">
      <c r="A36" s="2" t="s">
        <v>3</v>
      </c>
      <c r="B36" s="9">
        <f>B35</f>
        <v>11501.7</v>
      </c>
      <c r="C36" s="9">
        <f>C35</f>
        <v>0</v>
      </c>
      <c r="D36" s="9">
        <f>(B36)-(C36)</f>
        <v>11501.7</v>
      </c>
      <c r="E36" s="13" t="str">
        <f>IF(C36=0,"",(B36)/(C36))</f>
        <v/>
      </c>
      <c r="F36" s="17"/>
      <c r="G36" s="9">
        <f>B36</f>
        <v>11501.7</v>
      </c>
      <c r="H36" s="9">
        <f>C36</f>
        <v>0</v>
      </c>
      <c r="I36" s="9">
        <f>(G36)-(H36)</f>
        <v>11501.7</v>
      </c>
      <c r="J36" s="13" t="str">
        <f>IF(H36=0,"",(G36)/(H36))</f>
        <v/>
      </c>
    </row>
    <row r="37" spans="1:10" x14ac:dyDescent="0.2">
      <c r="A37" s="2" t="s">
        <v>2</v>
      </c>
      <c r="B37" s="9">
        <f>(B36)-(0)</f>
        <v>11501.7</v>
      </c>
      <c r="C37" s="9">
        <f>(C36)-(0)</f>
        <v>0</v>
      </c>
      <c r="D37" s="9">
        <f>(B37)-(C37)</f>
        <v>11501.7</v>
      </c>
      <c r="E37" s="13" t="str">
        <f>IF(C37=0,"",(B37)/(C37))</f>
        <v/>
      </c>
      <c r="F37" s="17"/>
      <c r="G37" s="9">
        <f>B37</f>
        <v>11501.7</v>
      </c>
      <c r="H37" s="9">
        <f>C37</f>
        <v>0</v>
      </c>
      <c r="I37" s="9">
        <f>(G37)-(H37)</f>
        <v>11501.7</v>
      </c>
      <c r="J37" s="13" t="str">
        <f>IF(H37=0,"",(G37)/(H37))</f>
        <v/>
      </c>
    </row>
    <row r="38" spans="1:10" x14ac:dyDescent="0.2">
      <c r="A38" s="2"/>
      <c r="B38" s="16"/>
      <c r="C38" s="16"/>
      <c r="D38" s="16"/>
      <c r="E38" s="17"/>
      <c r="F38" s="17"/>
      <c r="G38" s="16"/>
      <c r="H38" s="16"/>
      <c r="I38" s="16"/>
      <c r="J38" s="17"/>
    </row>
    <row r="39" spans="1:10" ht="16" thickBot="1" x14ac:dyDescent="0.25">
      <c r="A39" s="2" t="s">
        <v>1</v>
      </c>
      <c r="B39" s="22">
        <f>(B32)+(B37)</f>
        <v>11309.650000000001</v>
      </c>
      <c r="C39" s="22">
        <f>(C32)+(C37)</f>
        <v>8.75</v>
      </c>
      <c r="D39" s="22">
        <f>(B39)-(C39)</f>
        <v>11300.900000000001</v>
      </c>
      <c r="E39" s="23">
        <f>IF(C39=0,"",(B39)/(C39))</f>
        <v>1292.5314285714287</v>
      </c>
      <c r="F39" s="17"/>
      <c r="G39" s="22">
        <f>B39</f>
        <v>11309.650000000001</v>
      </c>
      <c r="H39" s="22">
        <f>C39</f>
        <v>8.75</v>
      </c>
      <c r="I39" s="22">
        <f>(G39)-(H39)</f>
        <v>11300.900000000001</v>
      </c>
      <c r="J39" s="23">
        <f>IF(H39=0,"",(G39)/(H39))</f>
        <v>1292.5314285714287</v>
      </c>
    </row>
    <row r="40" spans="1:10" ht="17" thickTop="1" thickBot="1" x14ac:dyDescent="0.25">
      <c r="A40" s="2"/>
      <c r="B40" s="7"/>
      <c r="C40" s="7"/>
      <c r="D40" s="7"/>
      <c r="E40" s="11"/>
      <c r="F40" s="27"/>
      <c r="G40" s="7"/>
      <c r="H40" s="7"/>
      <c r="I40" s="7"/>
      <c r="J40" s="11"/>
    </row>
    <row r="41" spans="1:10" ht="16" thickBot="1" x14ac:dyDescent="0.25">
      <c r="A41" s="30" t="s">
        <v>75</v>
      </c>
      <c r="B41" s="24"/>
      <c r="C41" s="24"/>
      <c r="D41" s="24"/>
      <c r="E41" s="25"/>
      <c r="F41" s="29"/>
      <c r="G41" s="31">
        <f>G7+G39</f>
        <v>9782.6500000000015</v>
      </c>
      <c r="H41" s="24"/>
      <c r="I41" s="24"/>
      <c r="J41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94EC-19FA-423A-810C-4CCBCF9DF1AC}">
  <sheetPr codeName="Sheet20">
    <pageSetUpPr fitToPage="1"/>
  </sheetPr>
  <dimension ref="A1:J32"/>
  <sheetViews>
    <sheetView workbookViewId="0">
      <selection activeCell="A2" sqref="A2:J2"/>
    </sheetView>
  </sheetViews>
  <sheetFormatPr baseColWidth="10" defaultColWidth="8.83203125" defaultRowHeight="15" x14ac:dyDescent="0.2"/>
  <cols>
    <col min="1" max="1" width="50.6640625" customWidth="1"/>
    <col min="2" max="4" width="12.6640625" style="3" customWidth="1"/>
    <col min="5" max="5" width="12.6640625" style="4" customWidth="1"/>
    <col min="6" max="6" width="2.6640625" style="5" customWidth="1"/>
    <col min="7" max="9" width="12.6640625" style="3" customWidth="1"/>
    <col min="10" max="10" width="12.6640625" style="4" customWidth="1"/>
  </cols>
  <sheetData>
    <row r="1" spans="1:10" ht="18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">
      <c r="A2" s="35" t="s">
        <v>86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">
      <c r="A3" s="37" t="s">
        <v>56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">
      <c r="A5" s="1"/>
      <c r="B5" s="33" t="s">
        <v>71</v>
      </c>
      <c r="C5" s="34"/>
      <c r="D5" s="34"/>
      <c r="E5" s="34"/>
      <c r="F5" s="26"/>
      <c r="G5" s="33" t="s">
        <v>73</v>
      </c>
      <c r="H5" s="34"/>
      <c r="I5" s="34"/>
      <c r="J5" s="34"/>
    </row>
    <row r="6" spans="1:10" x14ac:dyDescent="0.2">
      <c r="A6" s="1"/>
      <c r="B6" s="6" t="s">
        <v>70</v>
      </c>
      <c r="C6" s="6" t="s">
        <v>69</v>
      </c>
      <c r="D6" s="6" t="s">
        <v>68</v>
      </c>
      <c r="E6" s="10" t="s">
        <v>67</v>
      </c>
      <c r="F6" s="15"/>
      <c r="G6" s="6" t="s">
        <v>70</v>
      </c>
      <c r="H6" s="6" t="s">
        <v>69</v>
      </c>
      <c r="I6" s="6" t="s">
        <v>68</v>
      </c>
      <c r="J6" s="10" t="s">
        <v>67</v>
      </c>
    </row>
    <row r="7" spans="1:10" x14ac:dyDescent="0.2">
      <c r="A7" s="2" t="s">
        <v>74</v>
      </c>
      <c r="B7" s="14"/>
      <c r="C7" s="14"/>
      <c r="D7" s="14"/>
      <c r="E7" s="15"/>
      <c r="F7" s="15"/>
      <c r="G7" s="9">
        <v>2454.0300000000002</v>
      </c>
      <c r="H7" s="14"/>
      <c r="I7" s="14"/>
      <c r="J7" s="15"/>
    </row>
    <row r="8" spans="1:10" x14ac:dyDescent="0.2">
      <c r="A8" s="1"/>
      <c r="B8" s="14"/>
      <c r="C8" s="14"/>
      <c r="D8" s="14"/>
      <c r="E8" s="15"/>
      <c r="F8" s="15"/>
      <c r="G8" s="14"/>
      <c r="H8" s="14"/>
      <c r="I8" s="14"/>
      <c r="J8" s="15"/>
    </row>
    <row r="9" spans="1:10" x14ac:dyDescent="0.2">
      <c r="A9" s="2" t="s">
        <v>55</v>
      </c>
      <c r="B9" s="7"/>
      <c r="C9" s="7"/>
      <c r="D9" s="7"/>
      <c r="E9" s="11"/>
      <c r="F9" s="27"/>
      <c r="G9" s="7"/>
      <c r="H9" s="7"/>
      <c r="I9" s="7"/>
      <c r="J9" s="11"/>
    </row>
    <row r="10" spans="1:10" x14ac:dyDescent="0.2">
      <c r="A10" s="2" t="s">
        <v>54</v>
      </c>
      <c r="B10" s="7"/>
      <c r="C10" s="7"/>
      <c r="D10" s="8"/>
      <c r="E10" s="12"/>
      <c r="F10" s="28"/>
      <c r="G10" s="8"/>
      <c r="H10" s="8"/>
      <c r="I10" s="8"/>
      <c r="J10" s="12" t="str">
        <f t="shared" ref="J10:J15" si="0">IF(H10=0,"",(G10)/(H10))</f>
        <v/>
      </c>
    </row>
    <row r="11" spans="1:10" x14ac:dyDescent="0.2">
      <c r="A11" s="2" t="s">
        <v>53</v>
      </c>
      <c r="B11" s="8">
        <f>250</f>
        <v>250</v>
      </c>
      <c r="C11" s="7"/>
      <c r="D11" s="8">
        <f>(B11)-(C11)</f>
        <v>250</v>
      </c>
      <c r="E11" s="12" t="str">
        <f>IF(C11=0,"",(B11)/(C11))</f>
        <v/>
      </c>
      <c r="F11" s="28"/>
      <c r="G11" s="8">
        <f>B11</f>
        <v>250</v>
      </c>
      <c r="H11" s="8"/>
      <c r="I11" s="8">
        <f>(G11)-(H11)</f>
        <v>250</v>
      </c>
      <c r="J11" s="12" t="str">
        <f t="shared" si="0"/>
        <v/>
      </c>
    </row>
    <row r="12" spans="1:10" x14ac:dyDescent="0.2">
      <c r="A12" s="2" t="s">
        <v>52</v>
      </c>
      <c r="B12" s="9">
        <f>(B10)+(B11)</f>
        <v>250</v>
      </c>
      <c r="C12" s="9">
        <f>(C10)+(C11)</f>
        <v>0</v>
      </c>
      <c r="D12" s="9">
        <f>(B12)-(C12)</f>
        <v>250</v>
      </c>
      <c r="E12" s="13" t="str">
        <f>IF(C12=0,"",(B12)/(C12))</f>
        <v/>
      </c>
      <c r="F12" s="17"/>
      <c r="G12" s="9">
        <f>B12</f>
        <v>250</v>
      </c>
      <c r="H12" s="9">
        <f>C12</f>
        <v>0</v>
      </c>
      <c r="I12" s="9">
        <f>(G12)-(H12)</f>
        <v>250</v>
      </c>
      <c r="J12" s="13" t="str">
        <f t="shared" si="0"/>
        <v/>
      </c>
    </row>
    <row r="13" spans="1:10" x14ac:dyDescent="0.2">
      <c r="A13" s="2" t="s">
        <v>51</v>
      </c>
      <c r="B13" s="7"/>
      <c r="C13" s="7"/>
      <c r="D13" s="8"/>
      <c r="E13" s="12"/>
      <c r="F13" s="28"/>
      <c r="G13" s="8"/>
      <c r="H13" s="8"/>
      <c r="I13" s="8"/>
      <c r="J13" s="12" t="str">
        <f t="shared" si="0"/>
        <v/>
      </c>
    </row>
    <row r="14" spans="1:10" x14ac:dyDescent="0.2">
      <c r="A14" s="2" t="s">
        <v>50</v>
      </c>
      <c r="B14" s="8">
        <f>-25</f>
        <v>-25</v>
      </c>
      <c r="C14" s="7"/>
      <c r="D14" s="8">
        <f>(B14)-(C14)</f>
        <v>-25</v>
      </c>
      <c r="E14" s="12" t="str">
        <f>IF(C14=0,"",(B14)/(C14))</f>
        <v/>
      </c>
      <c r="F14" s="28"/>
      <c r="G14" s="8">
        <f>B14</f>
        <v>-25</v>
      </c>
      <c r="H14" s="8"/>
      <c r="I14" s="8">
        <f>(G14)-(H14)</f>
        <v>-25</v>
      </c>
      <c r="J14" s="12" t="str">
        <f t="shared" si="0"/>
        <v/>
      </c>
    </row>
    <row r="15" spans="1:10" x14ac:dyDescent="0.2">
      <c r="A15" s="2" t="s">
        <v>49</v>
      </c>
      <c r="B15" s="9">
        <f>(B13)+(B14)</f>
        <v>-25</v>
      </c>
      <c r="C15" s="9">
        <f>(C13)+(C14)</f>
        <v>0</v>
      </c>
      <c r="D15" s="9">
        <f>(B15)-(C15)</f>
        <v>-25</v>
      </c>
      <c r="E15" s="13" t="str">
        <f>IF(C15=0,"",(B15)/(C15))</f>
        <v/>
      </c>
      <c r="F15" s="17"/>
      <c r="G15" s="9">
        <f>B15</f>
        <v>-25</v>
      </c>
      <c r="H15" s="9">
        <f>C15</f>
        <v>0</v>
      </c>
      <c r="I15" s="9">
        <f>(G15)-(H15)</f>
        <v>-25</v>
      </c>
      <c r="J15" s="13" t="str">
        <f t="shared" si="0"/>
        <v/>
      </c>
    </row>
    <row r="16" spans="1:10" x14ac:dyDescent="0.2">
      <c r="A16" s="2"/>
      <c r="B16" s="9"/>
      <c r="C16" s="9"/>
      <c r="D16" s="9"/>
      <c r="E16" s="13"/>
      <c r="F16" s="17"/>
      <c r="G16" s="9"/>
      <c r="H16" s="9"/>
      <c r="I16" s="9"/>
      <c r="J16" s="13"/>
    </row>
    <row r="17" spans="1:10" x14ac:dyDescent="0.2">
      <c r="A17" s="2" t="s">
        <v>48</v>
      </c>
      <c r="B17" s="9">
        <f>(B12)+(B15)</f>
        <v>225</v>
      </c>
      <c r="C17" s="9">
        <f>(C12)+(C15)</f>
        <v>0</v>
      </c>
      <c r="D17" s="9">
        <f>(B17)-(C17)</f>
        <v>225</v>
      </c>
      <c r="E17" s="13" t="str">
        <f>IF(C17=0,"",(B17)/(C17))</f>
        <v/>
      </c>
      <c r="F17" s="17"/>
      <c r="G17" s="9">
        <f>B17</f>
        <v>225</v>
      </c>
      <c r="H17" s="9">
        <f>C17</f>
        <v>0</v>
      </c>
      <c r="I17" s="9">
        <f>(G17)-(H17)</f>
        <v>225</v>
      </c>
      <c r="J17" s="13" t="str">
        <f>IF(H17=0,"",(G17)/(H17))</f>
        <v/>
      </c>
    </row>
    <row r="18" spans="1:10" x14ac:dyDescent="0.2">
      <c r="A18" s="2" t="s">
        <v>47</v>
      </c>
      <c r="B18" s="9">
        <f>(B17)-(0)</f>
        <v>225</v>
      </c>
      <c r="C18" s="9">
        <f>(C17)-(0)</f>
        <v>0</v>
      </c>
      <c r="D18" s="9">
        <f>(B18)-(C18)</f>
        <v>225</v>
      </c>
      <c r="E18" s="13" t="str">
        <f>IF(C18=0,"",(B18)/(C18))</f>
        <v/>
      </c>
      <c r="F18" s="17"/>
      <c r="G18" s="9">
        <f>B18</f>
        <v>225</v>
      </c>
      <c r="H18" s="9">
        <f>C18</f>
        <v>0</v>
      </c>
      <c r="I18" s="9">
        <f>(G18)-(H18)</f>
        <v>225</v>
      </c>
      <c r="J18" s="13" t="str">
        <f>IF(H18=0,"",(G18)/(H18))</f>
        <v/>
      </c>
    </row>
    <row r="19" spans="1:10" x14ac:dyDescent="0.2">
      <c r="A19" s="2"/>
      <c r="B19" s="16"/>
      <c r="C19" s="16"/>
      <c r="D19" s="16"/>
      <c r="E19" s="17"/>
      <c r="F19" s="17"/>
      <c r="G19" s="16"/>
      <c r="H19" s="16"/>
      <c r="I19" s="16"/>
      <c r="J19" s="17"/>
    </row>
    <row r="20" spans="1:10" x14ac:dyDescent="0.2">
      <c r="A20" s="2" t="s">
        <v>46</v>
      </c>
      <c r="B20" s="7"/>
      <c r="C20" s="7"/>
      <c r="D20" s="7"/>
      <c r="E20" s="11"/>
      <c r="F20" s="27"/>
      <c r="G20" s="7"/>
      <c r="H20" s="7"/>
      <c r="I20" s="7"/>
      <c r="J20" s="11"/>
    </row>
    <row r="21" spans="1:10" x14ac:dyDescent="0.2">
      <c r="A21" s="2" t="s">
        <v>7</v>
      </c>
      <c r="B21" s="32"/>
      <c r="C21" s="32"/>
      <c r="D21" s="9">
        <f>(B21)-(C21)</f>
        <v>0</v>
      </c>
      <c r="E21" s="13" t="str">
        <f>IF(C21=0,"",(B21)/(C21))</f>
        <v/>
      </c>
      <c r="F21" s="17"/>
      <c r="G21" s="9">
        <f>B21</f>
        <v>0</v>
      </c>
      <c r="H21" s="9">
        <f>C21</f>
        <v>0</v>
      </c>
      <c r="I21" s="9">
        <f>(G21)-(H21)</f>
        <v>0</v>
      </c>
      <c r="J21" s="13" t="str">
        <f>IF(H21=0,"",(G21)/(H21))</f>
        <v/>
      </c>
    </row>
    <row r="22" spans="1:10" x14ac:dyDescent="0.2">
      <c r="A22" s="2"/>
      <c r="B22" s="7"/>
      <c r="C22" s="7"/>
      <c r="D22" s="9"/>
      <c r="E22" s="13"/>
      <c r="F22" s="17"/>
      <c r="G22" s="9"/>
      <c r="H22" s="9"/>
      <c r="I22" s="9"/>
      <c r="J22" s="13"/>
    </row>
    <row r="23" spans="1:10" x14ac:dyDescent="0.2">
      <c r="A23" s="2" t="s">
        <v>6</v>
      </c>
      <c r="B23" s="9">
        <f>(B18)-(B21)</f>
        <v>225</v>
      </c>
      <c r="C23" s="9">
        <f>(C18)-(C21)</f>
        <v>0</v>
      </c>
      <c r="D23" s="9">
        <f>(B23)-(C23)</f>
        <v>225</v>
      </c>
      <c r="E23" s="13" t="str">
        <f>IF(C23=0,"",(B23)/(C23))</f>
        <v/>
      </c>
      <c r="F23" s="17"/>
      <c r="G23" s="9">
        <f>B23</f>
        <v>225</v>
      </c>
      <c r="H23" s="9">
        <f>C23</f>
        <v>0</v>
      </c>
      <c r="I23" s="9">
        <f>(G23)-(H23)</f>
        <v>225</v>
      </c>
      <c r="J23" s="13" t="str">
        <f>IF(H23=0,"",(G23)/(H23))</f>
        <v/>
      </c>
    </row>
    <row r="24" spans="1:10" x14ac:dyDescent="0.2">
      <c r="A24" s="2"/>
      <c r="B24" s="16"/>
      <c r="C24" s="16"/>
      <c r="D24" s="16"/>
      <c r="E24" s="17"/>
      <c r="F24" s="17"/>
      <c r="G24" s="16"/>
      <c r="H24" s="16"/>
      <c r="I24" s="16"/>
      <c r="J24" s="17"/>
    </row>
    <row r="25" spans="1:10" x14ac:dyDescent="0.2">
      <c r="A25" s="2" t="s">
        <v>5</v>
      </c>
      <c r="B25" s="7"/>
      <c r="C25" s="7"/>
      <c r="D25" s="7"/>
      <c r="E25" s="11"/>
      <c r="F25" s="27"/>
      <c r="G25" s="7"/>
      <c r="H25" s="7"/>
      <c r="I25" s="7"/>
      <c r="J25" s="11"/>
    </row>
    <row r="26" spans="1:10" x14ac:dyDescent="0.2">
      <c r="A26" s="2" t="s">
        <v>4</v>
      </c>
      <c r="B26" s="8">
        <f>5750.85</f>
        <v>5750.85</v>
      </c>
      <c r="C26" s="7"/>
      <c r="D26" s="8">
        <f>(B26)-(C26)</f>
        <v>5750.85</v>
      </c>
      <c r="E26" s="12" t="str">
        <f>IF(C26=0,"",(B26)/(C26))</f>
        <v/>
      </c>
      <c r="F26" s="28"/>
      <c r="G26" s="8">
        <f t="shared" ref="G26:H28" si="1">B26</f>
        <v>5750.85</v>
      </c>
      <c r="H26" s="8">
        <f t="shared" si="1"/>
        <v>0</v>
      </c>
      <c r="I26" s="8">
        <f>(G26)-(H26)</f>
        <v>5750.85</v>
      </c>
      <c r="J26" s="12" t="str">
        <f>IF(H26=0,"",(G26)/(H26))</f>
        <v/>
      </c>
    </row>
    <row r="27" spans="1:10" hidden="1" x14ac:dyDescent="0.2">
      <c r="A27" s="2" t="s">
        <v>3</v>
      </c>
      <c r="B27" s="9">
        <f>B26</f>
        <v>5750.85</v>
      </c>
      <c r="C27" s="9">
        <f>C26</f>
        <v>0</v>
      </c>
      <c r="D27" s="9">
        <f>(B27)-(C27)</f>
        <v>5750.85</v>
      </c>
      <c r="E27" s="13" t="str">
        <f>IF(C27=0,"",(B27)/(C27))</f>
        <v/>
      </c>
      <c r="F27" s="17"/>
      <c r="G27" s="9">
        <f t="shared" si="1"/>
        <v>5750.85</v>
      </c>
      <c r="H27" s="9">
        <f t="shared" si="1"/>
        <v>0</v>
      </c>
      <c r="I27" s="9">
        <f>(G27)-(H27)</f>
        <v>5750.85</v>
      </c>
      <c r="J27" s="13" t="str">
        <f>IF(H27=0,"",(G27)/(H27))</f>
        <v/>
      </c>
    </row>
    <row r="28" spans="1:10" x14ac:dyDescent="0.2">
      <c r="A28" s="2" t="s">
        <v>2</v>
      </c>
      <c r="B28" s="9">
        <f>(B27)-(0)</f>
        <v>5750.85</v>
      </c>
      <c r="C28" s="9">
        <f>(C27)-(0)</f>
        <v>0</v>
      </c>
      <c r="D28" s="9">
        <f>(B28)-(C28)</f>
        <v>5750.85</v>
      </c>
      <c r="E28" s="13" t="str">
        <f>IF(C28=0,"",(B28)/(C28))</f>
        <v/>
      </c>
      <c r="F28" s="17"/>
      <c r="G28" s="9">
        <f t="shared" si="1"/>
        <v>5750.85</v>
      </c>
      <c r="H28" s="9">
        <f t="shared" si="1"/>
        <v>0</v>
      </c>
      <c r="I28" s="9">
        <f>(G28)-(H28)</f>
        <v>5750.85</v>
      </c>
      <c r="J28" s="13" t="str">
        <f>IF(H28=0,"",(G28)/(H28))</f>
        <v/>
      </c>
    </row>
    <row r="29" spans="1:10" x14ac:dyDescent="0.2">
      <c r="A29" s="2"/>
      <c r="B29" s="16"/>
      <c r="C29" s="16"/>
      <c r="D29" s="16"/>
      <c r="E29" s="17"/>
      <c r="F29" s="17"/>
      <c r="G29" s="16"/>
      <c r="H29" s="16"/>
      <c r="I29" s="16"/>
      <c r="J29" s="17"/>
    </row>
    <row r="30" spans="1:10" ht="16" thickBot="1" x14ac:dyDescent="0.25">
      <c r="A30" s="2" t="s">
        <v>1</v>
      </c>
      <c r="B30" s="22">
        <f>(B23)+(B28)</f>
        <v>5975.85</v>
      </c>
      <c r="C30" s="22">
        <f>(C23)+(C28)</f>
        <v>0</v>
      </c>
      <c r="D30" s="22">
        <f>(B30)-(C30)</f>
        <v>5975.85</v>
      </c>
      <c r="E30" s="23" t="str">
        <f>IF(C30=0,"",(B30)/(C30))</f>
        <v/>
      </c>
      <c r="F30" s="17"/>
      <c r="G30" s="22">
        <f>B30</f>
        <v>5975.85</v>
      </c>
      <c r="H30" s="22">
        <f>C30</f>
        <v>0</v>
      </c>
      <c r="I30" s="22">
        <f>(G30)-(H30)</f>
        <v>5975.85</v>
      </c>
      <c r="J30" s="23" t="str">
        <f>IF(H30=0,"",(G30)/(H30))</f>
        <v/>
      </c>
    </row>
    <row r="31" spans="1:10" ht="17" thickTop="1" thickBot="1" x14ac:dyDescent="0.25">
      <c r="A31" s="2"/>
      <c r="B31" s="7"/>
      <c r="C31" s="7"/>
      <c r="D31" s="7"/>
      <c r="E31" s="11"/>
      <c r="F31" s="27"/>
      <c r="G31" s="7"/>
      <c r="H31" s="7"/>
      <c r="I31" s="7"/>
      <c r="J31" s="11"/>
    </row>
    <row r="32" spans="1:10" ht="16" thickBot="1" x14ac:dyDescent="0.25">
      <c r="A32" s="30" t="s">
        <v>75</v>
      </c>
      <c r="B32" s="24"/>
      <c r="C32" s="24"/>
      <c r="D32" s="24"/>
      <c r="E32" s="25"/>
      <c r="F32" s="29"/>
      <c r="G32" s="31">
        <f>G7+G30</f>
        <v>8429.880000000001</v>
      </c>
      <c r="H32" s="24"/>
      <c r="I32" s="24"/>
      <c r="J32" s="25"/>
    </row>
  </sheetData>
  <mergeCells count="5">
    <mergeCell ref="B5:E5"/>
    <mergeCell ref="G5:J5"/>
    <mergeCell ref="A1:J1"/>
    <mergeCell ref="A2:J2"/>
    <mergeCell ref="A3:J3"/>
  </mergeCells>
  <printOptions horizontalCentered="1"/>
  <pageMargins left="0.7" right="0.7" top="0.75" bottom="0.75" header="0.3" footer="0.3"/>
  <pageSetup scale="58" fitToHeight="0" orientation="portrait" r:id="rId1"/>
  <headerFooter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Recipient xmlns="f527ab63-b938-4ad0-a5de-c191b1ba63a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6442D0EC273841A430E7EB71BA8F34" ma:contentTypeVersion="16" ma:contentTypeDescription="Create a new document." ma:contentTypeScope="" ma:versionID="1885cbe1727105d1347e6c69a6122994">
  <xsd:schema xmlns:xsd="http://www.w3.org/2001/XMLSchema" xmlns:xs="http://www.w3.org/2001/XMLSchema" xmlns:p="http://schemas.microsoft.com/office/2006/metadata/properties" xmlns:ns1="http://schemas.microsoft.com/sharepoint/v3" xmlns:ns2="ff52e36a-5242-40d6-833b-be87787827c6" xmlns:ns3="f527ab63-b938-4ad0-a5de-c191b1ba63a2" targetNamespace="http://schemas.microsoft.com/office/2006/metadata/properties" ma:root="true" ma:fieldsID="ec8671e07aa43460f3321a7181e6a598" ns1:_="" ns2:_="" ns3:_="">
    <xsd:import namespace="http://schemas.microsoft.com/sharepoint/v3"/>
    <xsd:import namespace="ff52e36a-5242-40d6-833b-be87787827c6"/>
    <xsd:import namespace="f527ab63-b938-4ad0-a5de-c191b1ba63a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Recipi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2e36a-5242-40d6-833b-be87787827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7ab63-b938-4ad0-a5de-c191b1ba6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Recipient" ma:index="23" nillable="true" ma:displayName="Recipient" ma:description="Name of Grant Recipient" ma:format="Dropdown" ma:internalName="Recipi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3F9AF6-F3B0-4936-8A54-085A82691D7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527ab63-b938-4ad0-a5de-c191b1ba63a2"/>
  </ds:schemaRefs>
</ds:datastoreItem>
</file>

<file path=customXml/itemProps2.xml><?xml version="1.0" encoding="utf-8"?>
<ds:datastoreItem xmlns:ds="http://schemas.openxmlformats.org/officeDocument/2006/customXml" ds:itemID="{A4B4C9A9-2B08-4477-84C6-0B7B3FCF54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f52e36a-5242-40d6-833b-be87787827c6"/>
    <ds:schemaRef ds:uri="f527ab63-b938-4ad0-a5de-c191b1ba63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5ED51E-BFAB-44B1-9454-2C69A658C1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Jones Ministry</vt:lpstr>
      <vt:lpstr>Smith Ministry</vt:lpstr>
      <vt:lpstr>Stark Ministry</vt:lpstr>
      <vt:lpstr>Doe Ministry</vt:lpstr>
      <vt:lpstr>Bright Ministry</vt:lpstr>
      <vt:lpstr>Lincoln Ministry</vt:lpstr>
      <vt:lpstr>Martinez Ministry</vt:lpstr>
      <vt:lpstr>Patton Ministry</vt:lpstr>
      <vt:lpstr>Rich Ministry</vt:lpstr>
      <vt:lpstr>Seitz Ministry</vt:lpstr>
      <vt:lpstr>Bhiri Ministry</vt:lpstr>
      <vt:lpstr>Pignatelli Ministry</vt:lpstr>
      <vt:lpstr>Cortez Ministry</vt:lpstr>
      <vt:lpstr>Little Ministry</vt:lpstr>
      <vt:lpstr>Johnson Ministry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Millstead</cp:lastModifiedBy>
  <dcterms:created xsi:type="dcterms:W3CDTF">2021-02-09T03:01:45Z</dcterms:created>
  <dcterms:modified xsi:type="dcterms:W3CDTF">2021-03-11T16:09:41Z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0x010100776442D0EC273841A430E7EB71BA8F34</vt:lpwstr>
  </property>
</Properties>
</file>